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35" yWindow="30" windowWidth="19050" windowHeight="11250" activeTab="6"/>
  </bookViews>
  <sheets>
    <sheet name="General Settings" sheetId="29" r:id="rId1"/>
    <sheet name="ONCalibration" sheetId="52" r:id="rId2"/>
    <sheet name="1MSynthDepo" sheetId="48" r:id="rId3"/>
    <sheet name="3MSynthDepo" sheetId="43" r:id="rId4"/>
    <sheet name="6MSynthDepo" sheetId="39" r:id="rId5"/>
    <sheet name="12MSynthDepo" sheetId="51" r:id="rId6"/>
    <sheet name="Contribution" sheetId="33" r:id="rId7"/>
    <sheet name="Delta 1M" sheetId="45" r:id="rId8"/>
    <sheet name="Delta 3M" sheetId="42" r:id="rId9"/>
    <sheet name="Delta 6M " sheetId="40" r:id="rId10"/>
    <sheet name="Delta 12M" sheetId="50" r:id="rId11"/>
  </sheets>
  <externalReferences>
    <externalReference r:id="rId12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7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10">'Delta 12M'!$N$3</definedName>
    <definedName name="interpolatedbasis6M">'Delta 6M '!$N$3</definedName>
    <definedName name="interpolator12M">'12MSynthDepo'!$D$11</definedName>
    <definedName name="interpolator1M" localSheetId="2">'1MSynthDepo'!$D$11</definedName>
    <definedName name="interpolator3M">'3MSynthDepo'!$D$11</definedName>
    <definedName name="interpolator6M">'6MSynthDepo'!$D$11</definedName>
    <definedName name="JumpDates">ONCalibration!$Q$10:$Q$22</definedName>
    <definedName name="JumpSuffix">ONCalibration!$Q$8</definedName>
    <definedName name="JumpValues">ONCalibration!$W$10:$W$22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Settings'!$D$12</definedName>
    <definedName name="OisCurve">'General Settings'!$D$8</definedName>
    <definedName name="OvernightCurve">'General Settings'!$I$20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6">Contribution!$L$3:$L$40</definedName>
    <definedName name="QuoteLive" localSheetId="6">Contribution!$H$3:$H$40</definedName>
    <definedName name="QuoteStatic" localSheetId="6">Contribution!$J$3:$J$40</definedName>
    <definedName name="QuoteSuffix">'General Settings'!$D$13</definedName>
    <definedName name="RateHelpers">ONCalibration!$M$2:$M$33</definedName>
    <definedName name="RateTickValue">'General Settings'!$D$14</definedName>
    <definedName name="SettlementDate">'General Settings'!$D$10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igger">'General Settings'!$I$4</definedName>
    <definedName name="TriggerCounter">'General Settings'!$I$8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7" i="29" l="1"/>
  <c r="L3" i="33" l="1" a="1"/>
  <c r="R11" i="52" l="1"/>
  <c r="W11" i="52" s="1"/>
  <c r="R12" i="52"/>
  <c r="W12" i="52" s="1"/>
  <c r="R13" i="52"/>
  <c r="W13" i="52" s="1"/>
  <c r="R14" i="52"/>
  <c r="W14" i="52" s="1"/>
  <c r="R15" i="52"/>
  <c r="W15" i="52" s="1"/>
  <c r="R16" i="52"/>
  <c r="W16" i="52" s="1"/>
  <c r="R17" i="52"/>
  <c r="W17" i="52" s="1"/>
  <c r="R18" i="52"/>
  <c r="W18" i="52" s="1"/>
  <c r="R19" i="52"/>
  <c r="W19" i="52" s="1"/>
  <c r="R20" i="52"/>
  <c r="W20" i="52" s="1"/>
  <c r="R21" i="52"/>
  <c r="W21" i="52" s="1"/>
  <c r="R22" i="52"/>
  <c r="W22" i="52" s="1"/>
  <c r="R10" i="52"/>
  <c r="W10" i="52" s="1"/>
  <c r="H15" i="52"/>
  <c r="H33" i="52"/>
  <c r="F16" i="52"/>
  <c r="H16" i="52" s="1"/>
  <c r="F17" i="52"/>
  <c r="H17" i="52" s="1"/>
  <c r="F18" i="52"/>
  <c r="H18" i="52" s="1"/>
  <c r="F19" i="52"/>
  <c r="H19" i="52" s="1"/>
  <c r="F20" i="52"/>
  <c r="F21" i="52"/>
  <c r="F22" i="52"/>
  <c r="F23" i="52"/>
  <c r="F24" i="52"/>
  <c r="F25" i="52"/>
  <c r="F26" i="52"/>
  <c r="F27" i="52"/>
  <c r="F28" i="52"/>
  <c r="F29" i="52"/>
  <c r="H29" i="52" s="1"/>
  <c r="F30" i="52"/>
  <c r="H30" i="52" s="1"/>
  <c r="F31" i="52"/>
  <c r="H31" i="52" s="1"/>
  <c r="F32" i="52"/>
  <c r="H32" i="52" s="1"/>
  <c r="F33" i="52"/>
  <c r="F15" i="52"/>
  <c r="F3" i="52"/>
  <c r="H3" i="52" s="1"/>
  <c r="F4" i="52"/>
  <c r="H4" i="52" s="1"/>
  <c r="F2" i="52"/>
  <c r="H2" i="52" s="1"/>
  <c r="G24" i="52"/>
  <c r="G25" i="52"/>
  <c r="G26" i="52"/>
  <c r="G27" i="52"/>
  <c r="G20" i="52"/>
  <c r="G28" i="52"/>
  <c r="G21" i="52"/>
  <c r="G22" i="52"/>
  <c r="G23" i="52"/>
  <c r="T21" i="52"/>
  <c r="G32" i="52"/>
  <c r="G17" i="52"/>
  <c r="L24" i="52"/>
  <c r="K22" i="52"/>
  <c r="T22" i="52"/>
  <c r="L32" i="52"/>
  <c r="K23" i="52"/>
  <c r="G31" i="52"/>
  <c r="K21" i="52"/>
  <c r="G2" i="52"/>
  <c r="T16" i="52"/>
  <c r="L17" i="52"/>
  <c r="L28" i="52"/>
  <c r="L27" i="52"/>
  <c r="K26" i="52"/>
  <c r="L23" i="52"/>
  <c r="G16" i="52"/>
  <c r="L16" i="52" s="1"/>
  <c r="K24" i="52"/>
  <c r="T20" i="52"/>
  <c r="T18" i="52"/>
  <c r="T17" i="52"/>
  <c r="G15" i="52"/>
  <c r="G33" i="52"/>
  <c r="G18" i="52"/>
  <c r="G30" i="52"/>
  <c r="C3" i="52"/>
  <c r="K15" i="52"/>
  <c r="G29" i="52"/>
  <c r="L21" i="52"/>
  <c r="T12" i="52"/>
  <c r="L29" i="52"/>
  <c r="T19" i="52"/>
  <c r="T13" i="52"/>
  <c r="K16" i="52"/>
  <c r="K20" i="52"/>
  <c r="L20" i="52"/>
  <c r="C4" i="52"/>
  <c r="L22" i="52"/>
  <c r="L31" i="52"/>
  <c r="K27" i="52"/>
  <c r="K25" i="52"/>
  <c r="L25" i="52"/>
  <c r="K31" i="52"/>
  <c r="T11" i="52"/>
  <c r="T10" i="52"/>
  <c r="G19" i="52"/>
  <c r="L26" i="52"/>
  <c r="T15" i="52"/>
  <c r="T14" i="52"/>
  <c r="K28" i="52"/>
  <c r="L18" i="52"/>
  <c r="K18" i="52"/>
  <c r="L30" i="52"/>
  <c r="K30" i="52"/>
  <c r="K9" i="45" l="1"/>
  <c r="K8" i="45"/>
  <c r="K7" i="45"/>
  <c r="K6" i="45"/>
  <c r="K5" i="45"/>
  <c r="K4" i="45"/>
  <c r="K19" i="52"/>
  <c r="L15" i="52"/>
  <c r="L33" i="52"/>
  <c r="K29" i="52"/>
  <c r="L2" i="52"/>
  <c r="G4" i="52"/>
  <c r="K4" i="52" s="1"/>
  <c r="L19" i="52"/>
  <c r="K33" i="52"/>
  <c r="K2" i="52"/>
  <c r="K17" i="52"/>
  <c r="G3" i="52"/>
  <c r="L3" i="52" s="1"/>
  <c r="L4" i="52"/>
  <c r="K32" i="52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K3" i="52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s="1"/>
  <c r="C15" i="50" l="1"/>
  <c r="D15" i="50"/>
  <c r="C14" i="50"/>
  <c r="D14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M1" i="45"/>
  <c r="C6" i="39" l="1"/>
  <c r="C7" i="39"/>
  <c r="C5" i="39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0" i="33"/>
  <c r="D33" i="33"/>
  <c r="D35" i="33"/>
  <c r="D23" i="33"/>
  <c r="D10" i="29"/>
  <c r="E26" i="51"/>
  <c r="E30" i="51"/>
  <c r="D5" i="39"/>
  <c r="E18" i="39"/>
  <c r="E15" i="43"/>
  <c r="E19" i="51"/>
  <c r="E21" i="51"/>
  <c r="D19" i="33"/>
  <c r="D29" i="33"/>
  <c r="D4" i="33"/>
  <c r="D36" i="33"/>
  <c r="E15" i="48"/>
  <c r="E17" i="48"/>
  <c r="D3" i="33"/>
  <c r="D18" i="33"/>
  <c r="D10" i="33"/>
  <c r="D30" i="33"/>
  <c r="E23" i="51"/>
  <c r="E15" i="51"/>
  <c r="E16" i="39"/>
  <c r="D12" i="33"/>
  <c r="D34" i="33"/>
  <c r="E19" i="43"/>
  <c r="E21" i="43"/>
  <c r="D22" i="33"/>
  <c r="D6" i="51"/>
  <c r="D5" i="51"/>
  <c r="D17" i="33"/>
  <c r="D24" i="33"/>
  <c r="D15" i="33"/>
  <c r="B5" i="52"/>
  <c r="D8" i="33"/>
  <c r="D27" i="33"/>
  <c r="D7" i="51"/>
  <c r="E21" i="39"/>
  <c r="D25" i="33"/>
  <c r="E23" i="39"/>
  <c r="D14" i="33"/>
  <c r="E15" i="39"/>
  <c r="E24" i="39"/>
  <c r="D28" i="33"/>
  <c r="E19" i="48"/>
  <c r="E24" i="51"/>
  <c r="D37" i="33"/>
  <c r="E16" i="43"/>
  <c r="E20" i="51"/>
  <c r="D32" i="33"/>
  <c r="D7" i="48"/>
  <c r="D31" i="33"/>
  <c r="D38" i="33"/>
  <c r="E16" i="48"/>
  <c r="E17" i="39"/>
  <c r="E25" i="51"/>
  <c r="D39" i="33"/>
  <c r="D13" i="33"/>
  <c r="E28" i="51"/>
  <c r="Q10" i="52"/>
  <c r="D11" i="33"/>
  <c r="D16" i="33"/>
  <c r="D5" i="48"/>
  <c r="C5" i="52"/>
  <c r="D9" i="33"/>
  <c r="E18" i="48"/>
  <c r="D5" i="33"/>
  <c r="E27" i="51"/>
  <c r="B1" i="29"/>
  <c r="E18" i="43"/>
  <c r="D7" i="33"/>
  <c r="E22" i="51"/>
  <c r="C16" i="42"/>
  <c r="E20" i="39"/>
  <c r="D20" i="33"/>
  <c r="D26" i="33"/>
  <c r="D6" i="33"/>
  <c r="E20" i="43"/>
  <c r="D21" i="33"/>
  <c r="D6" i="48"/>
  <c r="E17" i="43"/>
  <c r="B6" i="52"/>
  <c r="E22" i="39"/>
  <c r="E17" i="51"/>
  <c r="E18" i="51"/>
  <c r="E16" i="51"/>
  <c r="E19" i="39"/>
  <c r="D6" i="39"/>
  <c r="D7" i="39"/>
  <c r="E29" i="51"/>
  <c r="Q11" i="52"/>
  <c r="S10" i="52"/>
  <c r="C6" i="52"/>
  <c r="B7" i="52"/>
  <c r="S11" i="52"/>
  <c r="Q12" i="52"/>
  <c r="C7" i="52"/>
  <c r="B8" i="52"/>
  <c r="Q13" i="52"/>
  <c r="S12" i="52"/>
  <c r="C8" i="52"/>
  <c r="B9" i="52"/>
  <c r="S13" i="52"/>
  <c r="Q14" i="52"/>
  <c r="C9" i="52"/>
  <c r="B10" i="52"/>
  <c r="S14" i="52"/>
  <c r="Q15" i="52"/>
  <c r="C10" i="52"/>
  <c r="B11" i="52"/>
  <c r="Q16" i="52"/>
  <c r="S15" i="52"/>
  <c r="C11" i="52"/>
  <c r="B12" i="52"/>
  <c r="S16" i="52"/>
  <c r="Q17" i="52"/>
  <c r="C12" i="52"/>
  <c r="B13" i="52"/>
  <c r="Q18" i="52"/>
  <c r="S17" i="52"/>
  <c r="C13" i="52"/>
  <c r="B14" i="52"/>
  <c r="Q19" i="52"/>
  <c r="S18" i="52"/>
  <c r="Q20" i="52"/>
  <c r="S19" i="52"/>
  <c r="S20" i="52"/>
  <c r="Q21" i="52"/>
  <c r="S21" i="52"/>
  <c r="Q22" i="52"/>
  <c r="U21" i="52" l="1"/>
  <c r="U20" i="52"/>
  <c r="U19" i="52"/>
  <c r="U18" i="52"/>
  <c r="F13" i="52"/>
  <c r="U17" i="52"/>
  <c r="F12" i="52"/>
  <c r="U16" i="52"/>
  <c r="F11" i="52"/>
  <c r="U15" i="52"/>
  <c r="F10" i="52"/>
  <c r="U14" i="52"/>
  <c r="F9" i="52"/>
  <c r="U13" i="52"/>
  <c r="F8" i="52"/>
  <c r="U12" i="52"/>
  <c r="F7" i="52"/>
  <c r="U11" i="52"/>
  <c r="F6" i="52"/>
  <c r="U10" i="52"/>
  <c r="F5" i="52"/>
  <c r="D30" i="5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5" i="51"/>
  <c r="E14" i="50"/>
  <c r="G6" i="52"/>
  <c r="E8" i="50"/>
  <c r="G11" i="52"/>
  <c r="J16" i="51"/>
  <c r="E5" i="48"/>
  <c r="K7" i="51"/>
  <c r="K4" i="51"/>
  <c r="G6" i="48"/>
  <c r="E6" i="51"/>
  <c r="J30" i="51"/>
  <c r="J17" i="51"/>
  <c r="E7" i="50"/>
  <c r="E13" i="42"/>
  <c r="E13" i="50"/>
  <c r="E4" i="50"/>
  <c r="J29" i="51"/>
  <c r="E9" i="42"/>
  <c r="E7" i="51"/>
  <c r="J23" i="51"/>
  <c r="E15" i="42"/>
  <c r="AF4" i="51"/>
  <c r="E6" i="42"/>
  <c r="J15" i="51"/>
  <c r="E6" i="48"/>
  <c r="K6" i="52"/>
  <c r="E11" i="50"/>
  <c r="E16" i="42"/>
  <c r="J27" i="51"/>
  <c r="E5" i="50"/>
  <c r="G5" i="52"/>
  <c r="K5" i="52"/>
  <c r="E14" i="42"/>
  <c r="E4" i="51"/>
  <c r="J20" i="51"/>
  <c r="E10" i="42"/>
  <c r="G12" i="52"/>
  <c r="E10" i="50"/>
  <c r="K6" i="51"/>
  <c r="G8" i="52"/>
  <c r="K8" i="52" s="1"/>
  <c r="J22" i="51"/>
  <c r="J26" i="51"/>
  <c r="E11" i="42"/>
  <c r="E15" i="50"/>
  <c r="J25" i="51"/>
  <c r="J19" i="51"/>
  <c r="G7" i="52"/>
  <c r="G7" i="48"/>
  <c r="G10" i="52"/>
  <c r="S22" i="52"/>
  <c r="G13" i="52"/>
  <c r="C14" i="52"/>
  <c r="E8" i="42"/>
  <c r="L5" i="52"/>
  <c r="E5" i="42"/>
  <c r="L6" i="52"/>
  <c r="G5" i="48"/>
  <c r="J24" i="51"/>
  <c r="J21" i="51"/>
  <c r="E12" i="42"/>
  <c r="E7" i="42"/>
  <c r="D4" i="43"/>
  <c r="AG3" i="51"/>
  <c r="E6" i="50"/>
  <c r="G9" i="52"/>
  <c r="J18" i="51"/>
  <c r="L12" i="52"/>
  <c r="E12" i="50"/>
  <c r="K5" i="51"/>
  <c r="K12" i="52"/>
  <c r="F3" i="50"/>
  <c r="J28" i="51"/>
  <c r="K11" i="52"/>
  <c r="E9" i="50"/>
  <c r="F15" i="50"/>
  <c r="G15" i="50" s="1"/>
  <c r="K13" i="52"/>
  <c r="F14" i="52" l="1"/>
  <c r="U22" i="52"/>
  <c r="H5" i="52"/>
  <c r="H9" i="52"/>
  <c r="H13" i="52"/>
  <c r="H6" i="52"/>
  <c r="H10" i="52"/>
  <c r="H7" i="52"/>
  <c r="H11" i="52"/>
  <c r="H8" i="52"/>
  <c r="H12" i="52"/>
  <c r="C3" i="51"/>
  <c r="R3" i="50"/>
  <c r="C20" i="40"/>
  <c r="D20" i="40" s="1"/>
  <c r="A21" i="40"/>
  <c r="L13" i="52"/>
  <c r="F10" i="50"/>
  <c r="H6" i="51"/>
  <c r="K7" i="52"/>
  <c r="F14" i="50"/>
  <c r="F15" i="42"/>
  <c r="L11" i="52"/>
  <c r="L8" i="52"/>
  <c r="K9" i="52"/>
  <c r="F13" i="42"/>
  <c r="F8" i="50"/>
  <c r="F14" i="42"/>
  <c r="F5" i="50"/>
  <c r="F11" i="42"/>
  <c r="L5" i="51"/>
  <c r="F5" i="42"/>
  <c r="F9" i="42"/>
  <c r="K10" i="52"/>
  <c r="L9" i="52"/>
  <c r="L7" i="52"/>
  <c r="F11" i="50"/>
  <c r="F12" i="42"/>
  <c r="H5" i="51"/>
  <c r="L10" i="52"/>
  <c r="F8" i="42"/>
  <c r="F10" i="42"/>
  <c r="G14" i="52"/>
  <c r="F6" i="42"/>
  <c r="AG4" i="51"/>
  <c r="F7" i="42"/>
  <c r="L6" i="51"/>
  <c r="K14" i="52"/>
  <c r="L14" i="52"/>
  <c r="H14" i="52" l="1"/>
  <c r="N6" i="51"/>
  <c r="M6" i="51"/>
  <c r="O6" i="51"/>
  <c r="O5" i="51"/>
  <c r="N5" i="51"/>
  <c r="M5" i="51"/>
  <c r="C21" i="40"/>
  <c r="D21" i="40" s="1"/>
  <c r="G10" i="42"/>
  <c r="G13" i="42"/>
  <c r="G12" i="42"/>
  <c r="G6" i="42"/>
  <c r="G15" i="42"/>
  <c r="G8" i="42"/>
  <c r="G7" i="42"/>
  <c r="G14" i="42"/>
  <c r="G11" i="42"/>
  <c r="G9" i="42"/>
  <c r="G5" i="42"/>
  <c r="D16" i="42" l="1"/>
  <c r="E4" i="48"/>
  <c r="E7" i="48"/>
  <c r="A4" i="43"/>
  <c r="F4" i="50"/>
  <c r="E4" i="39"/>
  <c r="K6" i="39"/>
  <c r="J15" i="43"/>
  <c r="E7" i="39"/>
  <c r="F18" i="48"/>
  <c r="G8" i="50"/>
  <c r="H7" i="51"/>
  <c r="J16" i="43"/>
  <c r="K4" i="39"/>
  <c r="J22" i="39"/>
  <c r="AG3" i="39"/>
  <c r="J20" i="43"/>
  <c r="J18" i="43"/>
  <c r="F19" i="48"/>
  <c r="G10" i="50"/>
  <c r="K7" i="39"/>
  <c r="AG3" i="43"/>
  <c r="H6" i="48"/>
  <c r="F16" i="48"/>
  <c r="L4" i="51"/>
  <c r="AF4" i="39"/>
  <c r="G4" i="48"/>
  <c r="AB4" i="48"/>
  <c r="J16" i="39"/>
  <c r="AC3" i="48"/>
  <c r="F7" i="50"/>
  <c r="F9" i="50"/>
  <c r="G3" i="50"/>
  <c r="J17" i="39"/>
  <c r="R4" i="50"/>
  <c r="J23" i="39"/>
  <c r="D5" i="43"/>
  <c r="E5" i="39"/>
  <c r="J20" i="39"/>
  <c r="K4" i="43"/>
  <c r="J19" i="39"/>
  <c r="F6" i="50"/>
  <c r="AF4" i="43"/>
  <c r="E6" i="39"/>
  <c r="D6" i="43"/>
  <c r="G14" i="50"/>
  <c r="K5" i="43"/>
  <c r="J21" i="43"/>
  <c r="AF5" i="51"/>
  <c r="J21" i="39"/>
  <c r="H4" i="51"/>
  <c r="K5" i="39"/>
  <c r="L3" i="45"/>
  <c r="T3" i="45" s="1"/>
  <c r="F15" i="48"/>
  <c r="J17" i="43"/>
  <c r="J24" i="39"/>
  <c r="F12" i="50"/>
  <c r="J19" i="43"/>
  <c r="F17" i="48"/>
  <c r="H5" i="48"/>
  <c r="G11" i="50"/>
  <c r="J18" i="39"/>
  <c r="M3" i="45"/>
  <c r="G5" i="50"/>
  <c r="E4" i="43"/>
  <c r="J15" i="39"/>
  <c r="F13" i="50"/>
  <c r="L7" i="51"/>
  <c r="A6" i="43" l="1"/>
  <c r="N4" i="51"/>
  <c r="M4" i="51"/>
  <c r="O4" i="51"/>
  <c r="B4" i="43"/>
  <c r="C4" i="43" s="1"/>
  <c r="A5" i="43"/>
  <c r="O7" i="51"/>
  <c r="N7" i="51"/>
  <c r="M7" i="51"/>
  <c r="J6" i="48"/>
  <c r="K6" i="48"/>
  <c r="I6" i="48"/>
  <c r="J5" i="48"/>
  <c r="I5" i="48"/>
  <c r="K5" i="48"/>
  <c r="L7" i="39"/>
  <c r="H6" i="39"/>
  <c r="L4" i="39"/>
  <c r="L5" i="39"/>
  <c r="L6" i="39"/>
  <c r="E6" i="43"/>
  <c r="G12" i="50"/>
  <c r="H5" i="39"/>
  <c r="L4" i="43"/>
  <c r="AG4" i="39"/>
  <c r="AF6" i="51"/>
  <c r="H4" i="43"/>
  <c r="H7" i="48"/>
  <c r="G7" i="50"/>
  <c r="U3" i="45"/>
  <c r="AB5" i="48"/>
  <c r="H7" i="39"/>
  <c r="G13" i="50"/>
  <c r="G4" i="50"/>
  <c r="D7" i="43"/>
  <c r="G6" i="50"/>
  <c r="K7" i="43"/>
  <c r="K6" i="43"/>
  <c r="AC4" i="48"/>
  <c r="R5" i="50"/>
  <c r="H4" i="39"/>
  <c r="G9" i="50"/>
  <c r="AG5" i="51"/>
  <c r="AG4" i="43"/>
  <c r="P3" i="45"/>
  <c r="H4" i="48"/>
  <c r="E5" i="43"/>
  <c r="E7" i="43"/>
  <c r="H7" i="43" s="1"/>
  <c r="B5" i="43" l="1"/>
  <c r="B7" i="43"/>
  <c r="A7" i="43"/>
  <c r="B6" i="43"/>
  <c r="C6" i="43" s="1"/>
  <c r="C5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H5" i="43"/>
  <c r="L7" i="43"/>
  <c r="R6" i="50"/>
  <c r="L5" i="43"/>
  <c r="M7" i="43" l="1"/>
  <c r="M5" i="43"/>
  <c r="C7" i="43"/>
  <c r="O7" i="43"/>
  <c r="N7" i="43"/>
  <c r="N5" i="43"/>
  <c r="O5" i="43"/>
  <c r="H6" i="43"/>
  <c r="AF7" i="51"/>
  <c r="E24" i="33"/>
  <c r="E40" i="33"/>
  <c r="E19" i="33"/>
  <c r="E30" i="33"/>
  <c r="E35" i="33"/>
  <c r="E18" i="33"/>
  <c r="E27" i="33"/>
  <c r="AF5" i="39"/>
  <c r="E33" i="33"/>
  <c r="AF6" i="39"/>
  <c r="AF5" i="43"/>
  <c r="AB6" i="48"/>
  <c r="E15" i="33"/>
  <c r="E7" i="33"/>
  <c r="R7" i="50"/>
  <c r="AG5" i="39"/>
  <c r="E39" i="33"/>
  <c r="E37" i="33"/>
  <c r="AG7" i="51"/>
  <c r="E5" i="33"/>
  <c r="E34" i="33"/>
  <c r="E23" i="33"/>
  <c r="E31" i="33"/>
  <c r="AC5" i="48"/>
  <c r="E22" i="33"/>
  <c r="L6" i="43"/>
  <c r="E26" i="33"/>
  <c r="E16" i="33"/>
  <c r="E38" i="33"/>
  <c r="E6" i="33"/>
  <c r="E21" i="33"/>
  <c r="E20" i="33"/>
  <c r="E17" i="33"/>
  <c r="E32" i="33"/>
  <c r="AG6" i="51"/>
  <c r="E29" i="33"/>
  <c r="E4" i="33"/>
  <c r="E25" i="33"/>
  <c r="AC6" i="48"/>
  <c r="E28" i="33"/>
  <c r="E3" i="33"/>
  <c r="E36" i="33"/>
  <c r="M6" i="43" l="1"/>
  <c r="O6" i="43"/>
  <c r="N6" i="43"/>
  <c r="R3" i="42"/>
  <c r="R3" i="40"/>
  <c r="F4" i="48" l="1" a="1"/>
  <c r="H3" i="50"/>
  <c r="H3" i="42"/>
  <c r="D3" i="48"/>
  <c r="E3" i="48" s="1"/>
  <c r="H3" i="40"/>
  <c r="D3" i="51"/>
  <c r="E3" i="51" s="1"/>
  <c r="D3" i="43"/>
  <c r="E3" i="43" s="1"/>
  <c r="D3" i="39"/>
  <c r="E3" i="39" s="1"/>
  <c r="F3" i="42"/>
  <c r="R4" i="40"/>
  <c r="F3" i="40"/>
  <c r="E4" i="42"/>
  <c r="AF6" i="43"/>
  <c r="AF7" i="43" s="1"/>
  <c r="AG5" i="43"/>
  <c r="E12" i="40"/>
  <c r="E6" i="40"/>
  <c r="E18" i="40"/>
  <c r="E17" i="40"/>
  <c r="R8" i="50"/>
  <c r="E10" i="40"/>
  <c r="AF8" i="51"/>
  <c r="C17" i="42"/>
  <c r="E15" i="40"/>
  <c r="E4" i="40"/>
  <c r="F16" i="42"/>
  <c r="AG8" i="51"/>
  <c r="AG6" i="43"/>
  <c r="E11" i="40"/>
  <c r="AF9" i="51"/>
  <c r="AF10" i="51" s="1"/>
  <c r="E14" i="40"/>
  <c r="E21" i="40"/>
  <c r="AB7" i="48"/>
  <c r="AG6" i="39"/>
  <c r="E9" i="40"/>
  <c r="E16" i="40"/>
  <c r="E20" i="40"/>
  <c r="AF7" i="39"/>
  <c r="E19" i="40"/>
  <c r="R4" i="42"/>
  <c r="E7" i="40"/>
  <c r="AG9" i="51"/>
  <c r="E13" i="40"/>
  <c r="E5" i="40"/>
  <c r="E8" i="40"/>
  <c r="R5" i="42"/>
  <c r="F19" i="40"/>
  <c r="F10" i="40"/>
  <c r="F11" i="40"/>
  <c r="F8" i="40"/>
  <c r="F9" i="40"/>
  <c r="F4" i="42"/>
  <c r="F6" i="40"/>
  <c r="G3" i="40"/>
  <c r="F12" i="40"/>
  <c r="G12" i="40" s="1"/>
  <c r="F16" i="40"/>
  <c r="R9" i="50"/>
  <c r="AF8" i="39"/>
  <c r="F21" i="40"/>
  <c r="F17" i="40"/>
  <c r="F18" i="40"/>
  <c r="F20" i="40"/>
  <c r="F4" i="40"/>
  <c r="AG7" i="43"/>
  <c r="R5" i="40"/>
  <c r="F5" i="40"/>
  <c r="G16" i="40"/>
  <c r="G3" i="42"/>
  <c r="AF8" i="43"/>
  <c r="F15" i="40"/>
  <c r="F7" i="40"/>
  <c r="G4" i="40"/>
  <c r="F13" i="40"/>
  <c r="AF9" i="43"/>
  <c r="AF10" i="43" s="1"/>
  <c r="G16" i="42"/>
  <c r="F14" i="40"/>
  <c r="AG7" i="39"/>
  <c r="AG9" i="43"/>
  <c r="G21" i="40"/>
  <c r="G18" i="40"/>
  <c r="M2" i="52" a="1"/>
  <c r="R6" i="42"/>
  <c r="G10" i="40"/>
  <c r="G20" i="40"/>
  <c r="G6" i="40"/>
  <c r="G17" i="40"/>
  <c r="G11" i="40"/>
  <c r="G7" i="40"/>
  <c r="G5" i="40"/>
  <c r="G4" i="42"/>
  <c r="G8" i="40"/>
  <c r="G13" i="40"/>
  <c r="AG8" i="39"/>
  <c r="G9" i="40"/>
  <c r="R6" i="40"/>
  <c r="R7" i="40" s="1"/>
  <c r="G15" i="40"/>
  <c r="G14" i="40"/>
  <c r="R7" i="42"/>
  <c r="R8" i="42" s="1"/>
  <c r="R9" i="42" s="1"/>
  <c r="R10" i="42" s="1"/>
  <c r="R11" i="42"/>
  <c r="R12" i="42" s="1"/>
  <c r="R8" i="40"/>
  <c r="R9" i="40"/>
  <c r="H3" i="39"/>
  <c r="L3" i="39"/>
  <c r="K3" i="43"/>
  <c r="K3" i="39"/>
  <c r="G3" i="48"/>
  <c r="L3" i="51"/>
  <c r="K3" i="51"/>
  <c r="H3" i="51"/>
  <c r="H3" i="48"/>
  <c r="H3" i="43"/>
  <c r="L3" i="43"/>
  <c r="AF11" i="51"/>
  <c r="AC7" i="48"/>
  <c r="AG10" i="43"/>
  <c r="AF11" i="43"/>
  <c r="AF12" i="51"/>
  <c r="AG11" i="51"/>
  <c r="AG11" i="43"/>
  <c r="AF12" i="43"/>
  <c r="AF13" i="51"/>
  <c r="AG12" i="51"/>
  <c r="AF13" i="43"/>
  <c r="AF14" i="51"/>
  <c r="AG13" i="51"/>
  <c r="AF14" i="43"/>
  <c r="AG13" i="43"/>
  <c r="AF15" i="51"/>
  <c r="AG14" i="51"/>
  <c r="AG14" i="43"/>
  <c r="AF15" i="43"/>
  <c r="AF16" i="51"/>
  <c r="AG15" i="51"/>
  <c r="AF16" i="43"/>
  <c r="AG15" i="43"/>
  <c r="AF17" i="51"/>
  <c r="AG16" i="51"/>
  <c r="AF17" i="43"/>
  <c r="AG16" i="43"/>
  <c r="AG17" i="51"/>
  <c r="AF18" i="51"/>
  <c r="AF18" i="43"/>
  <c r="AG17" i="43"/>
  <c r="AG18" i="51"/>
  <c r="AF19" i="51"/>
  <c r="AF19" i="43"/>
  <c r="AG18" i="43"/>
  <c r="AF20" i="51"/>
  <c r="AG19" i="51"/>
  <c r="AG19" i="43"/>
  <c r="AF20" i="43"/>
  <c r="AG20" i="51"/>
  <c r="AF21" i="51"/>
  <c r="AF21" i="43"/>
  <c r="AG20" i="43"/>
  <c r="AG21" i="51"/>
  <c r="AF22" i="51"/>
  <c r="AG21" i="43"/>
  <c r="AF22" i="43"/>
  <c r="AF23" i="51"/>
  <c r="AG22" i="51"/>
  <c r="AG22" i="43"/>
  <c r="AF23" i="43"/>
  <c r="AF24" i="51"/>
  <c r="AG23" i="51"/>
  <c r="AF24" i="43"/>
  <c r="AG23" i="43"/>
  <c r="AF25" i="51"/>
  <c r="AG24" i="51"/>
  <c r="AG24" i="43"/>
  <c r="AF25" i="43"/>
  <c r="AF26" i="51"/>
  <c r="AG25" i="51"/>
  <c r="AG25" i="43"/>
  <c r="AF26" i="43"/>
  <c r="AF27" i="51"/>
  <c r="AG26" i="51"/>
  <c r="AG26" i="43"/>
  <c r="AF27" i="43"/>
  <c r="AF28" i="51"/>
  <c r="AG27" i="51"/>
  <c r="AF28" i="43"/>
  <c r="AG27" i="43"/>
  <c r="AG28" i="51"/>
  <c r="AF29" i="51"/>
  <c r="AF29" i="43"/>
  <c r="AG28" i="43"/>
  <c r="AG29" i="51"/>
  <c r="AF30" i="51"/>
  <c r="AF30" i="43"/>
  <c r="AG29" i="43"/>
  <c r="AG30" i="51"/>
  <c r="AF31" i="51"/>
  <c r="AF31" i="43"/>
  <c r="AG30" i="43"/>
  <c r="AG31" i="51"/>
  <c r="AF32" i="51"/>
  <c r="AG31" i="43"/>
  <c r="AF32" i="43"/>
  <c r="AG32" i="51"/>
  <c r="AF33" i="51"/>
  <c r="AG32" i="43"/>
  <c r="AF33" i="43"/>
  <c r="AF34" i="51"/>
  <c r="AG33" i="51"/>
  <c r="AG33" i="43"/>
  <c r="AF34" i="43"/>
  <c r="AG34" i="51"/>
  <c r="AF35" i="51"/>
  <c r="AG34" i="43"/>
  <c r="AF35" i="43"/>
  <c r="AG35" i="51"/>
  <c r="AF36" i="51"/>
  <c r="AG35" i="43"/>
  <c r="AF36" i="43"/>
  <c r="AF37" i="51"/>
  <c r="AG36" i="51"/>
  <c r="AF37" i="43"/>
  <c r="AG36" i="43"/>
  <c r="AF38" i="51"/>
  <c r="AG37" i="51"/>
  <c r="AF38" i="43"/>
  <c r="AG37" i="43"/>
  <c r="AF39" i="51"/>
  <c r="AG38" i="51"/>
  <c r="AF39" i="43"/>
  <c r="AG38" i="43"/>
  <c r="AF40" i="51"/>
  <c r="AG39" i="51"/>
  <c r="AF40" i="43"/>
  <c r="AG39" i="43"/>
  <c r="AF41" i="51"/>
  <c r="AG40" i="51"/>
  <c r="AF41" i="43"/>
  <c r="AG40" i="43"/>
  <c r="AF42" i="51"/>
  <c r="AG41" i="51"/>
  <c r="AG41" i="43"/>
  <c r="AF42" i="43"/>
  <c r="AG42" i="51"/>
  <c r="AF43" i="51"/>
  <c r="AG42" i="43"/>
  <c r="AF43" i="43"/>
  <c r="AG43" i="51"/>
  <c r="AF44" i="51"/>
  <c r="AG43" i="43"/>
  <c r="AF44" i="43"/>
  <c r="AG44" i="51"/>
  <c r="AF45" i="51"/>
  <c r="AF45" i="43"/>
  <c r="AG44" i="43"/>
  <c r="AF46" i="51"/>
  <c r="AG45" i="51"/>
  <c r="AF46" i="43"/>
  <c r="AG45" i="43"/>
  <c r="AG46" i="51"/>
  <c r="AF47" i="51"/>
  <c r="AF47" i="43"/>
  <c r="AG46" i="43"/>
  <c r="AG47" i="51"/>
  <c r="AF48" i="51"/>
  <c r="AF48" i="43"/>
  <c r="AG47" i="43"/>
  <c r="AF49" i="51"/>
  <c r="AG48" i="51"/>
  <c r="AG48" i="43"/>
  <c r="AF49" i="43"/>
  <c r="AF50" i="51"/>
  <c r="AG49" i="51"/>
  <c r="AF50" i="43"/>
  <c r="AG49" i="43"/>
  <c r="AG50" i="51"/>
  <c r="AF51" i="51"/>
  <c r="AG50" i="43"/>
  <c r="AF51" i="43"/>
  <c r="AF52" i="51"/>
  <c r="AG51" i="51"/>
  <c r="AG51" i="43"/>
  <c r="AF52" i="43"/>
  <c r="AF53" i="51"/>
  <c r="AG52" i="51"/>
  <c r="AG52" i="43"/>
  <c r="AF53" i="43"/>
  <c r="AF54" i="51"/>
  <c r="AG53" i="51"/>
  <c r="AG53" i="43"/>
  <c r="AF54" i="43"/>
  <c r="AG54" i="51"/>
  <c r="AF55" i="51"/>
  <c r="AF55" i="43"/>
  <c r="AG54" i="43"/>
  <c r="AF56" i="51"/>
  <c r="AG55" i="51"/>
  <c r="AG55" i="43"/>
  <c r="AF56" i="43"/>
  <c r="AF57" i="51"/>
  <c r="AG56" i="51"/>
  <c r="AF57" i="43"/>
  <c r="AG56" i="43"/>
  <c r="AG57" i="51"/>
  <c r="AF58" i="51"/>
  <c r="AG57" i="43"/>
  <c r="AF58" i="43"/>
  <c r="AF59" i="51"/>
  <c r="AG58" i="51"/>
  <c r="AF59" i="43"/>
  <c r="AG58" i="43"/>
  <c r="AG59" i="51"/>
  <c r="AF60" i="51"/>
  <c r="AF60" i="43"/>
  <c r="AG59" i="43"/>
  <c r="AG60" i="51"/>
  <c r="AF61" i="51"/>
  <c r="AF61" i="43"/>
  <c r="AG60" i="43"/>
  <c r="AG61" i="51"/>
  <c r="AF62" i="51"/>
  <c r="AG61" i="43"/>
  <c r="AF62" i="43"/>
  <c r="AG62" i="51"/>
  <c r="AF63" i="51"/>
  <c r="AG62" i="43"/>
  <c r="AF63" i="43"/>
  <c r="AF64" i="51"/>
  <c r="AG63" i="51"/>
  <c r="AF64" i="43"/>
  <c r="AG63" i="43"/>
  <c r="AF65" i="51"/>
  <c r="AG64" i="51"/>
  <c r="AG64" i="43"/>
  <c r="AF65" i="43"/>
  <c r="AG65" i="43" s="1"/>
  <c r="AF66" i="51"/>
  <c r="AG65" i="51"/>
  <c r="AG66" i="51"/>
  <c r="AF67" i="51"/>
  <c r="AF68" i="51"/>
  <c r="AG67" i="51"/>
  <c r="AG68" i="51"/>
  <c r="AF69" i="51"/>
  <c r="AF70" i="51"/>
  <c r="AG69" i="51"/>
  <c r="AF71" i="51"/>
  <c r="AG70" i="51"/>
  <c r="AG71" i="51"/>
  <c r="AF72" i="51"/>
  <c r="AF73" i="51"/>
  <c r="AG72" i="51"/>
  <c r="AF74" i="51"/>
  <c r="AG73" i="51"/>
  <c r="AF75" i="51"/>
  <c r="AG74" i="51"/>
  <c r="AF76" i="51"/>
  <c r="AG75" i="51"/>
  <c r="AG76" i="51"/>
  <c r="AF77" i="51"/>
  <c r="AG77" i="51"/>
  <c r="AF78" i="51"/>
  <c r="AF79" i="51"/>
  <c r="AG78" i="51"/>
  <c r="AF80" i="51"/>
  <c r="AG79" i="51"/>
  <c r="AG80" i="51"/>
  <c r="AF81" i="51"/>
  <c r="AG81" i="51"/>
  <c r="AF82" i="51"/>
  <c r="AF83" i="51"/>
  <c r="AG82" i="51"/>
  <c r="AG83" i="51"/>
  <c r="AF84" i="51"/>
  <c r="AG84" i="51"/>
  <c r="AF85" i="51"/>
  <c r="AF86" i="51"/>
  <c r="AG85" i="51"/>
  <c r="AF87" i="51"/>
  <c r="AG86" i="51"/>
  <c r="AF88" i="51"/>
  <c r="AG87" i="51"/>
  <c r="AG88" i="51"/>
  <c r="AF89" i="51"/>
  <c r="AG89" i="51"/>
  <c r="AF90" i="51"/>
  <c r="AG90" i="51"/>
  <c r="AF91" i="51"/>
  <c r="AF92" i="51"/>
  <c r="AG91" i="51"/>
  <c r="AG92" i="51"/>
  <c r="AF93" i="51"/>
  <c r="AG93" i="51"/>
  <c r="AF94" i="51"/>
  <c r="AF95" i="51"/>
  <c r="AG94" i="51"/>
  <c r="AG95" i="51"/>
  <c r="AF96" i="51"/>
  <c r="AG96" i="51"/>
  <c r="AF97" i="51"/>
  <c r="AF98" i="51"/>
  <c r="AG97" i="51"/>
  <c r="AG98" i="51"/>
  <c r="AF99" i="51"/>
  <c r="AG99" i="51"/>
  <c r="AF100" i="51"/>
  <c r="AG100" i="51"/>
  <c r="AF101" i="51"/>
  <c r="AF102" i="51"/>
  <c r="AG101" i="51"/>
  <c r="AF103" i="51"/>
  <c r="AG102" i="51"/>
  <c r="AF104" i="51"/>
  <c r="AG103" i="51"/>
  <c r="AF105" i="51"/>
  <c r="AG104" i="51"/>
  <c r="AG105" i="51"/>
  <c r="AF106" i="51"/>
  <c r="AF107" i="51"/>
  <c r="AG106" i="51"/>
  <c r="AG107" i="51"/>
  <c r="AF108" i="51"/>
  <c r="AG108" i="51"/>
  <c r="AF109" i="51"/>
  <c r="AF110" i="51"/>
  <c r="AG109" i="51"/>
  <c r="AG110" i="51"/>
  <c r="AF111" i="51"/>
  <c r="AG111" i="51"/>
  <c r="AF112" i="51"/>
  <c r="AF113" i="51"/>
  <c r="AG112" i="51"/>
  <c r="AF114" i="51"/>
  <c r="AG113" i="51"/>
  <c r="AF115" i="51"/>
  <c r="AG114" i="51"/>
  <c r="AG115" i="51"/>
  <c r="AF116" i="51"/>
  <c r="AF117" i="51"/>
  <c r="AG116" i="51"/>
  <c r="AG117" i="51"/>
  <c r="AF118" i="51"/>
  <c r="AF119" i="51"/>
  <c r="AG118" i="51"/>
  <c r="AG119" i="51"/>
  <c r="AF120" i="51"/>
  <c r="AG120" i="51"/>
  <c r="AF121" i="51"/>
  <c r="AG121" i="51"/>
  <c r="AF122" i="51"/>
  <c r="AF123" i="51"/>
  <c r="AG122" i="51"/>
  <c r="AF124" i="51"/>
  <c r="AG123" i="51"/>
  <c r="AF125" i="51"/>
  <c r="AG124" i="51"/>
  <c r="AG125" i="51"/>
  <c r="AF126" i="51"/>
  <c r="AF127" i="51"/>
  <c r="AG126" i="51"/>
  <c r="AF128" i="51"/>
  <c r="AG127" i="51"/>
  <c r="AF129" i="51"/>
  <c r="AG128" i="51"/>
  <c r="AF130" i="51"/>
  <c r="AG129" i="51"/>
  <c r="AF131" i="51"/>
  <c r="AG130" i="51"/>
  <c r="AG131" i="51"/>
  <c r="AF132" i="51"/>
  <c r="AF133" i="51"/>
  <c r="AG132" i="51"/>
  <c r="AG133" i="51"/>
  <c r="AF134" i="51"/>
  <c r="AF135" i="51"/>
  <c r="AG134" i="51"/>
  <c r="AF136" i="51"/>
  <c r="AG135" i="51"/>
  <c r="AG136" i="51"/>
  <c r="AF137" i="51"/>
  <c r="AF138" i="51"/>
  <c r="AG137" i="51"/>
  <c r="AF139" i="51"/>
  <c r="AG138" i="51"/>
  <c r="AG139" i="51"/>
  <c r="AF140" i="51"/>
  <c r="AF141" i="51"/>
  <c r="AG140" i="51"/>
  <c r="AF142" i="51"/>
  <c r="AG141" i="51"/>
  <c r="AF143" i="51"/>
  <c r="AG142" i="51"/>
  <c r="AF144" i="51"/>
  <c r="AG143" i="51"/>
  <c r="AF145" i="51"/>
  <c r="AG144" i="51"/>
  <c r="AG145" i="51"/>
  <c r="AF146" i="51"/>
  <c r="AF147" i="51"/>
  <c r="AG146" i="51"/>
  <c r="AF148" i="51"/>
  <c r="AG147" i="51"/>
  <c r="AF149" i="51"/>
  <c r="AG148" i="51"/>
  <c r="AF150" i="51"/>
  <c r="AG149" i="51"/>
  <c r="AG150" i="51"/>
  <c r="AF151" i="51"/>
  <c r="AG151" i="51"/>
  <c r="AF152" i="51"/>
  <c r="AG152" i="51"/>
  <c r="AF153" i="51"/>
  <c r="AG153" i="51"/>
  <c r="AF154" i="51"/>
  <c r="AF155" i="51"/>
  <c r="AG154" i="51"/>
  <c r="AF156" i="51"/>
  <c r="AG155" i="51"/>
  <c r="AG156" i="51"/>
  <c r="AF157" i="51"/>
  <c r="AF158" i="51"/>
  <c r="AG157" i="51"/>
  <c r="AF159" i="51"/>
  <c r="AG158" i="51"/>
  <c r="AF160" i="51"/>
  <c r="AG159" i="51"/>
  <c r="AF161" i="51"/>
  <c r="AG160" i="51"/>
  <c r="AG161" i="51"/>
  <c r="AF162" i="51"/>
  <c r="AF163" i="51"/>
  <c r="AG162" i="51"/>
  <c r="AF164" i="51"/>
  <c r="AG163" i="51"/>
  <c r="AF165" i="51"/>
  <c r="AG164" i="51"/>
  <c r="AG165" i="51"/>
  <c r="AF166" i="51"/>
  <c r="AG166" i="51"/>
  <c r="AF167" i="51"/>
  <c r="AG167" i="51"/>
  <c r="AF168" i="51"/>
  <c r="AF169" i="51"/>
  <c r="AG168" i="51"/>
  <c r="AF170" i="51"/>
  <c r="AG169" i="51"/>
  <c r="AG170" i="51"/>
  <c r="AF171" i="51"/>
  <c r="AG171" i="51"/>
  <c r="AF172" i="51"/>
  <c r="AG172" i="51"/>
  <c r="AF173" i="51"/>
  <c r="AG173" i="51"/>
  <c r="AF174" i="51"/>
  <c r="AG174" i="51"/>
  <c r="AF175" i="51"/>
  <c r="AF176" i="51"/>
  <c r="AG175" i="51"/>
  <c r="AG176" i="51"/>
  <c r="AF177" i="51"/>
  <c r="AF178" i="51"/>
  <c r="AG177" i="51"/>
  <c r="AG178" i="51"/>
  <c r="AF179" i="51"/>
  <c r="AG179" i="51"/>
  <c r="AF180" i="51"/>
  <c r="AG180" i="51"/>
  <c r="AF181" i="51"/>
  <c r="AG181" i="51"/>
  <c r="AF182" i="51"/>
  <c r="AF183" i="51"/>
  <c r="AG182" i="51"/>
  <c r="AF184" i="51"/>
  <c r="AG183" i="51"/>
  <c r="AF185" i="51"/>
  <c r="AG184" i="51"/>
  <c r="AF186" i="51"/>
  <c r="AG185" i="51"/>
  <c r="AG186" i="51"/>
  <c r="AF187" i="51"/>
  <c r="AG187" i="51"/>
  <c r="AF188" i="51"/>
  <c r="AF189" i="51"/>
  <c r="AG188" i="51"/>
  <c r="AF190" i="51"/>
  <c r="AG189" i="51"/>
  <c r="AF191" i="51"/>
  <c r="AG190" i="51"/>
  <c r="AG191" i="51"/>
  <c r="AF192" i="51"/>
  <c r="AF193" i="51"/>
  <c r="AG192" i="51"/>
  <c r="AF194" i="51"/>
  <c r="AG193" i="51"/>
  <c r="AG194" i="51"/>
  <c r="AF195" i="51"/>
  <c r="AG195" i="51"/>
  <c r="AF196" i="51"/>
  <c r="AF197" i="51"/>
  <c r="AG196" i="51"/>
  <c r="AG197" i="51"/>
  <c r="AF198" i="51"/>
  <c r="AG198" i="51"/>
  <c r="AF199" i="51"/>
  <c r="AG199" i="51"/>
  <c r="AF200" i="51"/>
  <c r="AF201" i="51"/>
  <c r="AG200" i="51"/>
  <c r="AF202" i="51"/>
  <c r="AG201" i="51"/>
  <c r="AG202" i="51"/>
  <c r="AF203" i="51"/>
  <c r="AG203" i="51"/>
  <c r="AF204" i="51"/>
  <c r="AF205" i="51"/>
  <c r="AG204" i="51"/>
  <c r="AF206" i="51"/>
  <c r="AG205" i="51"/>
  <c r="AG206" i="51"/>
  <c r="AF207" i="51"/>
  <c r="AF208" i="51"/>
  <c r="AG207" i="51"/>
  <c r="AF209" i="51"/>
  <c r="AG208" i="51"/>
  <c r="AF210" i="51"/>
  <c r="AG209" i="51"/>
  <c r="AG210" i="51"/>
  <c r="AF211" i="51"/>
  <c r="AF212" i="51"/>
  <c r="AG211" i="51"/>
  <c r="AF213" i="51"/>
  <c r="AG212" i="51"/>
  <c r="AG213" i="51"/>
  <c r="AF214" i="51"/>
  <c r="AF215" i="51"/>
  <c r="AG214" i="51"/>
  <c r="AF216" i="51"/>
  <c r="AG215" i="51"/>
  <c r="AG216" i="51"/>
  <c r="AF217" i="51"/>
  <c r="AF218" i="51"/>
  <c r="AG217" i="51"/>
  <c r="AF219" i="51"/>
  <c r="AG218" i="51"/>
  <c r="AG219" i="51"/>
  <c r="AF220" i="51"/>
  <c r="AG220" i="51"/>
  <c r="AF221" i="51"/>
  <c r="AG221" i="51"/>
  <c r="AF222" i="51"/>
  <c r="AG222" i="51"/>
  <c r="AF223" i="51"/>
  <c r="AG223" i="51"/>
  <c r="AF224" i="51"/>
  <c r="AF225" i="51"/>
  <c r="AG224" i="51"/>
  <c r="AG225" i="51"/>
  <c r="AF226" i="51"/>
  <c r="AG226" i="51"/>
  <c r="AF227" i="51"/>
  <c r="AG227" i="51"/>
  <c r="AF228" i="51"/>
  <c r="AG228" i="51"/>
  <c r="AF229" i="51"/>
  <c r="AF230" i="51"/>
  <c r="AG229" i="51"/>
  <c r="AG230" i="51"/>
  <c r="AF231" i="51"/>
  <c r="AG231" i="51"/>
  <c r="AF232" i="51"/>
  <c r="AG232" i="51"/>
  <c r="AF233" i="51"/>
  <c r="AF234" i="51"/>
  <c r="AG233" i="51"/>
  <c r="AF235" i="51"/>
  <c r="AG234" i="51"/>
  <c r="AF236" i="51"/>
  <c r="AG235" i="51"/>
  <c r="AG236" i="51"/>
  <c r="AF237" i="51"/>
  <c r="AF238" i="51"/>
  <c r="AG237" i="51"/>
  <c r="AF239" i="51"/>
  <c r="AG238" i="51"/>
  <c r="AF240" i="51"/>
  <c r="AG239" i="51"/>
  <c r="AF241" i="51"/>
  <c r="AG240" i="51"/>
  <c r="AG241" i="51"/>
  <c r="AF242" i="51"/>
  <c r="AF243" i="51"/>
  <c r="AG242" i="51"/>
  <c r="AF244" i="51"/>
  <c r="AG243" i="51"/>
  <c r="AF245" i="51"/>
  <c r="AG244" i="51"/>
  <c r="AG245" i="51"/>
  <c r="AF246" i="51"/>
  <c r="AG246" i="51"/>
  <c r="AF247" i="51"/>
  <c r="AF248" i="51"/>
  <c r="AG247" i="51"/>
  <c r="AF249" i="51"/>
  <c r="AG248" i="51"/>
  <c r="AG249" i="51"/>
  <c r="AF250" i="51"/>
  <c r="AF251" i="51"/>
  <c r="AG250" i="51"/>
  <c r="AF252" i="51"/>
  <c r="AG251" i="51"/>
  <c r="AF253" i="51"/>
  <c r="AG252" i="51"/>
  <c r="AF254" i="51"/>
  <c r="AG253" i="51"/>
  <c r="AF255" i="51"/>
  <c r="AG254" i="51"/>
  <c r="AG255" i="51"/>
  <c r="AF256" i="51"/>
  <c r="AG256" i="51"/>
  <c r="AF257" i="51"/>
  <c r="AG257" i="51"/>
  <c r="AF258" i="51"/>
  <c r="AF259" i="51"/>
  <c r="AG259" i="51" s="1"/>
  <c r="AG258" i="51"/>
  <c r="M25" i="52" l="1"/>
  <c r="M30" i="52"/>
  <c r="M31" i="52"/>
  <c r="M28" i="52"/>
  <c r="M21" i="52"/>
  <c r="M18" i="52"/>
  <c r="M4" i="52"/>
  <c r="M29" i="52"/>
  <c r="M33" i="52"/>
  <c r="M22" i="52"/>
  <c r="M8" i="52"/>
  <c r="M16" i="52"/>
  <c r="M9" i="52"/>
  <c r="M14" i="52"/>
  <c r="M26" i="52"/>
  <c r="M12" i="52"/>
  <c r="M5" i="52"/>
  <c r="M23" i="52"/>
  <c r="M15" i="52"/>
  <c r="M32" i="52"/>
  <c r="M2" i="52"/>
  <c r="M3" i="52"/>
  <c r="M19" i="52"/>
  <c r="M13" i="52"/>
  <c r="M6" i="52"/>
  <c r="M7" i="52"/>
  <c r="M20" i="52"/>
  <c r="M27" i="52"/>
  <c r="M10" i="52"/>
  <c r="M11" i="52"/>
  <c r="M17" i="52"/>
  <c r="M24" i="52"/>
  <c r="D17" i="42"/>
  <c r="O3" i="39"/>
  <c r="N3" i="39"/>
  <c r="M3" i="39"/>
  <c r="M3" i="43"/>
  <c r="O3" i="43"/>
  <c r="N3" i="43"/>
  <c r="M3" i="51"/>
  <c r="O3" i="51"/>
  <c r="N3" i="51"/>
  <c r="K3" i="48"/>
  <c r="J3" i="48"/>
  <c r="I3" i="48"/>
  <c r="AG12" i="43"/>
  <c r="N18" i="52"/>
  <c r="N14" i="52"/>
  <c r="N3" i="52"/>
  <c r="N11" i="52"/>
  <c r="AG10" i="51"/>
  <c r="O3" i="48" a="1"/>
  <c r="U9" i="43" a="1"/>
  <c r="U3" i="51" a="1"/>
  <c r="R10" i="40"/>
  <c r="N4" i="52"/>
  <c r="N26" i="52"/>
  <c r="N19" i="52"/>
  <c r="N17" i="52"/>
  <c r="E17" i="42"/>
  <c r="U13" i="39" a="1"/>
  <c r="Q9" i="48" a="1"/>
  <c r="U9" i="51" a="1"/>
  <c r="R13" i="42"/>
  <c r="R14" i="42" s="1"/>
  <c r="R15" i="42" s="1"/>
  <c r="N29" i="52"/>
  <c r="N12" i="52"/>
  <c r="N13" i="52"/>
  <c r="N24" i="52"/>
  <c r="U9" i="39" a="1"/>
  <c r="Q3" i="48" a="1"/>
  <c r="S3" i="51" a="1"/>
  <c r="N25" i="52"/>
  <c r="N33" i="52"/>
  <c r="N5" i="52"/>
  <c r="N6" i="52"/>
  <c r="AG8" i="43"/>
  <c r="S3" i="39" a="1"/>
  <c r="U3" i="39" a="1"/>
  <c r="Q13" i="48" a="1"/>
  <c r="N30" i="52"/>
  <c r="N22" i="52"/>
  <c r="N23" i="52"/>
  <c r="N7" i="52"/>
  <c r="AF9" i="39"/>
  <c r="T9" i="51" a="1"/>
  <c r="P3" i="48" a="1"/>
  <c r="S3" i="43" a="1"/>
  <c r="N31" i="52"/>
  <c r="N8" i="52"/>
  <c r="N15" i="52"/>
  <c r="N20" i="52"/>
  <c r="R10" i="50"/>
  <c r="R11" i="50" s="1"/>
  <c r="T3" i="51" a="1"/>
  <c r="P9" i="48" a="1"/>
  <c r="T9" i="43" a="1"/>
  <c r="N28" i="52"/>
  <c r="N16" i="52"/>
  <c r="N32" i="52"/>
  <c r="N27" i="52"/>
  <c r="G19" i="40"/>
  <c r="T3" i="39" a="1"/>
  <c r="U3" i="43" a="1"/>
  <c r="T3" i="43" a="1"/>
  <c r="N21" i="52"/>
  <c r="N9" i="52"/>
  <c r="N2" i="52"/>
  <c r="N10" i="52"/>
  <c r="AB8" i="48"/>
  <c r="T9" i="39" a="1"/>
  <c r="U13" i="43" a="1"/>
  <c r="U13" i="51" a="1"/>
  <c r="C18" i="42"/>
  <c r="F17" i="42"/>
  <c r="G17" i="42" s="1"/>
  <c r="AG9" i="39"/>
  <c r="AF10" i="39"/>
  <c r="AB9" i="48"/>
  <c r="AC8" i="48"/>
  <c r="E18" i="42"/>
  <c r="AG10" i="39"/>
  <c r="AF11" i="39"/>
  <c r="AB10" i="48"/>
  <c r="AC9" i="48"/>
  <c r="F18" i="42"/>
  <c r="G18" i="42" s="1"/>
  <c r="AG11" i="39"/>
  <c r="AF12" i="39"/>
  <c r="AC10" i="48"/>
  <c r="AG12" i="39"/>
  <c r="AF13" i="39"/>
  <c r="AF14" i="39"/>
  <c r="AG13" i="39"/>
  <c r="AF15" i="39"/>
  <c r="AG14" i="39"/>
  <c r="AG15" i="39"/>
  <c r="AF16" i="39"/>
  <c r="AF17" i="39"/>
  <c r="AG16" i="39"/>
  <c r="AF18" i="39"/>
  <c r="AG17" i="39"/>
  <c r="AF19" i="39"/>
  <c r="AG18" i="39"/>
  <c r="AF20" i="39"/>
  <c r="AG19" i="39"/>
  <c r="AF21" i="39"/>
  <c r="AG20" i="39"/>
  <c r="AF22" i="39"/>
  <c r="AG21" i="39"/>
  <c r="AF23" i="39"/>
  <c r="AG22" i="39"/>
  <c r="AF24" i="39"/>
  <c r="AG23" i="39"/>
  <c r="AG24" i="39"/>
  <c r="AF25" i="39"/>
  <c r="AF26" i="39"/>
  <c r="AG25" i="39"/>
  <c r="AG26" i="39"/>
  <c r="AF27" i="39"/>
  <c r="AF28" i="39"/>
  <c r="AG27" i="39"/>
  <c r="AF29" i="39"/>
  <c r="AG28" i="39"/>
  <c r="AF30" i="39"/>
  <c r="AG29" i="39"/>
  <c r="AF31" i="39"/>
  <c r="AG30" i="39"/>
  <c r="AF32" i="39"/>
  <c r="AG31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G38" i="39"/>
  <c r="AF39" i="39"/>
  <c r="AF40" i="39"/>
  <c r="AG39" i="39"/>
  <c r="AF41" i="39"/>
  <c r="AG40" i="39"/>
  <c r="AF42" i="39"/>
  <c r="AG41" i="39"/>
  <c r="AF43" i="39"/>
  <c r="AG42" i="39"/>
  <c r="AF44" i="39"/>
  <c r="AG43" i="39"/>
  <c r="AG44" i="39"/>
  <c r="AF45" i="39"/>
  <c r="AF46" i="39"/>
  <c r="AG45" i="39"/>
  <c r="AF47" i="39"/>
  <c r="AG46" i="39"/>
  <c r="AG47" i="39"/>
  <c r="AF48" i="39"/>
  <c r="AG48" i="39"/>
  <c r="AF49" i="39"/>
  <c r="AF50" i="39"/>
  <c r="AG49" i="39"/>
  <c r="AG50" i="39"/>
  <c r="AF51" i="39"/>
  <c r="AG51" i="39"/>
  <c r="AF52" i="39"/>
  <c r="AG52" i="39"/>
  <c r="AF53" i="39"/>
  <c r="AG53" i="39"/>
  <c r="AF54" i="39"/>
  <c r="AG54" i="39"/>
  <c r="AF55" i="39"/>
  <c r="AG55" i="39"/>
  <c r="AF56" i="39"/>
  <c r="AG56" i="39"/>
  <c r="AF57" i="39"/>
  <c r="AF58" i="39"/>
  <c r="AG57" i="39"/>
  <c r="AG58" i="39"/>
  <c r="AF59" i="39"/>
  <c r="AG59" i="39"/>
  <c r="AF60" i="39"/>
  <c r="AG60" i="39"/>
  <c r="AF61" i="39"/>
  <c r="AG61" i="39"/>
  <c r="AF62" i="39"/>
  <c r="AF63" i="39"/>
  <c r="AG62" i="39"/>
  <c r="AF64" i="39"/>
  <c r="AG63" i="39"/>
  <c r="AG64" i="39"/>
  <c r="AF65" i="39"/>
  <c r="AG65" i="39"/>
  <c r="AF66" i="39"/>
  <c r="AG66" i="39"/>
  <c r="AF67" i="39"/>
  <c r="AF68" i="39"/>
  <c r="AG67" i="39"/>
  <c r="AG68" i="39"/>
  <c r="AF69" i="39"/>
  <c r="AG69" i="39"/>
  <c r="AF70" i="39"/>
  <c r="AF71" i="39"/>
  <c r="AG70" i="39"/>
  <c r="AG71" i="39"/>
  <c r="AF72" i="39"/>
  <c r="AF73" i="39"/>
  <c r="AG72" i="39"/>
  <c r="AF74" i="39"/>
  <c r="AG73" i="39"/>
  <c r="AF75" i="39"/>
  <c r="AG74" i="39"/>
  <c r="AF76" i="39"/>
  <c r="AG75" i="39"/>
  <c r="AF77" i="39"/>
  <c r="AG76" i="39"/>
  <c r="AF78" i="39"/>
  <c r="AG77" i="39"/>
  <c r="AF79" i="39"/>
  <c r="AG78" i="39"/>
  <c r="AG79" i="39"/>
  <c r="AF80" i="39"/>
  <c r="AG80" i="39"/>
  <c r="AF81" i="39"/>
  <c r="AG81" i="39"/>
  <c r="AF82" i="39"/>
  <c r="AG82" i="39"/>
  <c r="AF83" i="39"/>
  <c r="AF84" i="39"/>
  <c r="AG83" i="39"/>
  <c r="AG84" i="39"/>
  <c r="AF85" i="39"/>
  <c r="AG85" i="39"/>
  <c r="AF86" i="39"/>
  <c r="AF87" i="39"/>
  <c r="AG86" i="39"/>
  <c r="AF88" i="39"/>
  <c r="AG87" i="39"/>
  <c r="AG88" i="39"/>
  <c r="AF89" i="39"/>
  <c r="AF90" i="39"/>
  <c r="AG89" i="39"/>
  <c r="AF91" i="39"/>
  <c r="AG90" i="39"/>
  <c r="AG91" i="39"/>
  <c r="AF92" i="39"/>
  <c r="AG92" i="39"/>
  <c r="AF93" i="39"/>
  <c r="AF94" i="39"/>
  <c r="AG93" i="39"/>
  <c r="AG94" i="39"/>
  <c r="AF95" i="39"/>
  <c r="AF96" i="39"/>
  <c r="AG95" i="39"/>
  <c r="AG96" i="39"/>
  <c r="AF97" i="39"/>
  <c r="AF98" i="39"/>
  <c r="AG97" i="39"/>
  <c r="AF99" i="39"/>
  <c r="AG98" i="39"/>
  <c r="AG99" i="39"/>
  <c r="AF100" i="39"/>
  <c r="AF101" i="39"/>
  <c r="AG100" i="39"/>
  <c r="AF102" i="39"/>
  <c r="AG101" i="39"/>
  <c r="AG102" i="39"/>
  <c r="AF103" i="39"/>
  <c r="AF104" i="39"/>
  <c r="AG103" i="39"/>
  <c r="AF105" i="39"/>
  <c r="AG104" i="39"/>
  <c r="AF106" i="39"/>
  <c r="AG105" i="39"/>
  <c r="AG106" i="39"/>
  <c r="AF107" i="39"/>
  <c r="AF108" i="39"/>
  <c r="AG107" i="39"/>
  <c r="AG108" i="39"/>
  <c r="AF109" i="39"/>
  <c r="AG109" i="39"/>
  <c r="AF110" i="39"/>
  <c r="AG110" i="39"/>
  <c r="AF111" i="39"/>
  <c r="AG111" i="39"/>
  <c r="AF112" i="39"/>
  <c r="AG112" i="39"/>
  <c r="AF113" i="39"/>
  <c r="AF114" i="39"/>
  <c r="AG113" i="39"/>
  <c r="AF115" i="39"/>
  <c r="AG114" i="39"/>
  <c r="AG115" i="39"/>
  <c r="AF116" i="39"/>
  <c r="AF117" i="39"/>
  <c r="AG116" i="39"/>
  <c r="AG117" i="39"/>
  <c r="AF118" i="39"/>
  <c r="AG118" i="39"/>
  <c r="AF119" i="39"/>
  <c r="AG119" i="39"/>
  <c r="AF120" i="39"/>
  <c r="AG120" i="39"/>
  <c r="AF121" i="39"/>
  <c r="AF122" i="39"/>
  <c r="AG121" i="39"/>
  <c r="AG122" i="39"/>
  <c r="AF123" i="39"/>
  <c r="AF124" i="39"/>
  <c r="AG123" i="39"/>
  <c r="AG124" i="39"/>
  <c r="AF125" i="39"/>
  <c r="AG125" i="39"/>
  <c r="AF126" i="39"/>
  <c r="AF127" i="39"/>
  <c r="AG126" i="39"/>
  <c r="AF128" i="39"/>
  <c r="AG127" i="39"/>
  <c r="AG128" i="39"/>
  <c r="AF129" i="39"/>
  <c r="AF130" i="39"/>
  <c r="AG129" i="39"/>
  <c r="AF131" i="39"/>
  <c r="AG130" i="39"/>
  <c r="AF132" i="39"/>
  <c r="AG131" i="39"/>
  <c r="D18" i="42" l="1"/>
  <c r="S5" i="51"/>
  <c r="S3" i="51"/>
  <c r="S4" i="51"/>
  <c r="U9" i="51"/>
  <c r="U10" i="51"/>
  <c r="U4" i="51"/>
  <c r="U5" i="51"/>
  <c r="U3" i="51"/>
  <c r="U13" i="51"/>
  <c r="AA13" i="51" s="1"/>
  <c r="T5" i="43"/>
  <c r="T3" i="43"/>
  <c r="T4" i="43"/>
  <c r="T9" i="43"/>
  <c r="T10" i="43"/>
  <c r="S4" i="43"/>
  <c r="S3" i="43"/>
  <c r="S5" i="43"/>
  <c r="Q13" i="48"/>
  <c r="W13" i="48" s="1"/>
  <c r="Q4" i="48"/>
  <c r="Q3" i="48"/>
  <c r="Q5" i="48"/>
  <c r="Q10" i="48"/>
  <c r="Q9" i="48"/>
  <c r="U10" i="43"/>
  <c r="U9" i="43"/>
  <c r="U13" i="43"/>
  <c r="AA13" i="43" s="1"/>
  <c r="U4" i="43"/>
  <c r="U3" i="43"/>
  <c r="U5" i="43"/>
  <c r="P10" i="48"/>
  <c r="P9" i="48"/>
  <c r="W9" i="48" s="1" a="1"/>
  <c r="P3" i="48"/>
  <c r="P4" i="48"/>
  <c r="P5" i="48"/>
  <c r="U3" i="39"/>
  <c r="U5" i="39"/>
  <c r="U4" i="39"/>
  <c r="U9" i="39"/>
  <c r="U10" i="39"/>
  <c r="U13" i="39"/>
  <c r="AA13" i="39" s="1"/>
  <c r="O5" i="48"/>
  <c r="O4" i="48"/>
  <c r="O3" i="48"/>
  <c r="T9" i="39"/>
  <c r="T10" i="39"/>
  <c r="T4" i="39"/>
  <c r="T3" i="39"/>
  <c r="T5" i="39"/>
  <c r="T5" i="51"/>
  <c r="T4" i="51"/>
  <c r="T3" i="51"/>
  <c r="T10" i="51"/>
  <c r="T9" i="51"/>
  <c r="AA9" i="51" s="1" a="1"/>
  <c r="S4" i="39"/>
  <c r="S5" i="39"/>
  <c r="S3" i="39"/>
  <c r="AG132" i="39"/>
  <c r="C19" i="42"/>
  <c r="R16" i="42"/>
  <c r="R17" i="42" s="1"/>
  <c r="R18" i="42" s="1"/>
  <c r="R11" i="40"/>
  <c r="AB11" i="48"/>
  <c r="R12" i="50"/>
  <c r="E19" i="42"/>
  <c r="AB12" i="48"/>
  <c r="F19" i="42"/>
  <c r="AC12" i="48"/>
  <c r="D19" i="42" l="1"/>
  <c r="AA10" i="51"/>
  <c r="AB9" i="51"/>
  <c r="AA9" i="51"/>
  <c r="AB10" i="51"/>
  <c r="AA3" i="39" a="1"/>
  <c r="AA3" i="43" a="1"/>
  <c r="W9" i="48"/>
  <c r="X10" i="48"/>
  <c r="X9" i="48"/>
  <c r="W10" i="48"/>
  <c r="AA9" i="39" a="1"/>
  <c r="W3" i="48" a="1"/>
  <c r="AA3" i="51" a="1"/>
  <c r="AA9" i="43" a="1"/>
  <c r="G19" i="42"/>
  <c r="AB13" i="48"/>
  <c r="C20" i="42"/>
  <c r="R13" i="50"/>
  <c r="R14" i="50" s="1"/>
  <c r="AC11" i="48"/>
  <c r="R12" i="40"/>
  <c r="R19" i="42"/>
  <c r="R20" i="42" s="1"/>
  <c r="R21" i="42" s="1"/>
  <c r="AB14" i="48"/>
  <c r="AC13" i="48"/>
  <c r="E20" i="42"/>
  <c r="AB15" i="48"/>
  <c r="AC14" i="48"/>
  <c r="C21" i="42"/>
  <c r="F20" i="42"/>
  <c r="AC15" i="48"/>
  <c r="AB16" i="48"/>
  <c r="E21" i="42"/>
  <c r="AB17" i="48"/>
  <c r="AC16" i="48"/>
  <c r="F21" i="42"/>
  <c r="C22" i="42"/>
  <c r="AC17" i="48"/>
  <c r="AB18" i="48"/>
  <c r="E22" i="42"/>
  <c r="AC18" i="48"/>
  <c r="AB19" i="48"/>
  <c r="F22" i="42"/>
  <c r="C23" i="42"/>
  <c r="AC19" i="48"/>
  <c r="AB20" i="48"/>
  <c r="E23" i="42"/>
  <c r="AB21" i="48"/>
  <c r="AC20" i="48"/>
  <c r="F23" i="42"/>
  <c r="G23" i="42" s="1"/>
  <c r="AB22" i="48"/>
  <c r="AC21" i="48"/>
  <c r="AC22" i="48"/>
  <c r="AB23" i="48"/>
  <c r="AC23" i="48"/>
  <c r="AB24" i="48"/>
  <c r="AB25" i="48"/>
  <c r="AC24" i="48"/>
  <c r="AB26" i="48"/>
  <c r="AC26" i="48" s="1"/>
  <c r="AC25" i="48"/>
  <c r="D23" i="42" l="1"/>
  <c r="D22" i="42"/>
  <c r="D21" i="42"/>
  <c r="D20" i="42"/>
  <c r="AA3" i="51"/>
  <c r="AC4" i="51"/>
  <c r="AC5" i="51"/>
  <c r="AB3" i="51"/>
  <c r="AB5" i="51"/>
  <c r="AA4" i="51"/>
  <c r="AC3" i="51"/>
  <c r="AA5" i="51"/>
  <c r="AB4" i="51"/>
  <c r="AC3" i="39"/>
  <c r="AA5" i="39"/>
  <c r="AC4" i="39"/>
  <c r="AB3" i="39"/>
  <c r="AC5" i="39"/>
  <c r="AB5" i="39"/>
  <c r="AA4" i="39"/>
  <c r="AA3" i="39"/>
  <c r="AB4" i="39"/>
  <c r="AB10" i="39"/>
  <c r="AB9" i="39"/>
  <c r="AA10" i="39"/>
  <c r="AA9" i="39"/>
  <c r="AA4" i="43"/>
  <c r="AA5" i="43"/>
  <c r="AA3" i="43"/>
  <c r="AC3" i="43"/>
  <c r="AB5" i="43"/>
  <c r="AB3" i="43"/>
  <c r="AB4" i="43"/>
  <c r="AC4" i="43"/>
  <c r="AC5" i="43"/>
  <c r="W5" i="48"/>
  <c r="X3" i="48"/>
  <c r="W4" i="48"/>
  <c r="X4" i="48"/>
  <c r="W3" i="48"/>
  <c r="Y4" i="48"/>
  <c r="Y3" i="48"/>
  <c r="Y5" i="48"/>
  <c r="X5" i="48"/>
  <c r="AA10" i="43"/>
  <c r="AA9" i="43"/>
  <c r="AB9" i="43"/>
  <c r="AB10" i="43"/>
  <c r="R22" i="42"/>
  <c r="G22" i="42"/>
  <c r="G21" i="42"/>
  <c r="G20" i="42"/>
  <c r="R13" i="40"/>
  <c r="R15" i="50"/>
  <c r="R16" i="50" s="1"/>
  <c r="R17" i="50"/>
  <c r="R14" i="40"/>
  <c r="R23" i="42"/>
  <c r="R24" i="42"/>
  <c r="R15" i="40"/>
  <c r="R16" i="40" s="1"/>
  <c r="R18" i="50"/>
  <c r="R19" i="50"/>
  <c r="R17" i="40"/>
  <c r="R25" i="42"/>
  <c r="R26" i="42"/>
  <c r="R18" i="40"/>
  <c r="R20" i="50"/>
  <c r="R21" i="50"/>
  <c r="R19" i="40"/>
  <c r="R27" i="42"/>
  <c r="R28" i="42" l="1"/>
  <c r="R20" i="40"/>
  <c r="R21" i="40" s="1"/>
  <c r="R22" i="50"/>
  <c r="R23" i="50"/>
  <c r="R24" i="50" s="1"/>
  <c r="R22" i="40"/>
  <c r="R29" i="42"/>
  <c r="R30" i="42" l="1"/>
  <c r="R23" i="40"/>
  <c r="R24" i="40" s="1"/>
  <c r="R25" i="40" s="1"/>
  <c r="R26" i="40" s="1"/>
  <c r="R27" i="40" s="1"/>
  <c r="R28" i="40" s="1"/>
  <c r="R29" i="40" s="1"/>
  <c r="R30" i="40" s="1"/>
  <c r="R31" i="40" s="1"/>
  <c r="R32" i="40" s="1"/>
  <c r="R33" i="40" s="1"/>
  <c r="R25" i="50"/>
  <c r="R26" i="50" l="1"/>
  <c r="R27" i="50" s="1"/>
  <c r="R28" i="50" s="1"/>
  <c r="R34" i="40"/>
  <c r="R31" i="42"/>
  <c r="R32" i="42" l="1"/>
  <c r="R33" i="42" s="1"/>
  <c r="R34" i="42" s="1"/>
  <c r="R35" i="42" s="1"/>
  <c r="R35" i="40"/>
  <c r="R29" i="50"/>
  <c r="R30" i="50" l="1"/>
  <c r="R31" i="50" s="1"/>
  <c r="R36" i="40"/>
  <c r="R37" i="40" s="1"/>
  <c r="R36" i="42"/>
  <c r="R37" i="42" l="1"/>
  <c r="R38" i="40"/>
  <c r="R32" i="50"/>
  <c r="R39" i="40" l="1"/>
  <c r="R38" i="42"/>
  <c r="R33" i="50"/>
  <c r="R34" i="50" l="1"/>
  <c r="R39" i="42"/>
  <c r="R40" i="40"/>
  <c r="R41" i="40" s="1"/>
  <c r="R42" i="40" l="1"/>
  <c r="R40" i="42"/>
  <c r="R35" i="50"/>
  <c r="R36" i="50" l="1"/>
  <c r="R41" i="42"/>
  <c r="R42" i="42" s="1"/>
  <c r="R43" i="42" s="1"/>
  <c r="R43" i="40"/>
  <c r="R44" i="40" l="1"/>
  <c r="R45" i="40" s="1"/>
  <c r="R44" i="42"/>
  <c r="R37" i="50"/>
  <c r="R38" i="50" l="1"/>
  <c r="R46" i="40"/>
  <c r="R45" i="42"/>
  <c r="R46" i="42" l="1"/>
  <c r="R47" i="40"/>
  <c r="R39" i="50"/>
  <c r="R40" i="50" l="1"/>
  <c r="R48" i="40"/>
  <c r="R49" i="40" s="1"/>
  <c r="R47" i="42"/>
  <c r="R48" i="42" l="1"/>
  <c r="R50" i="40"/>
  <c r="R41" i="50"/>
  <c r="R42" i="50" l="1"/>
  <c r="R51" i="40"/>
  <c r="R49" i="42"/>
  <c r="R50" i="42" s="1"/>
  <c r="R51" i="42" s="1"/>
  <c r="R52" i="42" s="1"/>
  <c r="R53" i="42" s="1"/>
  <c r="R54" i="42" s="1"/>
  <c r="R55" i="42" s="1"/>
  <c r="R56" i="42" s="1"/>
  <c r="R57" i="42" l="1"/>
  <c r="R58" i="42" s="1"/>
  <c r="R59" i="42" s="1"/>
  <c r="R60" i="42" s="1"/>
  <c r="R61" i="42" s="1"/>
  <c r="R62" i="42" s="1"/>
  <c r="R63" i="42" s="1"/>
  <c r="R64" i="42" s="1"/>
  <c r="R52" i="40"/>
  <c r="R53" i="40" s="1"/>
  <c r="R43" i="50"/>
  <c r="R44" i="50" l="1"/>
  <c r="R54" i="40"/>
  <c r="R65" i="42"/>
  <c r="R66" i="42" s="1"/>
  <c r="R67" i="42" s="1"/>
  <c r="R68" i="42" s="1"/>
  <c r="R69" i="42" s="1"/>
  <c r="R70" i="42" s="1"/>
  <c r="R71" i="42" s="1"/>
  <c r="R72" i="42" s="1"/>
  <c r="R73" i="42" l="1"/>
  <c r="R74" i="42" s="1"/>
  <c r="R75" i="42" s="1"/>
  <c r="R76" i="42" s="1"/>
  <c r="R77" i="42" s="1"/>
  <c r="R78" i="42" s="1"/>
  <c r="R55" i="40"/>
  <c r="R45" i="50"/>
  <c r="R46" i="50" l="1"/>
  <c r="R56" i="40"/>
  <c r="R79" i="42"/>
  <c r="R80" i="42" l="1"/>
  <c r="R57" i="40"/>
  <c r="R47" i="50"/>
  <c r="R48" i="50" l="1"/>
  <c r="R58" i="40"/>
  <c r="R81" i="42"/>
  <c r="R82" i="42" l="1"/>
  <c r="R59" i="40"/>
  <c r="R49" i="50"/>
  <c r="R50" i="50" l="1"/>
  <c r="R60" i="40"/>
  <c r="R83" i="42"/>
  <c r="R84" i="42" l="1"/>
  <c r="R61" i="40"/>
  <c r="R51" i="50"/>
  <c r="R52" i="50" l="1"/>
  <c r="R62" i="40"/>
  <c r="R85" i="42"/>
  <c r="R86" i="42" l="1"/>
  <c r="R63" i="40"/>
  <c r="R53" i="50"/>
  <c r="R54" i="50" l="1"/>
  <c r="R64" i="40"/>
  <c r="R87" i="42"/>
  <c r="R88" i="42" l="1"/>
  <c r="R65" i="40"/>
  <c r="R55" i="50"/>
  <c r="R56" i="50" l="1"/>
  <c r="R66" i="40"/>
  <c r="R89" i="42"/>
  <c r="R90" i="42" l="1"/>
  <c r="R67" i="40"/>
  <c r="R57" i="50"/>
  <c r="R58" i="50" l="1"/>
  <c r="R68" i="40"/>
  <c r="R91" i="42"/>
  <c r="R92" i="42" l="1"/>
  <c r="R69" i="40"/>
  <c r="R59" i="50"/>
  <c r="R60" i="50" l="1"/>
  <c r="R70" i="40"/>
  <c r="R93" i="42"/>
  <c r="R94" i="42" l="1"/>
  <c r="R71" i="40"/>
  <c r="R61" i="50"/>
  <c r="R62" i="50" l="1"/>
  <c r="R72" i="40"/>
  <c r="R95" i="42"/>
  <c r="R96" i="42" l="1"/>
  <c r="R73" i="40"/>
  <c r="R63" i="50"/>
  <c r="R64" i="50" l="1"/>
  <c r="R74" i="40"/>
  <c r="R97" i="42"/>
  <c r="R98" i="42"/>
  <c r="R65" i="50"/>
  <c r="R75" i="40"/>
  <c r="R76" i="40" l="1"/>
  <c r="R99" i="42"/>
  <c r="R66" i="50"/>
  <c r="R67" i="50" l="1"/>
  <c r="R100" i="42"/>
  <c r="R77" i="40"/>
  <c r="R78" i="40"/>
  <c r="R101" i="42"/>
  <c r="R68" i="50"/>
  <c r="R69" i="50" l="1"/>
  <c r="R102" i="42"/>
  <c r="R79" i="40"/>
  <c r="R80" i="40" l="1"/>
  <c r="R103" i="42"/>
  <c r="R70" i="50"/>
  <c r="R71" i="50" l="1"/>
  <c r="R104" i="42"/>
  <c r="R81" i="40"/>
  <c r="R82" i="40" l="1"/>
  <c r="R105" i="42"/>
  <c r="R72" i="50"/>
  <c r="R73" i="50" l="1"/>
  <c r="R106" i="42"/>
  <c r="R83" i="40"/>
  <c r="R84" i="40" l="1"/>
  <c r="R107" i="42"/>
  <c r="R74" i="50"/>
  <c r="R75" i="50" l="1"/>
  <c r="R108" i="42"/>
  <c r="R85" i="40"/>
  <c r="R86" i="40"/>
  <c r="R109" i="42"/>
  <c r="R76" i="50"/>
  <c r="R77" i="50" l="1"/>
  <c r="R110" i="42"/>
  <c r="R87" i="40"/>
  <c r="R88" i="40" l="1"/>
  <c r="R111" i="42"/>
  <c r="R78" i="50"/>
  <c r="R79" i="50" l="1"/>
  <c r="R112" i="42"/>
  <c r="R89" i="40"/>
  <c r="R90" i="40" l="1"/>
  <c r="R113" i="42"/>
  <c r="R80" i="50"/>
  <c r="R81" i="50" l="1"/>
  <c r="R91" i="40"/>
  <c r="R114" i="42"/>
  <c r="R115" i="42" l="1"/>
  <c r="R92" i="40"/>
  <c r="R82" i="50"/>
  <c r="R83" i="50" l="1"/>
  <c r="R93" i="40"/>
  <c r="R116" i="42"/>
  <c r="R117" i="42" l="1"/>
  <c r="R94" i="40"/>
  <c r="R84" i="50"/>
  <c r="R85" i="50" l="1"/>
  <c r="R95" i="40"/>
  <c r="R118" i="42"/>
  <c r="R119" i="42" l="1"/>
  <c r="R96" i="40"/>
  <c r="R86" i="50"/>
  <c r="R87" i="50" l="1"/>
  <c r="R120" i="42"/>
  <c r="R97" i="40"/>
  <c r="R98" i="40" l="1"/>
  <c r="R121" i="42"/>
  <c r="R88" i="50"/>
  <c r="R122" i="42" l="1"/>
  <c r="R99" i="40"/>
  <c r="R89" i="50"/>
  <c r="R90" i="50" l="1"/>
  <c r="R100" i="40"/>
  <c r="R123" i="42"/>
  <c r="R101" i="40" l="1"/>
  <c r="R91" i="50"/>
  <c r="R124" i="42"/>
  <c r="R125" i="42" l="1"/>
  <c r="R92" i="50"/>
  <c r="R102" i="40"/>
  <c r="R103" i="40" l="1"/>
  <c r="R93" i="50"/>
  <c r="R126" i="42"/>
  <c r="R127" i="42" l="1"/>
  <c r="R94" i="50"/>
  <c r="R104" i="40"/>
  <c r="R105" i="40" l="1"/>
  <c r="R95" i="50"/>
  <c r="R128" i="42"/>
  <c r="R129" i="42" l="1"/>
  <c r="R96" i="50"/>
  <c r="R106" i="40"/>
  <c r="R107" i="40" l="1"/>
  <c r="R97" i="50"/>
  <c r="R130" i="42"/>
  <c r="R131" i="42" l="1"/>
  <c r="R98" i="50"/>
  <c r="R108" i="40"/>
  <c r="R109" i="40" l="1"/>
  <c r="R99" i="50"/>
  <c r="R132" i="42"/>
  <c r="R133" i="42" l="1"/>
  <c r="R100" i="50"/>
  <c r="R110" i="40"/>
  <c r="R111" i="40" l="1"/>
  <c r="R101" i="50"/>
  <c r="R134" i="42"/>
  <c r="R135" i="42" l="1"/>
  <c r="R102" i="50"/>
  <c r="R112" i="40"/>
  <c r="R113" i="40" l="1"/>
  <c r="R103" i="50"/>
  <c r="R136" i="42"/>
  <c r="R137" i="42" l="1"/>
  <c r="R104" i="50"/>
  <c r="R114" i="40"/>
  <c r="R115" i="40" l="1"/>
  <c r="R105" i="50"/>
  <c r="R138" i="42"/>
  <c r="R139" i="42" l="1"/>
  <c r="R106" i="50"/>
  <c r="R116" i="40"/>
  <c r="R117" i="40" l="1"/>
  <c r="R107" i="50"/>
  <c r="R140" i="42"/>
  <c r="R141" i="42" l="1"/>
  <c r="R108" i="50"/>
  <c r="R118" i="40"/>
  <c r="R119" i="40" l="1"/>
  <c r="R109" i="50"/>
  <c r="R142" i="42"/>
  <c r="R143" i="42" l="1"/>
  <c r="R110" i="50"/>
  <c r="R120" i="40"/>
  <c r="R121" i="40" l="1"/>
  <c r="R111" i="50"/>
  <c r="R144" i="42"/>
  <c r="R145" i="42" l="1"/>
  <c r="R112" i="50"/>
  <c r="R122" i="40"/>
  <c r="R113" i="50" l="1"/>
  <c r="R146" i="42"/>
  <c r="R123" i="40"/>
  <c r="R124" i="40" l="1"/>
  <c r="R147" i="42"/>
  <c r="R114" i="50"/>
  <c r="R115" i="50" l="1"/>
  <c r="R148" i="42"/>
  <c r="R125" i="40"/>
  <c r="R126" i="40" l="1"/>
  <c r="R149" i="42"/>
  <c r="R116" i="50"/>
  <c r="R117" i="50" l="1"/>
  <c r="R150" i="42"/>
  <c r="R127" i="40"/>
  <c r="R128" i="40" l="1"/>
  <c r="R151" i="42"/>
  <c r="R118" i="50"/>
  <c r="R119" i="50" l="1"/>
  <c r="R152" i="42"/>
  <c r="R129" i="40"/>
  <c r="R130" i="40" l="1"/>
  <c r="R153" i="42"/>
  <c r="R120" i="50"/>
  <c r="R121" i="50" l="1"/>
  <c r="R154" i="42"/>
  <c r="R131" i="40"/>
  <c r="R132" i="40" l="1"/>
  <c r="R155" i="42"/>
  <c r="R122" i="50"/>
  <c r="R156" i="42" l="1"/>
  <c r="R133" i="40"/>
  <c r="R123" i="50"/>
  <c r="R124" i="50" l="1"/>
  <c r="R134" i="40"/>
  <c r="R157" i="42"/>
  <c r="R158" i="42" l="1"/>
  <c r="R135" i="40"/>
  <c r="R125" i="50"/>
  <c r="R126" i="50" l="1"/>
  <c r="R136" i="40"/>
  <c r="R159" i="42"/>
  <c r="R160" i="42" l="1"/>
  <c r="R137" i="40"/>
  <c r="R127" i="50"/>
  <c r="R128" i="50" l="1"/>
  <c r="R138" i="40"/>
  <c r="R161" i="42"/>
  <c r="R162" i="42" l="1"/>
  <c r="R139" i="40"/>
  <c r="R129" i="50"/>
  <c r="R130" i="50" l="1"/>
  <c r="R140" i="40"/>
  <c r="R163" i="42"/>
  <c r="R164" i="42" l="1"/>
  <c r="R141" i="40"/>
  <c r="R131" i="50"/>
  <c r="R132" i="50" l="1"/>
  <c r="R142" i="40"/>
  <c r="R165" i="42"/>
  <c r="R166" i="42" l="1"/>
  <c r="R143" i="40"/>
  <c r="R133" i="50"/>
  <c r="R134" i="50" l="1"/>
  <c r="R144" i="40"/>
  <c r="R167" i="42"/>
  <c r="R168" i="42" l="1"/>
  <c r="R145" i="40"/>
  <c r="R135" i="50"/>
  <c r="R136" i="50" l="1"/>
  <c r="R146" i="40"/>
  <c r="R169" i="42"/>
  <c r="R170" i="42" l="1"/>
  <c r="R147" i="40"/>
  <c r="R137" i="50"/>
  <c r="R138" i="50" l="1"/>
  <c r="R148" i="40"/>
  <c r="R171" i="42"/>
  <c r="R172" i="42" l="1"/>
  <c r="R149" i="40"/>
  <c r="R139" i="50"/>
  <c r="R140" i="50" l="1"/>
  <c r="R150" i="40"/>
  <c r="R173" i="42"/>
  <c r="R174" i="42" l="1"/>
  <c r="R151" i="40"/>
  <c r="R141" i="50"/>
  <c r="R142" i="50" l="1"/>
  <c r="R152" i="40"/>
  <c r="R175" i="42"/>
  <c r="R153" i="40" l="1"/>
  <c r="R143" i="50"/>
  <c r="R176" i="42"/>
  <c r="R177" i="42" l="1"/>
  <c r="R144" i="50"/>
  <c r="R154" i="40"/>
  <c r="R155" i="40" l="1"/>
  <c r="R145" i="50"/>
  <c r="R178" i="42"/>
  <c r="R179" i="42" l="1"/>
  <c r="R146" i="50"/>
  <c r="R156" i="40"/>
  <c r="R157" i="40" l="1"/>
  <c r="R147" i="50"/>
  <c r="R180" i="42"/>
  <c r="R181" i="42" l="1"/>
  <c r="R148" i="50"/>
  <c r="R158" i="40"/>
  <c r="R159" i="40" l="1"/>
  <c r="R149" i="50"/>
  <c r="R182" i="42"/>
  <c r="R183" i="42" l="1"/>
  <c r="R150" i="50"/>
  <c r="R160" i="40"/>
  <c r="R161" i="40" l="1"/>
  <c r="R151" i="50"/>
  <c r="R184" i="42"/>
  <c r="R152" i="50" l="1"/>
  <c r="R162" i="40"/>
  <c r="R185" i="42"/>
  <c r="R186" i="42" l="1"/>
  <c r="R163" i="40"/>
  <c r="R153" i="50"/>
  <c r="R154" i="50" l="1"/>
  <c r="R164" i="40"/>
  <c r="R187" i="42"/>
  <c r="R188" i="42" l="1"/>
  <c r="R165" i="40"/>
  <c r="R155" i="50"/>
  <c r="R156" i="50" l="1"/>
  <c r="R166" i="40"/>
  <c r="R189" i="42"/>
  <c r="R190" i="42" l="1"/>
  <c r="R167" i="40"/>
  <c r="R157" i="50"/>
  <c r="R158" i="50" l="1"/>
  <c r="R168" i="40"/>
  <c r="R191" i="42"/>
  <c r="R192" i="42" l="1"/>
  <c r="R169" i="40"/>
  <c r="R159" i="50"/>
  <c r="R160" i="50" l="1"/>
  <c r="R170" i="40"/>
  <c r="R193" i="42"/>
  <c r="R194" i="42" l="1"/>
  <c r="R171" i="40"/>
  <c r="R161" i="50"/>
  <c r="R162" i="50" l="1"/>
  <c r="R172" i="40"/>
  <c r="R195" i="42"/>
  <c r="R196" i="42" l="1"/>
  <c r="R173" i="40"/>
  <c r="R163" i="50"/>
  <c r="R164" i="50" l="1"/>
  <c r="R174" i="40"/>
  <c r="R197" i="42"/>
  <c r="R198" i="42" l="1"/>
  <c r="R175" i="40"/>
  <c r="R165" i="50"/>
  <c r="R166" i="50" l="1"/>
  <c r="R176" i="40"/>
  <c r="R199" i="42"/>
  <c r="R200" i="42" l="1"/>
  <c r="R177" i="40"/>
  <c r="R167" i="50"/>
  <c r="R168" i="50" l="1"/>
  <c r="R201" i="42"/>
  <c r="R178" i="40"/>
  <c r="R179" i="40" l="1"/>
  <c r="R202" i="42"/>
  <c r="R169" i="50"/>
  <c r="R170" i="50" l="1"/>
  <c r="R203" i="42"/>
  <c r="R180" i="40"/>
  <c r="R181" i="40" l="1"/>
  <c r="R204" i="42"/>
  <c r="R171" i="50"/>
  <c r="R172" i="50" l="1"/>
  <c r="R205" i="42"/>
  <c r="R182" i="40"/>
  <c r="R183" i="40" l="1"/>
  <c r="R206" i="42"/>
  <c r="R173" i="50"/>
  <c r="R174" i="50" l="1"/>
  <c r="R184" i="40"/>
  <c r="R207" i="42"/>
  <c r="R208" i="42" l="1"/>
  <c r="R185" i="40"/>
  <c r="R175" i="50"/>
  <c r="R176" i="50" l="1"/>
  <c r="R186" i="40"/>
  <c r="R209" i="42"/>
  <c r="R210" i="42" l="1"/>
  <c r="R187" i="40"/>
  <c r="R177" i="50"/>
  <c r="R178" i="50" l="1"/>
  <c r="R188" i="40"/>
  <c r="R211" i="42"/>
  <c r="R189" i="40" l="1"/>
  <c r="R179" i="50"/>
  <c r="R212" i="42"/>
  <c r="R213" i="42" l="1"/>
  <c r="R180" i="50"/>
  <c r="R190" i="40"/>
  <c r="R191" i="40" l="1"/>
  <c r="R181" i="50"/>
  <c r="R214" i="42"/>
  <c r="R215" i="42" l="1"/>
  <c r="R182" i="50"/>
  <c r="R192" i="40"/>
  <c r="R193" i="40" l="1"/>
  <c r="R183" i="50"/>
  <c r="R216" i="42"/>
  <c r="R217" i="42" l="1"/>
  <c r="R184" i="50"/>
  <c r="R194" i="40"/>
  <c r="R195" i="40" l="1"/>
  <c r="R185" i="50"/>
  <c r="R218" i="42"/>
  <c r="R219" i="42" l="1"/>
  <c r="R186" i="50"/>
  <c r="R196" i="40"/>
  <c r="R197" i="40" l="1"/>
  <c r="R187" i="50"/>
  <c r="R220" i="42"/>
  <c r="R221" i="42" l="1"/>
  <c r="R188" i="50"/>
  <c r="R198" i="40"/>
  <c r="R199" i="40" l="1"/>
  <c r="R189" i="50"/>
  <c r="R222" i="42"/>
  <c r="R223" i="42" l="1"/>
  <c r="R190" i="50"/>
  <c r="R200" i="40"/>
  <c r="R201" i="40" l="1"/>
  <c r="R191" i="50"/>
  <c r="R224" i="42"/>
  <c r="R225" i="42" l="1"/>
  <c r="R192" i="50"/>
  <c r="R202" i="40"/>
  <c r="R203" i="40" l="1"/>
  <c r="R193" i="50"/>
  <c r="R226" i="42"/>
  <c r="R227" i="42" l="1"/>
  <c r="R194" i="50"/>
  <c r="R204" i="40"/>
  <c r="R195" i="50" l="1"/>
  <c r="R228" i="42"/>
  <c r="R205" i="40"/>
  <c r="R206" i="40" l="1"/>
  <c r="R229" i="42"/>
  <c r="R196" i="50"/>
  <c r="R230" i="42" l="1"/>
  <c r="R207" i="40"/>
  <c r="R197" i="50"/>
  <c r="R208" i="40" l="1"/>
  <c r="R231" i="42"/>
  <c r="R198" i="50"/>
  <c r="R232" i="42" l="1"/>
  <c r="R209" i="40"/>
  <c r="R199" i="50"/>
  <c r="R200" i="50" l="1"/>
  <c r="R210" i="40"/>
  <c r="R233" i="42"/>
  <c r="R234" i="42" l="1"/>
  <c r="R211" i="40"/>
  <c r="R201" i="50"/>
  <c r="R202" i="50" l="1"/>
  <c r="R212" i="40"/>
  <c r="R235" i="42"/>
  <c r="R236" i="42" l="1"/>
  <c r="R213" i="40"/>
  <c r="R203" i="50"/>
  <c r="R204" i="50" l="1"/>
  <c r="R214" i="40"/>
  <c r="R237" i="42"/>
  <c r="R238" i="42" l="1"/>
  <c r="R215" i="40"/>
  <c r="R205" i="50"/>
  <c r="R206" i="50" l="1"/>
  <c r="R216" i="40"/>
  <c r="R239" i="42"/>
  <c r="R240" i="42" l="1"/>
  <c r="R217" i="40"/>
  <c r="R207" i="50"/>
  <c r="R208" i="50" l="1"/>
  <c r="R218" i="40"/>
  <c r="R241" i="42"/>
  <c r="R242" i="42" l="1"/>
  <c r="R219" i="40"/>
  <c r="R209" i="50"/>
  <c r="R210" i="50" l="1"/>
  <c r="R220" i="40"/>
  <c r="R243" i="42"/>
  <c r="R244" i="42" l="1"/>
  <c r="R221" i="40"/>
  <c r="R211" i="50"/>
  <c r="R212" i="50" l="1"/>
  <c r="R222" i="40"/>
  <c r="R245" i="42"/>
  <c r="R246" i="42" l="1"/>
  <c r="R223" i="40"/>
  <c r="R213" i="50"/>
  <c r="R214" i="50" l="1"/>
  <c r="R224" i="40"/>
  <c r="R247" i="42"/>
  <c r="R248" i="42" l="1"/>
  <c r="R225" i="40"/>
  <c r="R215" i="50"/>
  <c r="R216" i="50" l="1"/>
  <c r="R249" i="42"/>
  <c r="R226" i="40"/>
  <c r="R227" i="40" l="1"/>
  <c r="R250" i="42"/>
  <c r="R217" i="50"/>
  <c r="R218" i="50" l="1"/>
  <c r="R251" i="42"/>
  <c r="R228" i="40"/>
  <c r="R229" i="40" l="1"/>
  <c r="R252" i="42"/>
  <c r="R219" i="50"/>
  <c r="R220" i="50" l="1"/>
  <c r="R253" i="42"/>
  <c r="R230" i="40"/>
  <c r="R231" i="40" l="1"/>
  <c r="R254" i="42"/>
  <c r="R221" i="50"/>
  <c r="R222" i="50" l="1"/>
  <c r="R255" i="42"/>
  <c r="R232" i="40"/>
  <c r="R233" i="40" l="1"/>
  <c r="R256" i="42"/>
  <c r="R223" i="50"/>
  <c r="R224" i="50" l="1"/>
  <c r="R257" i="42"/>
  <c r="R234" i="40"/>
  <c r="R235" i="40" l="1"/>
  <c r="R258" i="42"/>
  <c r="R225" i="50"/>
  <c r="R226" i="50" l="1"/>
  <c r="R259" i="42"/>
  <c r="R236" i="40"/>
  <c r="R237" i="40" l="1"/>
  <c r="R260" i="42"/>
  <c r="R227" i="50"/>
  <c r="R228" i="50" l="1"/>
  <c r="R238" i="40"/>
  <c r="R239" i="40" l="1"/>
  <c r="R229" i="50"/>
  <c r="R230" i="50" l="1"/>
  <c r="R240" i="40"/>
  <c r="R241" i="40" l="1"/>
  <c r="R231" i="50"/>
  <c r="R232" i="50" l="1"/>
  <c r="R242" i="40"/>
  <c r="R243" i="40" l="1"/>
  <c r="R233" i="50"/>
  <c r="R234" i="50" l="1"/>
  <c r="R244" i="40"/>
  <c r="R245" i="40" l="1"/>
  <c r="R235" i="50"/>
  <c r="R236" i="50" l="1"/>
  <c r="R246" i="40"/>
  <c r="R247" i="40" l="1"/>
  <c r="R237" i="50"/>
  <c r="R238" i="50" l="1"/>
  <c r="R248" i="40"/>
  <c r="R249" i="40" l="1"/>
  <c r="R239" i="50"/>
  <c r="R240" i="50" l="1"/>
  <c r="R250" i="40"/>
  <c r="R251" i="40" l="1"/>
  <c r="R241" i="50"/>
  <c r="R242" i="50" l="1"/>
  <c r="R252" i="40"/>
  <c r="R253" i="40" l="1"/>
  <c r="R243" i="50"/>
  <c r="R244" i="50" l="1"/>
  <c r="R254" i="40"/>
  <c r="R255" i="40" l="1"/>
  <c r="R245" i="50"/>
  <c r="R246" i="50" l="1"/>
  <c r="R256" i="40"/>
  <c r="R257" i="40" l="1"/>
  <c r="R247" i="50"/>
  <c r="R248" i="50" l="1"/>
  <c r="R258" i="40"/>
  <c r="R259" i="40" l="1"/>
  <c r="R249" i="50"/>
  <c r="R250" i="50" l="1"/>
  <c r="R260" i="40"/>
  <c r="R261" i="40" l="1"/>
  <c r="R251" i="50"/>
  <c r="R252" i="50" l="1"/>
  <c r="R262" i="40"/>
  <c r="R253" i="50" l="1"/>
  <c r="R254" i="50" l="1"/>
  <c r="R255" i="50" l="1"/>
  <c r="R256" i="50" l="1"/>
  <c r="R257" i="50" l="1"/>
  <c r="R258" i="50" l="1"/>
  <c r="R259" i="50" l="1"/>
  <c r="R260" i="50" l="1"/>
  <c r="R261" i="50" l="1"/>
  <c r="R262" i="50" l="1"/>
  <c r="I20" i="29" l="1"/>
  <c r="L7" i="45"/>
  <c r="P7" i="45"/>
  <c r="U7" i="45"/>
  <c r="M7" i="45"/>
  <c r="T7" i="45"/>
  <c r="I6" i="29" l="1"/>
  <c r="I15" i="50"/>
  <c r="H20" i="42"/>
  <c r="H22" i="42"/>
  <c r="H23" i="42"/>
  <c r="H21" i="42"/>
  <c r="H19" i="42"/>
  <c r="H18" i="42"/>
  <c r="H17" i="42"/>
  <c r="H11" i="40"/>
  <c r="Q5" i="45"/>
  <c r="H9" i="40"/>
  <c r="H5" i="42"/>
  <c r="H15" i="50"/>
  <c r="Q8" i="45"/>
  <c r="H7" i="40"/>
  <c r="Q6" i="45"/>
  <c r="H6" i="40"/>
  <c r="H9" i="42"/>
  <c r="H15" i="40"/>
  <c r="H4" i="50"/>
  <c r="H8" i="42"/>
  <c r="H17" i="40"/>
  <c r="H13" i="40"/>
  <c r="H14" i="42"/>
  <c r="Q4" i="45"/>
  <c r="H13" i="50"/>
  <c r="H4" i="40"/>
  <c r="H13" i="42"/>
  <c r="H5" i="40"/>
  <c r="H10" i="42"/>
  <c r="H14" i="40"/>
  <c r="H12" i="40"/>
  <c r="H12" i="42"/>
  <c r="H19" i="40"/>
  <c r="H6" i="42"/>
  <c r="H16" i="42"/>
  <c r="H6" i="50"/>
  <c r="H18" i="40"/>
  <c r="H5" i="50"/>
  <c r="H12" i="50"/>
  <c r="H10" i="40"/>
  <c r="H11" i="42"/>
  <c r="H8" i="50"/>
  <c r="H7" i="42"/>
  <c r="H20" i="40"/>
  <c r="H11" i="50"/>
  <c r="H9" i="50"/>
  <c r="H8" i="40"/>
  <c r="H4" i="42"/>
  <c r="Q9" i="45"/>
  <c r="H14" i="50"/>
  <c r="Q7" i="45"/>
  <c r="H21" i="40"/>
  <c r="H15" i="42"/>
  <c r="H7" i="50"/>
  <c r="Q3" i="45"/>
  <c r="H10" i="50"/>
  <c r="H16" i="40"/>
  <c r="R7" i="45"/>
  <c r="L8" i="45"/>
  <c r="T8" i="45"/>
  <c r="U8" i="45"/>
  <c r="P8" i="45"/>
  <c r="R8" i="45" l="1"/>
  <c r="L5" i="45"/>
  <c r="T5" i="45"/>
  <c r="M5" i="45"/>
  <c r="P5" i="45"/>
  <c r="U5" i="45"/>
  <c r="R5" i="45" l="1"/>
  <c r="J15" i="50"/>
  <c r="H25" i="29"/>
  <c r="H24" i="29"/>
  <c r="L6" i="45"/>
  <c r="U6" i="45"/>
  <c r="M6" i="45"/>
  <c r="P6" i="45"/>
  <c r="R6" i="45"/>
  <c r="L4" i="45"/>
  <c r="R4" i="45" l="1"/>
  <c r="R13" i="45" a="1"/>
  <c r="T6" i="45"/>
  <c r="L9" i="45"/>
  <c r="T9" i="45"/>
  <c r="P9" i="45"/>
  <c r="U9" i="45"/>
  <c r="M9" i="45"/>
  <c r="R9" i="45"/>
  <c r="I24" i="29"/>
  <c r="I22" i="29"/>
  <c r="I21" i="29"/>
  <c r="T4" i="45"/>
  <c r="M4" i="45"/>
  <c r="M13" i="45" a="1"/>
  <c r="U4" i="45"/>
  <c r="P4" i="45"/>
  <c r="P13" i="45" a="1"/>
  <c r="I25" i="29"/>
  <c r="M8" i="45"/>
  <c r="M21" i="45"/>
  <c r="P20" i="45"/>
  <c r="M14" i="45"/>
  <c r="M13" i="45"/>
  <c r="P19" i="45"/>
  <c r="M16" i="45"/>
  <c r="P21" i="45"/>
  <c r="P14" i="45"/>
  <c r="M18" i="45"/>
  <c r="P15" i="45"/>
  <c r="K15" i="50"/>
  <c r="L15" i="50" s="1"/>
  <c r="M20" i="45"/>
  <c r="P16" i="45"/>
  <c r="M19" i="45"/>
  <c r="P18" i="45"/>
  <c r="M15" i="45"/>
  <c r="P13" i="45"/>
  <c r="M17" i="45"/>
  <c r="P17" i="45"/>
  <c r="T13" i="45" a="1"/>
  <c r="P15" i="50"/>
  <c r="T21" i="45"/>
  <c r="T14" i="45"/>
  <c r="T15" i="45"/>
  <c r="T19" i="45"/>
  <c r="T20" i="45"/>
  <c r="T16" i="45"/>
  <c r="T13" i="45"/>
  <c r="T17" i="45"/>
  <c r="T18" i="45"/>
  <c r="S13" i="45" a="1"/>
  <c r="S19" i="45"/>
  <c r="S14" i="45"/>
  <c r="S20" i="45"/>
  <c r="S18" i="45"/>
  <c r="S16" i="45"/>
  <c r="S21" i="45"/>
  <c r="S15" i="45"/>
  <c r="S17" i="45"/>
  <c r="S13" i="45"/>
  <c r="D31" i="29"/>
  <c r="U12" i="45" a="1"/>
  <c r="D25" i="29"/>
  <c r="D32" i="29"/>
  <c r="R26" i="45"/>
  <c r="Q27" i="45"/>
  <c r="R27" i="45"/>
  <c r="Q28" i="45"/>
  <c r="R28" i="45"/>
  <c r="Q29" i="45"/>
  <c r="J12" i="42"/>
  <c r="J4" i="50"/>
  <c r="I14" i="50"/>
  <c r="J12" i="50"/>
  <c r="F6" i="39"/>
  <c r="J17" i="40"/>
  <c r="K30" i="51"/>
  <c r="J16" i="42"/>
  <c r="I4" i="40"/>
  <c r="L26" i="51"/>
  <c r="J18" i="40"/>
  <c r="G6" i="39"/>
  <c r="J13" i="50"/>
  <c r="G15" i="48"/>
  <c r="I14" i="40"/>
  <c r="R29" i="45"/>
  <c r="W29" i="45"/>
  <c r="H17" i="48"/>
  <c r="L18" i="43"/>
  <c r="J14" i="42"/>
  <c r="I12" i="40"/>
  <c r="K16" i="43"/>
  <c r="J14" i="40"/>
  <c r="I21" i="40"/>
  <c r="L17" i="39"/>
  <c r="L15" i="39"/>
  <c r="K18" i="51"/>
  <c r="K29" i="51"/>
  <c r="T28" i="45"/>
  <c r="K21" i="39"/>
  <c r="L15" i="51"/>
  <c r="I5" i="42"/>
  <c r="K20" i="51"/>
  <c r="K17" i="51"/>
  <c r="I15" i="40"/>
  <c r="V28" i="45"/>
  <c r="G7" i="39"/>
  <c r="W26" i="45"/>
  <c r="K18" i="39"/>
  <c r="V27" i="45"/>
  <c r="J9" i="50"/>
  <c r="L18" i="39"/>
  <c r="F7" i="43"/>
  <c r="G7" i="43"/>
  <c r="L25" i="51"/>
  <c r="I6" i="42"/>
  <c r="I5" i="50"/>
  <c r="I18" i="42"/>
  <c r="K18" i="43"/>
  <c r="J15" i="40"/>
  <c r="L22" i="39"/>
  <c r="K20" i="43"/>
  <c r="J21" i="40"/>
  <c r="L23" i="39"/>
  <c r="T29" i="45"/>
  <c r="S26" i="45"/>
  <c r="I9" i="50"/>
  <c r="H18" i="48"/>
  <c r="J8" i="42"/>
  <c r="K24" i="39"/>
  <c r="F4" i="39"/>
  <c r="G5" i="43"/>
  <c r="I6" i="40"/>
  <c r="J6" i="50"/>
  <c r="I11" i="50"/>
  <c r="I8" i="50"/>
  <c r="I6" i="50"/>
  <c r="J5" i="42"/>
  <c r="V26" i="45"/>
  <c r="J13" i="40"/>
  <c r="C34" i="29"/>
  <c r="J5" i="40"/>
  <c r="K22" i="39"/>
  <c r="L16" i="43"/>
  <c r="I17" i="40"/>
  <c r="J10" i="42"/>
  <c r="J11" i="42"/>
  <c r="I8" i="42"/>
  <c r="I4" i="50"/>
  <c r="J20" i="42"/>
  <c r="J20" i="40"/>
  <c r="L19" i="43"/>
  <c r="G5" i="51"/>
  <c r="K28" i="51"/>
  <c r="I7" i="50"/>
  <c r="D34" i="29"/>
  <c r="I19" i="40"/>
  <c r="J7" i="40"/>
  <c r="J6" i="40"/>
  <c r="J10" i="40"/>
  <c r="I9" i="42"/>
  <c r="I11" i="42"/>
  <c r="J23" i="42"/>
  <c r="L21" i="39"/>
  <c r="L16" i="39"/>
  <c r="G6" i="51"/>
  <c r="L20" i="39"/>
  <c r="J16" i="40"/>
  <c r="L20" i="51"/>
  <c r="I13" i="42"/>
  <c r="K23" i="39"/>
  <c r="F5" i="39"/>
  <c r="C35" i="29"/>
  <c r="D35" i="29"/>
  <c r="J17" i="42"/>
  <c r="F4" i="43"/>
  <c r="G4" i="43"/>
  <c r="I5" i="40"/>
  <c r="F7" i="39"/>
  <c r="G6" i="43"/>
  <c r="H16" i="48"/>
  <c r="L28" i="51"/>
  <c r="I3" i="40"/>
  <c r="F6" i="43"/>
  <c r="I20" i="40"/>
  <c r="J18" i="42"/>
  <c r="J4" i="40"/>
  <c r="K26" i="51"/>
  <c r="G3" i="39"/>
  <c r="J9" i="42"/>
  <c r="K15" i="43"/>
  <c r="K17" i="43"/>
  <c r="I13" i="40"/>
  <c r="I7" i="42"/>
  <c r="W28" i="45"/>
  <c r="J5" i="50"/>
  <c r="F5" i="43"/>
  <c r="I14" i="42"/>
  <c r="G18" i="48"/>
  <c r="I23" i="42"/>
  <c r="J22" i="42"/>
  <c r="J12" i="40"/>
  <c r="L21" i="51"/>
  <c r="I19" i="42"/>
  <c r="J19" i="42"/>
  <c r="I8" i="40"/>
  <c r="J9" i="40"/>
  <c r="K19" i="43"/>
  <c r="K25" i="51"/>
  <c r="K17" i="39"/>
  <c r="K27" i="51"/>
  <c r="J14" i="50"/>
  <c r="V29" i="45"/>
  <c r="J7" i="42"/>
  <c r="J13" i="42"/>
  <c r="J8" i="50"/>
  <c r="H19" i="48"/>
  <c r="L22" i="51"/>
  <c r="L18" i="51"/>
  <c r="H15" i="48"/>
  <c r="K22" i="51"/>
  <c r="T27" i="45"/>
  <c r="F3" i="43"/>
  <c r="I16" i="40"/>
  <c r="K21" i="43"/>
  <c r="L19" i="51"/>
  <c r="I10" i="42"/>
  <c r="I15" i="42"/>
  <c r="J15" i="42"/>
  <c r="L24" i="39"/>
  <c r="G19" i="48"/>
  <c r="J21" i="42"/>
  <c r="F4" i="51"/>
  <c r="K16" i="51"/>
  <c r="I3" i="42"/>
  <c r="T26" i="45"/>
  <c r="I3" i="50"/>
  <c r="K16" i="39"/>
  <c r="I9" i="40"/>
  <c r="K15" i="39"/>
  <c r="J3" i="50"/>
  <c r="I7" i="40"/>
  <c r="I22" i="42"/>
  <c r="G7" i="51"/>
  <c r="K21" i="51"/>
  <c r="I10" i="40"/>
  <c r="L24" i="51"/>
  <c r="J11" i="50"/>
  <c r="I13" i="50"/>
  <c r="G16" i="48"/>
  <c r="L23" i="51"/>
  <c r="K24" i="51"/>
  <c r="G3" i="51"/>
  <c r="K19" i="39"/>
  <c r="K23" i="51"/>
  <c r="G17" i="48"/>
  <c r="G3" i="43"/>
  <c r="J3" i="40"/>
  <c r="K15" i="51"/>
  <c r="L19" i="39"/>
  <c r="I18" i="40"/>
  <c r="I20" i="42"/>
  <c r="K19" i="51"/>
  <c r="J19" i="40"/>
  <c r="F6" i="51"/>
  <c r="F7" i="51"/>
  <c r="I12" i="42"/>
  <c r="I4" i="42"/>
  <c r="L21" i="43"/>
  <c r="L16" i="51"/>
  <c r="J7" i="50"/>
  <c r="G5" i="39"/>
  <c r="L15" i="43"/>
  <c r="W27" i="45"/>
  <c r="F3" i="39"/>
  <c r="L29" i="51"/>
  <c r="L30" i="51"/>
  <c r="J6" i="42"/>
  <c r="J11" i="40"/>
  <c r="I12" i="50"/>
  <c r="S29" i="45"/>
  <c r="F3" i="51"/>
  <c r="J4" i="42"/>
  <c r="I11" i="40"/>
  <c r="I21" i="42"/>
  <c r="I17" i="42"/>
  <c r="I10" i="50"/>
  <c r="I16" i="42"/>
  <c r="S28" i="45"/>
  <c r="S27" i="45"/>
  <c r="L20" i="43"/>
  <c r="J10" i="50"/>
  <c r="L17" i="43"/>
  <c r="J8" i="40"/>
  <c r="G4" i="51"/>
  <c r="L27" i="51"/>
  <c r="L17" i="51"/>
  <c r="J3" i="42"/>
  <c r="F5" i="51"/>
  <c r="G4" i="39"/>
  <c r="K20" i="39"/>
  <c r="M29" i="51"/>
  <c r="K8" i="40"/>
  <c r="P8" i="40"/>
  <c r="M16" i="51"/>
  <c r="M19" i="39"/>
  <c r="K22" i="42"/>
  <c r="P22" i="42" s="1"/>
  <c r="L22" i="42"/>
  <c r="K11" i="50"/>
  <c r="P11" i="50" s="1"/>
  <c r="I7" i="43"/>
  <c r="K18" i="40"/>
  <c r="L18" i="40"/>
  <c r="M18" i="39"/>
  <c r="M24" i="39"/>
  <c r="I3" i="51"/>
  <c r="I5" i="43"/>
  <c r="K14" i="50"/>
  <c r="L14" i="50" s="1"/>
  <c r="U14" i="45"/>
  <c r="R15" i="45"/>
  <c r="R17" i="45"/>
  <c r="K7" i="42"/>
  <c r="L7" i="42" s="1"/>
  <c r="P7" i="42"/>
  <c r="K16" i="42"/>
  <c r="L16" i="42" s="1"/>
  <c r="M20" i="43"/>
  <c r="K13" i="42"/>
  <c r="L13" i="42" s="1"/>
  <c r="K18" i="42"/>
  <c r="P18" i="42" s="1"/>
  <c r="L18" i="42"/>
  <c r="K6" i="42"/>
  <c r="L6" i="42"/>
  <c r="K14" i="40"/>
  <c r="L14" i="40" s="1"/>
  <c r="P14" i="40"/>
  <c r="K15" i="42"/>
  <c r="L15" i="42" s="1"/>
  <c r="I18" i="48"/>
  <c r="K14" i="42"/>
  <c r="P14" i="42"/>
  <c r="K3" i="50"/>
  <c r="L3" i="50" s="1"/>
  <c r="K16" i="40"/>
  <c r="P16" i="40" s="1"/>
  <c r="L16" i="40"/>
  <c r="I3" i="43"/>
  <c r="U13" i="45"/>
  <c r="R21" i="45"/>
  <c r="I6" i="43"/>
  <c r="M21" i="51"/>
  <c r="K13" i="40"/>
  <c r="L13" i="40" s="1"/>
  <c r="P13" i="40"/>
  <c r="K6" i="50"/>
  <c r="L6" i="50" s="1"/>
  <c r="K12" i="40"/>
  <c r="L12" i="40" s="1"/>
  <c r="I3" i="39"/>
  <c r="M15" i="39"/>
  <c r="I5" i="51"/>
  <c r="I16" i="48"/>
  <c r="K13" i="50"/>
  <c r="L13" i="50" s="1"/>
  <c r="M21" i="43"/>
  <c r="M20" i="51"/>
  <c r="K9" i="50"/>
  <c r="P9" i="50" s="1"/>
  <c r="L9" i="50"/>
  <c r="U17" i="45"/>
  <c r="R19" i="45"/>
  <c r="M20" i="39"/>
  <c r="I5" i="39"/>
  <c r="M28" i="51"/>
  <c r="K3" i="40"/>
  <c r="L3" i="40" s="1"/>
  <c r="M18" i="43"/>
  <c r="K8" i="50"/>
  <c r="L8" i="50" s="1"/>
  <c r="P8" i="50"/>
  <c r="M15" i="43"/>
  <c r="K6" i="40"/>
  <c r="L6" i="40" s="1"/>
  <c r="P6" i="40"/>
  <c r="I7" i="39"/>
  <c r="M16" i="39"/>
  <c r="K11" i="42"/>
  <c r="L11" i="42" s="1"/>
  <c r="K15" i="40"/>
  <c r="L15" i="40" s="1"/>
  <c r="P15" i="40"/>
  <c r="K4" i="42"/>
  <c r="L4" i="42" s="1"/>
  <c r="K20" i="40"/>
  <c r="P20" i="40" s="1"/>
  <c r="U21" i="45"/>
  <c r="R20" i="45"/>
  <c r="I7" i="51"/>
  <c r="K3" i="42"/>
  <c r="P3" i="42" s="1"/>
  <c r="J3" i="43" s="1"/>
  <c r="L3" i="42"/>
  <c r="U26" i="45"/>
  <c r="Y26" i="45" s="1"/>
  <c r="K21" i="40"/>
  <c r="P21" i="40" s="1"/>
  <c r="M16" i="43"/>
  <c r="K5" i="50"/>
  <c r="P5" i="50" s="1"/>
  <c r="K21" i="42"/>
  <c r="P21" i="42" s="1"/>
  <c r="L21" i="42"/>
  <c r="I15" i="48"/>
  <c r="K9" i="40"/>
  <c r="L9" i="40" s="1"/>
  <c r="P9" i="40"/>
  <c r="U29" i="45"/>
  <c r="Y29" i="45" s="1"/>
  <c r="X29" i="45"/>
  <c r="F7" i="48" s="1"/>
  <c r="K17" i="40"/>
  <c r="P17" i="40" s="1"/>
  <c r="L17" i="40"/>
  <c r="K9" i="42"/>
  <c r="L9" i="42" s="1"/>
  <c r="I4" i="43"/>
  <c r="K19" i="40"/>
  <c r="P19" i="40" s="1"/>
  <c r="L19" i="40"/>
  <c r="U12" i="45"/>
  <c r="R16" i="45"/>
  <c r="I17" i="48"/>
  <c r="M22" i="51"/>
  <c r="I6" i="51"/>
  <c r="K10" i="50"/>
  <c r="P10" i="50" s="1"/>
  <c r="L10" i="50"/>
  <c r="K19" i="42"/>
  <c r="P19" i="42" s="1"/>
  <c r="M19" i="51"/>
  <c r="K20" i="42"/>
  <c r="P20" i="42" s="1"/>
  <c r="K11" i="40"/>
  <c r="L11" i="40" s="1"/>
  <c r="P11" i="40"/>
  <c r="U27" i="45"/>
  <c r="Y27" i="45" s="1"/>
  <c r="K4" i="40"/>
  <c r="P4" i="40" s="1"/>
  <c r="U28" i="45"/>
  <c r="X28" i="45" s="1"/>
  <c r="F6" i="48" s="1"/>
  <c r="Y28" i="45"/>
  <c r="M27" i="51"/>
  <c r="M22" i="39"/>
  <c r="M25" i="51"/>
  <c r="U20" i="45"/>
  <c r="R14" i="45"/>
  <c r="K10" i="40"/>
  <c r="L10" i="40"/>
  <c r="P10" i="40"/>
  <c r="M19" i="43"/>
  <c r="M23" i="51"/>
  <c r="K12" i="50"/>
  <c r="L12" i="50" s="1"/>
  <c r="P12" i="50"/>
  <c r="M17" i="43"/>
  <c r="K7" i="40"/>
  <c r="P7" i="40"/>
  <c r="M24" i="51"/>
  <c r="K8" i="42"/>
  <c r="P8" i="42" s="1"/>
  <c r="L8" i="42"/>
  <c r="K10" i="42"/>
  <c r="P10" i="42" s="1"/>
  <c r="L10" i="42"/>
  <c r="M26" i="51"/>
  <c r="M30" i="51"/>
  <c r="M17" i="51"/>
  <c r="M17" i="39"/>
  <c r="M21" i="39"/>
  <c r="U16" i="45"/>
  <c r="U18" i="45"/>
  <c r="R18" i="45"/>
  <c r="K7" i="50"/>
  <c r="L7" i="50" s="1"/>
  <c r="M18" i="51"/>
  <c r="M23" i="39"/>
  <c r="I4" i="51"/>
  <c r="K17" i="42"/>
  <c r="L17" i="42" s="1"/>
  <c r="P17" i="42"/>
  <c r="I19" i="48"/>
  <c r="K4" i="50"/>
  <c r="P4" i="50" s="1"/>
  <c r="K23" i="42"/>
  <c r="L23" i="42" s="1"/>
  <c r="P23" i="42"/>
  <c r="I4" i="39"/>
  <c r="K5" i="40"/>
  <c r="L5" i="40" s="1"/>
  <c r="P5" i="40"/>
  <c r="M15" i="51"/>
  <c r="I6" i="39"/>
  <c r="K5" i="42"/>
  <c r="P5" i="42" s="1"/>
  <c r="K12" i="42"/>
  <c r="L12" i="42" s="1"/>
  <c r="P12" i="42"/>
  <c r="U19" i="45"/>
  <c r="U15" i="45"/>
  <c r="R13" i="45"/>
  <c r="P13" i="42"/>
  <c r="L14" i="42"/>
  <c r="L7" i="40"/>
  <c r="L8" i="40"/>
  <c r="P18" i="40"/>
  <c r="P6" i="42"/>
  <c r="L20" i="40" l="1"/>
  <c r="X27" i="45"/>
  <c r="F5" i="48" s="1"/>
  <c r="X26" i="45"/>
  <c r="P15" i="42"/>
  <c r="L19" i="42"/>
  <c r="L21" i="40"/>
  <c r="P12" i="40"/>
  <c r="P3" i="40"/>
  <c r="J3" i="51" s="1"/>
  <c r="L5" i="42"/>
  <c r="P14" i="50"/>
  <c r="L4" i="50"/>
  <c r="P6" i="50"/>
  <c r="L5" i="50"/>
  <c r="P4" i="42"/>
  <c r="L11" i="50"/>
  <c r="L4" i="40"/>
  <c r="P13" i="50"/>
  <c r="P16" i="42"/>
  <c r="P9" i="42"/>
  <c r="P7" i="50"/>
  <c r="P11" i="42"/>
  <c r="P3" i="50"/>
  <c r="L20" i="42"/>
  <c r="N1" i="42"/>
  <c r="F3" i="48" l="1"/>
  <c r="F4" i="48"/>
  <c r="J3" i="39"/>
  <c r="U13" i="48" a="1"/>
  <c r="J4" i="43"/>
  <c r="J6" i="43"/>
  <c r="J7" i="43"/>
  <c r="J5" i="43"/>
  <c r="N20" i="42"/>
  <c r="U13" i="48" l="1"/>
  <c r="S13" i="48" s="1"/>
  <c r="O20" i="42"/>
  <c r="N23" i="42"/>
  <c r="J18" i="48" l="1"/>
  <c r="J16" i="48"/>
  <c r="J15" i="48"/>
  <c r="J17" i="48"/>
  <c r="J19" i="48"/>
  <c r="O23" i="42"/>
  <c r="N4" i="42"/>
  <c r="O4" i="42"/>
  <c r="N6" i="42"/>
  <c r="O6" i="42"/>
  <c r="N13" i="42"/>
  <c r="O13" i="42"/>
  <c r="N8" i="42"/>
  <c r="O8" i="42"/>
  <c r="N10" i="42"/>
  <c r="O10" i="42"/>
  <c r="N16" i="42"/>
  <c r="O16" i="42"/>
  <c r="N11" i="42"/>
  <c r="O11" i="42"/>
  <c r="N17" i="42"/>
  <c r="O17" i="42"/>
  <c r="N22" i="42"/>
  <c r="O22" i="42"/>
  <c r="N18" i="42"/>
  <c r="O18" i="42"/>
  <c r="N19" i="42"/>
  <c r="O19" i="42"/>
  <c r="N9" i="42"/>
  <c r="O9" i="42"/>
  <c r="N12" i="42"/>
  <c r="O12" i="42"/>
  <c r="N21" i="42"/>
  <c r="O21" i="42"/>
  <c r="N7" i="42"/>
  <c r="O7" i="42"/>
  <c r="N14" i="42"/>
  <c r="O14" i="42"/>
  <c r="N15" i="42"/>
  <c r="O15" i="42"/>
  <c r="N3" i="42"/>
  <c r="O3" i="42"/>
  <c r="N5" i="42"/>
  <c r="O5" i="42"/>
  <c r="Y13" i="43" a="1"/>
  <c r="Y13" i="43"/>
  <c r="W13" i="43"/>
  <c r="N20" i="43" s="1"/>
  <c r="AD18" i="48"/>
  <c r="AD24" i="48"/>
  <c r="AD16" i="48"/>
  <c r="AD20" i="48"/>
  <c r="AD12" i="48"/>
  <c r="AD4" i="48"/>
  <c r="AD21" i="48"/>
  <c r="AD8" i="48"/>
  <c r="AD15" i="48"/>
  <c r="AD9" i="48"/>
  <c r="AD10" i="48"/>
  <c r="AD11" i="48"/>
  <c r="AD19" i="48"/>
  <c r="AD5" i="48"/>
  <c r="AD7" i="48"/>
  <c r="AD22" i="48"/>
  <c r="AD17" i="48"/>
  <c r="AD13" i="48"/>
  <c r="AD25" i="48"/>
  <c r="AD14" i="48"/>
  <c r="AD6" i="48"/>
  <c r="AD23" i="48"/>
  <c r="AD26" i="48"/>
  <c r="AD3" i="48"/>
  <c r="U9" i="48" a="1"/>
  <c r="N18" i="43" l="1"/>
  <c r="N16" i="43"/>
  <c r="N19" i="43"/>
  <c r="N15" i="43"/>
  <c r="N21" i="43"/>
  <c r="N17" i="43"/>
  <c r="U10" i="48"/>
  <c r="U9" i="48"/>
  <c r="S7" i="42"/>
  <c r="S11" i="42"/>
  <c r="S13" i="42"/>
  <c r="S10" i="42"/>
  <c r="S21" i="42"/>
  <c r="S3" i="42"/>
  <c r="S16" i="42"/>
  <c r="S17" i="42"/>
  <c r="S12" i="42"/>
  <c r="S4" i="42"/>
  <c r="S5" i="42"/>
  <c r="Y9" i="43" a="1"/>
  <c r="Y10" i="43"/>
  <c r="Y9" i="43"/>
  <c r="W9" i="43" a="1"/>
  <c r="W9" i="43" s="1"/>
  <c r="S20" i="42"/>
  <c r="S15" i="42"/>
  <c r="S8" i="42"/>
  <c r="Y3" i="43" a="1"/>
  <c r="W10" i="43" l="1"/>
  <c r="O20" i="43" s="1"/>
  <c r="Y5" i="43"/>
  <c r="Y3" i="43"/>
  <c r="Y4" i="43"/>
  <c r="S6" i="42"/>
  <c r="S14" i="42"/>
  <c r="S9" i="42"/>
  <c r="S19" i="42"/>
  <c r="U3" i="48" a="1"/>
  <c r="U4" i="48"/>
  <c r="U3" i="48"/>
  <c r="U5" i="48"/>
  <c r="AH31" i="43"/>
  <c r="AH33" i="43"/>
  <c r="AH23" i="43"/>
  <c r="AH60" i="43"/>
  <c r="AH37" i="43"/>
  <c r="AH55" i="43"/>
  <c r="AH35" i="43"/>
  <c r="AH49" i="43"/>
  <c r="AH13" i="43"/>
  <c r="AH47" i="43"/>
  <c r="AH41" i="43"/>
  <c r="AH54" i="43"/>
  <c r="AH30" i="43"/>
  <c r="AH20" i="43"/>
  <c r="AH10" i="43"/>
  <c r="AH51" i="43"/>
  <c r="AH19" i="43"/>
  <c r="AH18" i="43"/>
  <c r="AH28" i="43"/>
  <c r="AH26" i="43"/>
  <c r="AH52" i="43"/>
  <c r="AH22" i="43"/>
  <c r="AH14" i="43"/>
  <c r="AH24" i="43"/>
  <c r="AH8" i="43"/>
  <c r="AH36" i="43"/>
  <c r="AH7" i="43"/>
  <c r="AH62" i="43"/>
  <c r="AH57" i="43"/>
  <c r="AH64" i="43"/>
  <c r="AH3" i="43"/>
  <c r="AH21" i="43"/>
  <c r="AH50" i="43"/>
  <c r="AH58" i="43"/>
  <c r="AH11" i="43"/>
  <c r="AH44" i="43"/>
  <c r="AH56" i="43"/>
  <c r="AH32" i="43"/>
  <c r="AH42" i="43"/>
  <c r="AH12" i="43"/>
  <c r="AH6" i="43"/>
  <c r="AH48" i="43"/>
  <c r="AH39" i="43"/>
  <c r="AH27" i="43"/>
  <c r="AH45" i="43"/>
  <c r="AH9" i="43"/>
  <c r="AH38" i="43"/>
  <c r="AH4" i="43"/>
  <c r="AH17" i="43"/>
  <c r="AH25" i="43"/>
  <c r="AH5" i="43"/>
  <c r="AH46" i="43"/>
  <c r="AH34" i="43"/>
  <c r="AH61" i="43"/>
  <c r="AH29" i="43"/>
  <c r="AH16" i="43"/>
  <c r="AH15" i="43"/>
  <c r="AH63" i="43"/>
  <c r="AH40" i="43"/>
  <c r="AH65" i="43"/>
  <c r="AH53" i="43"/>
  <c r="AH59" i="43"/>
  <c r="AH43" i="43"/>
  <c r="S18" i="42"/>
  <c r="S127" i="42"/>
  <c r="S53" i="42"/>
  <c r="S194" i="42"/>
  <c r="S46" i="42"/>
  <c r="S213" i="42"/>
  <c r="S124" i="42"/>
  <c r="S118" i="42"/>
  <c r="S145" i="42"/>
  <c r="S160" i="42"/>
  <c r="S167" i="42"/>
  <c r="S240" i="42"/>
  <c r="S74" i="42"/>
  <c r="S216" i="42"/>
  <c r="S223" i="42"/>
  <c r="S103" i="42"/>
  <c r="S176" i="42"/>
  <c r="S207" i="42"/>
  <c r="S73" i="42"/>
  <c r="S156" i="42"/>
  <c r="S23" i="42"/>
  <c r="S147" i="42"/>
  <c r="S233" i="42"/>
  <c r="S33" i="42"/>
  <c r="S77" i="42"/>
  <c r="S89" i="42"/>
  <c r="S93" i="42"/>
  <c r="S177" i="42"/>
  <c r="S51" i="42"/>
  <c r="S230" i="42"/>
  <c r="S239" i="42"/>
  <c r="S255" i="42"/>
  <c r="S174" i="42"/>
  <c r="S138" i="42"/>
  <c r="S218" i="42"/>
  <c r="S92" i="42"/>
  <c r="S131" i="42"/>
  <c r="S153" i="42"/>
  <c r="S253" i="42"/>
  <c r="S75" i="42"/>
  <c r="S70" i="42"/>
  <c r="S234" i="42"/>
  <c r="S120" i="42"/>
  <c r="S179" i="42"/>
  <c r="S28" i="42"/>
  <c r="S185" i="42"/>
  <c r="S238" i="42"/>
  <c r="S202" i="42"/>
  <c r="S229" i="42"/>
  <c r="S45" i="42"/>
  <c r="S154" i="42"/>
  <c r="S43" i="42"/>
  <c r="S139" i="42"/>
  <c r="S155" i="42"/>
  <c r="S94" i="42"/>
  <c r="S184" i="42"/>
  <c r="S97" i="42"/>
  <c r="S64" i="42"/>
  <c r="S123" i="42"/>
  <c r="S133" i="42"/>
  <c r="S27" i="42"/>
  <c r="S54" i="42"/>
  <c r="S106" i="42"/>
  <c r="S203" i="42"/>
  <c r="S180" i="42"/>
  <c r="S55" i="42"/>
  <c r="S37" i="42"/>
  <c r="S107" i="42"/>
  <c r="S187" i="42"/>
  <c r="S67" i="42"/>
  <c r="S219" i="42"/>
  <c r="S246" i="42"/>
  <c r="S99" i="42"/>
  <c r="S82" i="42"/>
  <c r="S32" i="42"/>
  <c r="S35" i="42"/>
  <c r="S236" i="42"/>
  <c r="S260" i="42"/>
  <c r="S192" i="42"/>
  <c r="S129" i="42"/>
  <c r="S95" i="42"/>
  <c r="S71" i="42"/>
  <c r="S221" i="42"/>
  <c r="S249" i="42"/>
  <c r="S90" i="42"/>
  <c r="S96" i="42"/>
  <c r="S49" i="42"/>
  <c r="S220" i="42"/>
  <c r="S63" i="42"/>
  <c r="S61" i="42"/>
  <c r="S101" i="42"/>
  <c r="S76" i="42"/>
  <c r="S215" i="42"/>
  <c r="S111" i="42"/>
  <c r="S190" i="42"/>
  <c r="S168" i="42"/>
  <c r="S158" i="42"/>
  <c r="S113" i="42"/>
  <c r="S214" i="42"/>
  <c r="S191" i="42"/>
  <c r="S57" i="42"/>
  <c r="S60" i="42"/>
  <c r="S110" i="42"/>
  <c r="S72" i="42"/>
  <c r="S197" i="42"/>
  <c r="S182" i="42"/>
  <c r="S26" i="42"/>
  <c r="S25" i="42"/>
  <c r="S40" i="42"/>
  <c r="S105" i="42"/>
  <c r="S108" i="42"/>
  <c r="S81" i="42"/>
  <c r="S224" i="42"/>
  <c r="S148" i="42"/>
  <c r="S169" i="42"/>
  <c r="S241" i="42"/>
  <c r="S137" i="42"/>
  <c r="S181" i="42"/>
  <c r="S87" i="42"/>
  <c r="S140" i="42"/>
  <c r="S98" i="42"/>
  <c r="S29" i="42"/>
  <c r="S250" i="42"/>
  <c r="S39" i="42"/>
  <c r="S56" i="42"/>
  <c r="S52" i="42"/>
  <c r="S115" i="42"/>
  <c r="S85" i="42"/>
  <c r="S164" i="42"/>
  <c r="S109" i="42"/>
  <c r="S136" i="42"/>
  <c r="S205" i="42"/>
  <c r="S244" i="42"/>
  <c r="S50" i="42"/>
  <c r="S196" i="42"/>
  <c r="S114" i="42"/>
  <c r="S209" i="42"/>
  <c r="S251" i="42"/>
  <c r="S228" i="42"/>
  <c r="S171" i="42"/>
  <c r="S125" i="42"/>
  <c r="S104" i="42"/>
  <c r="S165" i="42"/>
  <c r="S59" i="42"/>
  <c r="S200" i="42"/>
  <c r="S141" i="42"/>
  <c r="S162" i="42"/>
  <c r="S68" i="42"/>
  <c r="S161" i="42"/>
  <c r="S80" i="42"/>
  <c r="S152" i="42"/>
  <c r="S163" i="42"/>
  <c r="S58" i="42"/>
  <c r="S178" i="42"/>
  <c r="S100" i="42"/>
  <c r="S225" i="42"/>
  <c r="S254" i="42"/>
  <c r="S170" i="42"/>
  <c r="S83" i="42"/>
  <c r="S235" i="42"/>
  <c r="S144" i="42"/>
  <c r="S245" i="42"/>
  <c r="S150" i="42"/>
  <c r="S248" i="42"/>
  <c r="S42" i="42"/>
  <c r="S128" i="42"/>
  <c r="S135" i="42"/>
  <c r="S151" i="42"/>
  <c r="S227" i="42"/>
  <c r="S173" i="42"/>
  <c r="S222" i="42"/>
  <c r="S116" i="42"/>
  <c r="S142" i="42"/>
  <c r="S119" i="42"/>
  <c r="S38" i="42"/>
  <c r="S30" i="42"/>
  <c r="S66" i="42"/>
  <c r="S199" i="42"/>
  <c r="S88" i="42"/>
  <c r="S132" i="42"/>
  <c r="S198" i="42"/>
  <c r="S79" i="42"/>
  <c r="S62" i="42"/>
  <c r="S112" i="42"/>
  <c r="S183" i="42"/>
  <c r="S102" i="42"/>
  <c r="S256" i="42"/>
  <c r="S201" i="42"/>
  <c r="S242" i="42"/>
  <c r="S175" i="42"/>
  <c r="S31" i="42"/>
  <c r="S143" i="42"/>
  <c r="S210" i="42"/>
  <c r="S258" i="42"/>
  <c r="S247" i="42"/>
  <c r="S166" i="42"/>
  <c r="S121" i="42"/>
  <c r="S232" i="42"/>
  <c r="S22" i="42"/>
  <c r="S259" i="42"/>
  <c r="S34" i="42"/>
  <c r="S172" i="42"/>
  <c r="S257" i="42"/>
  <c r="S212" i="42"/>
  <c r="S243" i="42"/>
  <c r="S149" i="42"/>
  <c r="S211" i="42"/>
  <c r="S252" i="42"/>
  <c r="S226" i="42"/>
  <c r="S237" i="42"/>
  <c r="S159" i="42"/>
  <c r="S24" i="42"/>
  <c r="S122" i="42"/>
  <c r="S157" i="42"/>
  <c r="S65" i="42"/>
  <c r="S134" i="42"/>
  <c r="S204" i="42"/>
  <c r="S91" i="42"/>
  <c r="S208" i="42"/>
  <c r="S217" i="42"/>
  <c r="S47" i="42"/>
  <c r="S186" i="42"/>
  <c r="S44" i="42"/>
  <c r="S195" i="42"/>
  <c r="S78" i="42"/>
  <c r="S126" i="42"/>
  <c r="S86" i="42"/>
  <c r="S146" i="42"/>
  <c r="S231" i="42"/>
  <c r="S48" i="42"/>
  <c r="S36" i="42"/>
  <c r="S130" i="42"/>
  <c r="S193" i="42"/>
  <c r="S84" i="42"/>
  <c r="S117" i="42"/>
  <c r="S206" i="42"/>
  <c r="S189" i="42"/>
  <c r="S188" i="42"/>
  <c r="S41" i="42"/>
  <c r="S69" i="42"/>
  <c r="AI22" i="43"/>
  <c r="AI15" i="43"/>
  <c r="AI52" i="43"/>
  <c r="AI49" i="43"/>
  <c r="AI27" i="43"/>
  <c r="AI47" i="43"/>
  <c r="AI8" i="43"/>
  <c r="AI4" i="43"/>
  <c r="N1" i="40"/>
  <c r="J7" i="39"/>
  <c r="N11" i="40"/>
  <c r="O11" i="40"/>
  <c r="N20" i="40"/>
  <c r="O20" i="40"/>
  <c r="N5" i="40"/>
  <c r="O5" i="40"/>
  <c r="J4" i="39"/>
  <c r="J5" i="39"/>
  <c r="J6" i="39"/>
  <c r="Y13" i="39" a="1"/>
  <c r="Y13" i="39"/>
  <c r="W13" i="39" s="1"/>
  <c r="AI62" i="43"/>
  <c r="AI60" i="43"/>
  <c r="N7" i="40"/>
  <c r="N18" i="39" l="1"/>
  <c r="N16" i="39"/>
  <c r="O7" i="40"/>
  <c r="AI58" i="43"/>
  <c r="O19" i="43"/>
  <c r="AI46" i="43"/>
  <c r="AI12" i="43"/>
  <c r="AI9" i="43"/>
  <c r="AI42" i="43"/>
  <c r="AI54" i="43"/>
  <c r="AI56" i="43"/>
  <c r="AI5" i="43"/>
  <c r="N17" i="40"/>
  <c r="O17" i="40"/>
  <c r="N14" i="40"/>
  <c r="O14" i="40"/>
  <c r="N3" i="40"/>
  <c r="O3" i="40"/>
  <c r="N19" i="39"/>
  <c r="AI51" i="43"/>
  <c r="AI65" i="43"/>
  <c r="AI10" i="43"/>
  <c r="AI23" i="43"/>
  <c r="AI36" i="43"/>
  <c r="AI30" i="43"/>
  <c r="AI37" i="43"/>
  <c r="AI19" i="43"/>
  <c r="O15" i="43"/>
  <c r="O17" i="43"/>
  <c r="AI25" i="43"/>
  <c r="AI33" i="43"/>
  <c r="AI14" i="43"/>
  <c r="AI38" i="43"/>
  <c r="AI43" i="43"/>
  <c r="N15" i="40"/>
  <c r="O15" i="40"/>
  <c r="N9" i="40"/>
  <c r="O9" i="40"/>
  <c r="N24" i="39"/>
  <c r="AI35" i="43"/>
  <c r="AI57" i="43"/>
  <c r="N6" i="40"/>
  <c r="O6" i="40"/>
  <c r="AI29" i="43"/>
  <c r="AI20" i="43"/>
  <c r="N10" i="40"/>
  <c r="O10" i="40"/>
  <c r="N16" i="40"/>
  <c r="O16" i="40"/>
  <c r="AI55" i="43"/>
  <c r="AI64" i="43"/>
  <c r="AI28" i="43"/>
  <c r="AI61" i="43"/>
  <c r="AI18" i="43"/>
  <c r="AI13" i="43"/>
  <c r="AI34" i="43"/>
  <c r="AI59" i="43"/>
  <c r="N18" i="40"/>
  <c r="O18" i="40"/>
  <c r="N20" i="39"/>
  <c r="N23" i="39"/>
  <c r="AI48" i="43"/>
  <c r="AI7" i="43"/>
  <c r="AI21" i="43"/>
  <c r="N13" i="40"/>
  <c r="O13" i="40"/>
  <c r="N22" i="39"/>
  <c r="AI17" i="43"/>
  <c r="AI6" i="43"/>
  <c r="N8" i="40"/>
  <c r="O8" i="40"/>
  <c r="AI41" i="43"/>
  <c r="AI26" i="43"/>
  <c r="O21" i="43"/>
  <c r="N17" i="39"/>
  <c r="AI11" i="43"/>
  <c r="AI3" i="43"/>
  <c r="AI45" i="43"/>
  <c r="AI63" i="43"/>
  <c r="O18" i="43"/>
  <c r="AI31" i="43"/>
  <c r="AI32" i="43"/>
  <c r="N12" i="40"/>
  <c r="O12" i="40"/>
  <c r="AI50" i="43"/>
  <c r="N21" i="39"/>
  <c r="AI39" i="43"/>
  <c r="N21" i="40"/>
  <c r="O21" i="40"/>
  <c r="AI24" i="43"/>
  <c r="N4" i="40"/>
  <c r="O4" i="40"/>
  <c r="AI40" i="43"/>
  <c r="AI53" i="43"/>
  <c r="AI44" i="43"/>
  <c r="N19" i="40"/>
  <c r="O19" i="40"/>
  <c r="N15" i="39"/>
  <c r="AI16" i="43"/>
  <c r="O16" i="43"/>
  <c r="S158" i="40"/>
  <c r="S139" i="40"/>
  <c r="S80" i="40"/>
  <c r="S262" i="40"/>
  <c r="S167" i="40"/>
  <c r="S252" i="40"/>
  <c r="S83" i="40"/>
  <c r="S34" i="40"/>
  <c r="S21" i="40"/>
  <c r="S9" i="40"/>
  <c r="S96" i="40"/>
  <c r="S177" i="40"/>
  <c r="S108" i="40"/>
  <c r="S126" i="40"/>
  <c r="S75" i="40"/>
  <c r="S205" i="40"/>
  <c r="S131" i="40"/>
  <c r="S253" i="40"/>
  <c r="S183" i="40"/>
  <c r="S47" i="40"/>
  <c r="S43" i="40"/>
  <c r="S54" i="40"/>
  <c r="S210" i="40"/>
  <c r="S77" i="40"/>
  <c r="S199" i="40"/>
  <c r="S164" i="40"/>
  <c r="S101" i="40"/>
  <c r="S141" i="40"/>
  <c r="S206" i="40"/>
  <c r="S154" i="40"/>
  <c r="S72" i="40"/>
  <c r="S71" i="40"/>
  <c r="S192" i="40"/>
  <c r="S116" i="40"/>
  <c r="S219" i="40"/>
  <c r="S63" i="40"/>
  <c r="S140" i="40"/>
  <c r="S144" i="40"/>
  <c r="S115" i="40"/>
  <c r="S59" i="40"/>
  <c r="S254" i="40"/>
  <c r="S67" i="40"/>
  <c r="S162" i="40"/>
  <c r="S233" i="40"/>
  <c r="S120" i="40"/>
  <c r="S236" i="40"/>
  <c r="S169" i="40"/>
  <c r="S106" i="40"/>
  <c r="S31" i="40"/>
  <c r="S46" i="40"/>
  <c r="S32" i="40"/>
  <c r="S22" i="40"/>
  <c r="S25" i="40"/>
  <c r="S26" i="40"/>
  <c r="S35" i="40"/>
  <c r="S28" i="40"/>
  <c r="Y9" i="39" a="1"/>
  <c r="Y9" i="39"/>
  <c r="Y10" i="39"/>
  <c r="W9" i="39" a="1"/>
  <c r="W10" i="39" s="1"/>
  <c r="S38" i="40"/>
  <c r="S39" i="40"/>
  <c r="S56" i="40"/>
  <c r="S119" i="40"/>
  <c r="S174" i="40"/>
  <c r="S240" i="40"/>
  <c r="S134" i="40"/>
  <c r="S237" i="40"/>
  <c r="S175" i="40"/>
  <c r="S86" i="40"/>
  <c r="S68" i="40"/>
  <c r="S104" i="40"/>
  <c r="S129" i="40"/>
  <c r="S179" i="40"/>
  <c r="S153" i="40"/>
  <c r="S82" i="40"/>
  <c r="S57" i="40"/>
  <c r="S125" i="40"/>
  <c r="S196" i="40"/>
  <c r="S85" i="40"/>
  <c r="S117" i="40"/>
  <c r="S172" i="40"/>
  <c r="S247" i="40"/>
  <c r="S215" i="40"/>
  <c r="S105" i="40"/>
  <c r="S168" i="40"/>
  <c r="S203" i="40"/>
  <c r="S214" i="40"/>
  <c r="S24" i="40"/>
  <c r="S44" i="40"/>
  <c r="S70" i="40"/>
  <c r="S248" i="40"/>
  <c r="S197" i="40"/>
  <c r="S61" i="40"/>
  <c r="S180" i="40"/>
  <c r="S143" i="40"/>
  <c r="S234" i="40"/>
  <c r="S60" i="40"/>
  <c r="S211" i="40"/>
  <c r="S12" i="40"/>
  <c r="S29" i="40"/>
  <c r="S3" i="40"/>
  <c r="S138" i="40"/>
  <c r="S76" i="40"/>
  <c r="S149" i="40"/>
  <c r="S216" i="40"/>
  <c r="S243" i="40"/>
  <c r="S208" i="40"/>
  <c r="S109" i="40"/>
  <c r="S128" i="40"/>
  <c r="S48" i="40"/>
  <c r="S30" i="40"/>
  <c r="S4" i="40"/>
  <c r="S7" i="40"/>
  <c r="S15" i="40"/>
  <c r="S8" i="40"/>
  <c r="S65" i="40"/>
  <c r="S124" i="40"/>
  <c r="S178" i="40"/>
  <c r="S244" i="40"/>
  <c r="S151" i="40"/>
  <c r="S245" i="40"/>
  <c r="S189" i="40"/>
  <c r="S135" i="40"/>
  <c r="S113" i="40"/>
  <c r="S202" i="40"/>
  <c r="S147" i="40"/>
  <c r="S193" i="40"/>
  <c r="S171" i="40"/>
  <c r="S145" i="40"/>
  <c r="S62" i="40"/>
  <c r="S130" i="40"/>
  <c r="S200" i="40"/>
  <c r="S112" i="40"/>
  <c r="S222" i="40"/>
  <c r="S239" i="40"/>
  <c r="S78" i="40"/>
  <c r="S55" i="40"/>
  <c r="S110" i="40"/>
  <c r="S173" i="40"/>
  <c r="S207" i="40"/>
  <c r="S73" i="40"/>
  <c r="S13" i="40"/>
  <c r="S14" i="40"/>
  <c r="S133" i="40"/>
  <c r="S156" i="40"/>
  <c r="S148" i="40"/>
  <c r="S170" i="40"/>
  <c r="S227" i="40"/>
  <c r="S204" i="40"/>
  <c r="S91" i="40"/>
  <c r="S123" i="40"/>
  <c r="S33" i="40"/>
  <c r="S50" i="40"/>
  <c r="S5" i="40"/>
  <c r="S187" i="40"/>
  <c r="S165" i="40"/>
  <c r="S209" i="40"/>
  <c r="S66" i="40"/>
  <c r="S230" i="40"/>
  <c r="S152" i="40"/>
  <c r="S250" i="40"/>
  <c r="S69" i="40"/>
  <c r="S45" i="40"/>
  <c r="S16" i="40"/>
  <c r="AH118" i="39"/>
  <c r="AH66" i="39"/>
  <c r="AH74" i="39"/>
  <c r="AH49" i="39"/>
  <c r="AH126" i="39"/>
  <c r="AH18" i="39"/>
  <c r="AH16" i="39"/>
  <c r="AH65" i="39"/>
  <c r="AH59" i="39"/>
  <c r="AH93" i="39"/>
  <c r="AH108" i="39"/>
  <c r="AH73" i="39"/>
  <c r="AH132" i="39"/>
  <c r="AH30" i="39"/>
  <c r="AH62" i="39"/>
  <c r="AH57" i="39"/>
  <c r="AH120" i="39"/>
  <c r="AH19" i="39"/>
  <c r="AH43" i="39"/>
  <c r="AH9" i="39"/>
  <c r="AH125" i="39"/>
  <c r="AH79" i="39"/>
  <c r="AH8" i="39"/>
  <c r="AH119" i="39"/>
  <c r="AH91" i="39"/>
  <c r="AH83" i="39"/>
  <c r="AH109" i="39"/>
  <c r="AH38" i="39"/>
  <c r="AH34" i="39"/>
  <c r="AH94" i="39"/>
  <c r="AH20" i="39"/>
  <c r="AH113" i="39"/>
  <c r="AH116" i="39"/>
  <c r="AH50" i="39"/>
  <c r="AH28" i="39"/>
  <c r="AH131" i="39"/>
  <c r="AH110" i="39"/>
  <c r="AH41" i="39"/>
  <c r="AH47" i="39"/>
  <c r="AH13" i="39"/>
  <c r="AH4" i="39"/>
  <c r="AH78" i="39"/>
  <c r="AH72" i="39"/>
  <c r="AH61" i="39"/>
  <c r="AH3" i="39"/>
  <c r="AH87" i="39"/>
  <c r="AH45" i="39"/>
  <c r="AH111" i="39"/>
  <c r="AH63" i="39"/>
  <c r="AH5" i="39"/>
  <c r="AH39" i="39"/>
  <c r="AH68" i="39"/>
  <c r="AH107" i="39"/>
  <c r="AH104" i="39"/>
  <c r="AH27" i="39"/>
  <c r="AH96" i="39"/>
  <c r="AH114" i="39"/>
  <c r="AH112" i="39"/>
  <c r="AH90" i="39"/>
  <c r="AH58" i="39"/>
  <c r="AH124" i="39"/>
  <c r="AH12" i="39"/>
  <c r="AH99" i="39"/>
  <c r="AH106" i="39"/>
  <c r="AH14" i="39"/>
  <c r="AH10" i="39"/>
  <c r="AH53" i="39"/>
  <c r="AH35" i="39"/>
  <c r="AH97" i="39"/>
  <c r="AH40" i="39"/>
  <c r="AH101" i="39"/>
  <c r="AH64" i="39"/>
  <c r="AH81" i="39"/>
  <c r="AH88" i="39"/>
  <c r="AH115" i="39"/>
  <c r="AH127" i="39"/>
  <c r="AH31" i="39"/>
  <c r="AH11" i="39"/>
  <c r="AH92" i="39"/>
  <c r="AH42" i="39"/>
  <c r="AH22" i="39"/>
  <c r="AH46" i="39"/>
  <c r="AH21" i="39"/>
  <c r="AH48" i="39"/>
  <c r="AH23" i="39"/>
  <c r="AH69" i="39"/>
  <c r="AH15" i="39"/>
  <c r="AH24" i="39"/>
  <c r="AH89" i="39"/>
  <c r="AH84" i="39"/>
  <c r="AH26" i="39"/>
  <c r="AH70" i="39"/>
  <c r="AH37" i="39"/>
  <c r="AH25" i="39"/>
  <c r="AH77" i="39"/>
  <c r="AH6" i="39"/>
  <c r="AH122" i="39"/>
  <c r="AH33" i="39"/>
  <c r="AH102" i="39"/>
  <c r="AH95" i="39"/>
  <c r="AH85" i="39"/>
  <c r="AH105" i="39"/>
  <c r="AH123" i="39"/>
  <c r="AH56" i="39"/>
  <c r="AH60" i="39"/>
  <c r="AH32" i="39"/>
  <c r="AH121" i="39"/>
  <c r="AH80" i="39"/>
  <c r="AH130" i="39"/>
  <c r="AH100" i="39"/>
  <c r="AH86" i="39"/>
  <c r="AH128" i="39"/>
  <c r="AH44" i="39"/>
  <c r="AH54" i="39"/>
  <c r="AH29" i="39"/>
  <c r="AH76" i="39"/>
  <c r="AH7" i="39"/>
  <c r="AH51" i="39"/>
  <c r="AH67" i="39"/>
  <c r="AH98" i="39"/>
  <c r="AH55" i="39"/>
  <c r="AH82" i="39"/>
  <c r="AH71" i="39"/>
  <c r="AH36" i="39"/>
  <c r="AH75" i="39"/>
  <c r="AH17" i="39"/>
  <c r="AH117" i="39"/>
  <c r="AH103" i="39"/>
  <c r="AH52" i="39"/>
  <c r="AH129" i="39"/>
  <c r="S160" i="40"/>
  <c r="S220" i="40"/>
  <c r="S185" i="40"/>
  <c r="S93" i="40"/>
  <c r="S246" i="40"/>
  <c r="S161" i="40"/>
  <c r="S201" i="40"/>
  <c r="S255" i="40"/>
  <c r="S182" i="40"/>
  <c r="S114" i="40"/>
  <c r="S17" i="40"/>
  <c r="S228" i="40"/>
  <c r="S242" i="40"/>
  <c r="S118" i="40"/>
  <c r="S191" i="40"/>
  <c r="S181" i="40"/>
  <c r="S87" i="40"/>
  <c r="S18" i="40"/>
  <c r="S97" i="40"/>
  <c r="S121" i="40"/>
  <c r="S81" i="40"/>
  <c r="S217" i="40"/>
  <c r="S92" i="40"/>
  <c r="S20" i="40"/>
  <c r="S261" i="40"/>
  <c r="S251" i="40"/>
  <c r="S89" i="40"/>
  <c r="S150" i="40"/>
  <c r="S231" i="40"/>
  <c r="S49" i="40"/>
  <c r="S98" i="40"/>
  <c r="S79" i="40"/>
  <c r="S157" i="40"/>
  <c r="S142" i="40"/>
  <c r="S36" i="40"/>
  <c r="S212" i="40"/>
  <c r="S84" i="40"/>
  <c r="S111" i="40"/>
  <c r="S95" i="40"/>
  <c r="S51" i="40"/>
  <c r="S11" i="40"/>
  <c r="S6" i="40"/>
  <c r="Y3" i="39" a="1"/>
  <c r="Y3" i="39"/>
  <c r="Y4" i="39"/>
  <c r="Y5" i="39"/>
  <c r="W3" i="39" a="1"/>
  <c r="W3" i="39" s="1"/>
  <c r="S224" i="40"/>
  <c r="S225" i="40"/>
  <c r="S226" i="40"/>
  <c r="S241" i="40"/>
  <c r="S259" i="40"/>
  <c r="S166" i="40"/>
  <c r="S100" i="40"/>
  <c r="S64" i="40"/>
  <c r="S186" i="40"/>
  <c r="S132" i="40"/>
  <c r="S27" i="40"/>
  <c r="S90" i="40"/>
  <c r="S249" i="40"/>
  <c r="S163" i="40"/>
  <c r="S188" i="40"/>
  <c r="S74" i="40"/>
  <c r="S176" i="40"/>
  <c r="S213" i="40"/>
  <c r="S136" i="40"/>
  <c r="S194" i="40"/>
  <c r="S52" i="40"/>
  <c r="S257" i="40"/>
  <c r="S235" i="40"/>
  <c r="S198" i="40"/>
  <c r="S127" i="40"/>
  <c r="S223" i="40"/>
  <c r="S40" i="40"/>
  <c r="S102" i="40"/>
  <c r="S221" i="40"/>
  <c r="S99" i="40"/>
  <c r="S58" i="40"/>
  <c r="S137" i="40"/>
  <c r="S37" i="40"/>
  <c r="S146" i="40"/>
  <c r="S229" i="40"/>
  <c r="S122" i="40"/>
  <c r="S190" i="40"/>
  <c r="S256" i="40"/>
  <c r="S53" i="40"/>
  <c r="S41" i="40"/>
  <c r="S155" i="40"/>
  <c r="S258" i="40"/>
  <c r="S238" i="40"/>
  <c r="S184" i="40"/>
  <c r="S260" i="40"/>
  <c r="S42" i="40"/>
  <c r="S19" i="40"/>
  <c r="S10" i="40"/>
  <c r="S88" i="40"/>
  <c r="S232" i="40"/>
  <c r="S103" i="40"/>
  <c r="S218" i="40"/>
  <c r="S107" i="40"/>
  <c r="S195" i="40"/>
  <c r="S23" i="40"/>
  <c r="S94" i="40"/>
  <c r="S159" i="40"/>
  <c r="W9" i="39"/>
  <c r="AI78" i="39"/>
  <c r="AI23" i="39"/>
  <c r="AI51" i="39"/>
  <c r="AI77" i="39"/>
  <c r="AI66" i="39"/>
  <c r="AI107" i="39"/>
  <c r="AI24" i="39"/>
  <c r="AI113" i="39"/>
  <c r="AI103" i="39"/>
  <c r="O22" i="39"/>
  <c r="C35" i="39"/>
  <c r="H22" i="33"/>
  <c r="L22" i="33"/>
  <c r="AI65" i="39"/>
  <c r="AI124" i="39"/>
  <c r="AI9" i="39"/>
  <c r="AI25" i="39"/>
  <c r="AI114" i="39"/>
  <c r="AI128" i="39"/>
  <c r="AI60" i="39"/>
  <c r="AI28" i="39"/>
  <c r="AI41" i="39"/>
  <c r="AI87" i="39"/>
  <c r="AI100" i="39"/>
  <c r="AI71" i="39"/>
  <c r="AI57" i="39"/>
  <c r="AI17" i="39"/>
  <c r="O17" i="39"/>
  <c r="C30" i="39"/>
  <c r="H17" i="33"/>
  <c r="L17" i="33"/>
  <c r="AI46" i="39"/>
  <c r="AI101" i="39"/>
  <c r="AI40" i="39"/>
  <c r="AI63" i="39"/>
  <c r="AI7" i="39"/>
  <c r="AI127" i="39"/>
  <c r="AI39" i="39"/>
  <c r="AI83" i="39"/>
  <c r="AI5" i="39"/>
  <c r="AI52" i="39"/>
  <c r="AI88" i="39"/>
  <c r="AI69" i="39"/>
  <c r="O20" i="39"/>
  <c r="C33" i="39"/>
  <c r="H20" i="33"/>
  <c r="L20" i="33"/>
  <c r="AI111" i="39"/>
  <c r="AI112" i="39"/>
  <c r="O15" i="39"/>
  <c r="C28" i="39"/>
  <c r="H15" i="33"/>
  <c r="L15" i="33"/>
  <c r="AI129" i="39"/>
  <c r="AI117" i="39"/>
  <c r="AI79" i="39"/>
  <c r="AI42" i="39"/>
  <c r="AI21" i="39"/>
  <c r="AI50" i="39"/>
  <c r="AI54" i="39"/>
  <c r="AI80" i="39"/>
  <c r="AI38" i="39"/>
  <c r="AI22" i="39"/>
  <c r="AI91" i="39"/>
  <c r="AI33" i="39"/>
  <c r="AI90" i="39"/>
  <c r="AI8" i="39"/>
  <c r="AI75" i="39"/>
  <c r="AI59" i="39"/>
  <c r="AI120" i="39"/>
  <c r="AI47" i="39"/>
  <c r="AI86" i="39"/>
  <c r="AI106" i="39"/>
  <c r="AI105" i="39"/>
  <c r="AI29" i="39"/>
  <c r="AI115" i="39"/>
  <c r="AI108" i="39"/>
  <c r="AI76" i="39"/>
  <c r="AI43" i="39"/>
  <c r="AI118" i="39"/>
  <c r="AI109" i="39"/>
  <c r="AI26" i="39"/>
  <c r="AI27" i="39"/>
  <c r="AI92" i="39"/>
  <c r="AI61" i="39"/>
  <c r="AI55" i="39"/>
  <c r="AI96" i="39"/>
  <c r="O24" i="39"/>
  <c r="C37" i="39"/>
  <c r="H24" i="33"/>
  <c r="L24" i="33"/>
  <c r="AI62" i="39"/>
  <c r="AI95" i="39"/>
  <c r="AI102" i="39"/>
  <c r="AI85" i="39"/>
  <c r="AI64" i="39"/>
  <c r="AI30" i="39"/>
  <c r="W5" i="39"/>
  <c r="AI99" i="39"/>
  <c r="AI18" i="39"/>
  <c r="W4" i="39"/>
  <c r="AI44" i="39"/>
  <c r="AI56" i="39"/>
  <c r="AI53" i="39"/>
  <c r="AI31" i="39"/>
  <c r="AI11" i="39"/>
  <c r="AI131" i="39"/>
  <c r="AI70" i="39"/>
  <c r="AI82" i="39"/>
  <c r="AI119" i="39"/>
  <c r="AI19" i="39"/>
  <c r="AI37" i="39"/>
  <c r="AI4" i="39"/>
  <c r="AI15" i="39"/>
  <c r="AI84" i="39"/>
  <c r="O16" i="39"/>
  <c r="C29" i="39"/>
  <c r="H16" i="33"/>
  <c r="L16" i="33"/>
  <c r="AI74" i="39"/>
  <c r="O23" i="39"/>
  <c r="C36" i="39"/>
  <c r="H23" i="33"/>
  <c r="L23" i="33"/>
  <c r="AI49" i="39"/>
  <c r="AI16" i="39"/>
  <c r="M16" i="33"/>
  <c r="M22" i="33"/>
  <c r="M15" i="33"/>
  <c r="M24" i="33"/>
  <c r="M23" i="33"/>
  <c r="M17" i="33"/>
  <c r="M20" i="33"/>
  <c r="AI97" i="39"/>
  <c r="AI10" i="39"/>
  <c r="AI81" i="39"/>
  <c r="AI12" i="39"/>
  <c r="AJ67" i="39"/>
  <c r="P22" i="39"/>
  <c r="AJ129" i="39"/>
  <c r="AJ92" i="39"/>
  <c r="AJ70" i="39"/>
  <c r="AJ29" i="39"/>
  <c r="AJ13" i="39"/>
  <c r="AJ10" i="39"/>
  <c r="AJ14" i="39"/>
  <c r="AJ26" i="39"/>
  <c r="AJ17" i="39"/>
  <c r="AJ106" i="39"/>
  <c r="P16" i="39"/>
  <c r="AJ90" i="39"/>
  <c r="AJ44" i="39"/>
  <c r="AJ69" i="39"/>
  <c r="AJ41" i="39"/>
  <c r="AJ16" i="39"/>
  <c r="P15" i="39"/>
  <c r="N1" i="50"/>
  <c r="AI132" i="39"/>
  <c r="AJ32" i="39"/>
  <c r="AJ21" i="39"/>
  <c r="AJ128" i="39"/>
  <c r="AJ35" i="39"/>
  <c r="AJ117" i="39"/>
  <c r="AI89" i="39"/>
  <c r="AJ37" i="39"/>
  <c r="AJ62" i="39"/>
  <c r="AJ115" i="39"/>
  <c r="AJ88" i="39"/>
  <c r="AJ53" i="39"/>
  <c r="AJ113" i="39"/>
  <c r="AJ104" i="39"/>
  <c r="AJ73" i="39"/>
  <c r="AI130" i="39"/>
  <c r="P21" i="39"/>
  <c r="AJ51" i="39"/>
  <c r="AJ114" i="39"/>
  <c r="AJ31" i="39"/>
  <c r="AJ36" i="39"/>
  <c r="AJ105" i="39"/>
  <c r="P20" i="39"/>
  <c r="AI121" i="39"/>
  <c r="AI36" i="39"/>
  <c r="AJ121" i="39"/>
  <c r="AJ74" i="39"/>
  <c r="AJ20" i="39"/>
  <c r="AJ12" i="39"/>
  <c r="AJ50" i="39"/>
  <c r="AJ9" i="39"/>
  <c r="AJ63" i="39"/>
  <c r="AJ11" i="39"/>
  <c r="AI35" i="39"/>
  <c r="AI68" i="39"/>
  <c r="AJ52" i="39"/>
  <c r="AJ84" i="39"/>
  <c r="P19" i="39"/>
  <c r="AJ48" i="39"/>
  <c r="AJ124" i="39"/>
  <c r="AJ119" i="39"/>
  <c r="AJ108" i="39"/>
  <c r="AJ66" i="39"/>
  <c r="AJ75" i="39"/>
  <c r="O18" i="39"/>
  <c r="C31" i="39"/>
  <c r="H18" i="33"/>
  <c r="L18" i="33" s="1"/>
  <c r="AI122" i="39"/>
  <c r="AI94" i="39"/>
  <c r="AI45" i="39"/>
  <c r="AJ59" i="39"/>
  <c r="AJ8" i="39"/>
  <c r="AJ76" i="39"/>
  <c r="AJ81" i="39"/>
  <c r="AJ82" i="39"/>
  <c r="AJ89" i="39"/>
  <c r="AJ6" i="39"/>
  <c r="AJ112" i="39"/>
  <c r="AJ25" i="39"/>
  <c r="AJ61" i="39"/>
  <c r="AJ86" i="39"/>
  <c r="AJ111" i="39"/>
  <c r="AJ24" i="39"/>
  <c r="AJ47" i="39"/>
  <c r="AJ131" i="39"/>
  <c r="AJ15" i="39"/>
  <c r="AJ43" i="39"/>
  <c r="AJ101" i="39"/>
  <c r="AI34" i="39"/>
  <c r="AI13" i="39"/>
  <c r="AI110" i="39"/>
  <c r="AI67" i="39"/>
  <c r="AJ100" i="39"/>
  <c r="P18" i="39"/>
  <c r="AJ68" i="39"/>
  <c r="AJ72" i="39"/>
  <c r="AJ3" i="39"/>
  <c r="AJ96" i="39"/>
  <c r="AJ30" i="39"/>
  <c r="AJ38" i="39"/>
  <c r="AJ132" i="39"/>
  <c r="AJ125" i="39"/>
  <c r="P23" i="39"/>
  <c r="AJ22" i="39"/>
  <c r="AJ123" i="39"/>
  <c r="AJ19" i="39"/>
  <c r="AJ23" i="39"/>
  <c r="AJ95" i="39"/>
  <c r="AJ97" i="39"/>
  <c r="O21" i="39"/>
  <c r="C34" i="39"/>
  <c r="H21" i="33"/>
  <c r="L21" i="33" s="1"/>
  <c r="AI72" i="39"/>
  <c r="AI32" i="39"/>
  <c r="AI93" i="39"/>
  <c r="AJ55" i="39"/>
  <c r="AJ87" i="39"/>
  <c r="AJ40" i="39"/>
  <c r="AJ65" i="39"/>
  <c r="AJ94" i="39"/>
  <c r="AJ91" i="39"/>
  <c r="AJ102" i="39"/>
  <c r="AJ99" i="39"/>
  <c r="AJ58" i="39"/>
  <c r="AJ116" i="39"/>
  <c r="AJ103" i="39"/>
  <c r="AJ80" i="39"/>
  <c r="AJ85" i="39"/>
  <c r="AI48" i="39"/>
  <c r="AI98" i="39"/>
  <c r="AI73" i="39"/>
  <c r="AI20" i="39"/>
  <c r="AJ127" i="39"/>
  <c r="AJ107" i="39"/>
  <c r="AJ60" i="39"/>
  <c r="AJ118" i="39"/>
  <c r="AJ130" i="39"/>
  <c r="AJ49" i="39"/>
  <c r="AJ64" i="39"/>
  <c r="AJ126" i="39"/>
  <c r="AJ39" i="39"/>
  <c r="O19" i="39"/>
  <c r="C32" i="39"/>
  <c r="H19" i="33" s="1"/>
  <c r="L19" i="33" s="1"/>
  <c r="AI125" i="39"/>
  <c r="AI6" i="39"/>
  <c r="AI14" i="39"/>
  <c r="P17" i="39"/>
  <c r="AJ45" i="39"/>
  <c r="AJ71" i="39"/>
  <c r="AJ122" i="39"/>
  <c r="AJ83" i="39"/>
  <c r="AJ79" i="39"/>
  <c r="AJ56" i="39"/>
  <c r="AJ33" i="39"/>
  <c r="AJ7" i="39"/>
  <c r="AJ34" i="39"/>
  <c r="AI116" i="39"/>
  <c r="AI123" i="39"/>
  <c r="AI58" i="39"/>
  <c r="AJ4" i="39"/>
  <c r="AJ57" i="39"/>
  <c r="AJ78" i="39"/>
  <c r="AJ18" i="39"/>
  <c r="AJ5" i="39"/>
  <c r="P24" i="39"/>
  <c r="AJ28" i="39"/>
  <c r="AJ46" i="39"/>
  <c r="AJ110" i="39"/>
  <c r="AI104" i="39"/>
  <c r="AI3" i="39"/>
  <c r="AI126" i="39"/>
  <c r="AJ27" i="39"/>
  <c r="AJ54" i="39"/>
  <c r="AJ120" i="39"/>
  <c r="AJ42" i="39"/>
  <c r="AJ77" i="39"/>
  <c r="AJ98" i="39"/>
  <c r="AJ109" i="39"/>
  <c r="AJ93" i="39"/>
  <c r="J6" i="51"/>
  <c r="J4" i="51"/>
  <c r="J7" i="51"/>
  <c r="J5" i="51"/>
  <c r="Y9" i="51" a="1"/>
  <c r="Y13" i="51" a="1"/>
  <c r="N7" i="50"/>
  <c r="N6" i="50"/>
  <c r="S43" i="50"/>
  <c r="S49" i="50"/>
  <c r="S54" i="50"/>
  <c r="S15" i="50"/>
  <c r="S24" i="50"/>
  <c r="S62" i="50"/>
  <c r="S9" i="50"/>
  <c r="S14" i="50"/>
  <c r="S39" i="50"/>
  <c r="S30" i="50"/>
  <c r="S11" i="50"/>
  <c r="S23" i="50"/>
  <c r="S17" i="50"/>
  <c r="S28" i="50"/>
  <c r="S41" i="50"/>
  <c r="S7" i="50"/>
  <c r="S36" i="50"/>
  <c r="S63" i="50"/>
  <c r="N11" i="50"/>
  <c r="S44" i="50"/>
  <c r="S51" i="50"/>
  <c r="S45" i="50"/>
  <c r="N9" i="50"/>
  <c r="S58" i="50"/>
  <c r="S67" i="50"/>
  <c r="S4" i="50"/>
  <c r="S50" i="50"/>
  <c r="N10" i="50"/>
  <c r="S53" i="50"/>
  <c r="S69" i="50"/>
  <c r="S34" i="50"/>
  <c r="S29" i="50"/>
  <c r="S37" i="50"/>
  <c r="S68" i="50"/>
  <c r="S33" i="50"/>
  <c r="S5" i="50"/>
  <c r="S19" i="50"/>
  <c r="S32" i="50"/>
  <c r="N12" i="50"/>
  <c r="N5" i="50"/>
  <c r="S12" i="50"/>
  <c r="S26" i="50"/>
  <c r="N8" i="50"/>
  <c r="S40" i="50"/>
  <c r="Y3" i="51" a="1"/>
  <c r="S64" i="50"/>
  <c r="S52" i="50"/>
  <c r="S8" i="50"/>
  <c r="S48" i="50"/>
  <c r="S56" i="50"/>
  <c r="S3" i="50"/>
  <c r="S46" i="50"/>
  <c r="S55" i="50"/>
  <c r="S20" i="50"/>
  <c r="N15" i="50"/>
  <c r="S10" i="50"/>
  <c r="S31" i="50"/>
  <c r="S18" i="50"/>
  <c r="S60" i="50"/>
  <c r="S22" i="50"/>
  <c r="S57" i="50"/>
  <c r="S59" i="50"/>
  <c r="N13" i="50"/>
  <c r="N4" i="50"/>
  <c r="S65" i="50"/>
  <c r="S66" i="50"/>
  <c r="S16" i="50"/>
  <c r="S25" i="50"/>
  <c r="S6" i="50"/>
  <c r="S38" i="50"/>
  <c r="S42" i="50"/>
  <c r="S13" i="50"/>
  <c r="N3" i="50"/>
  <c r="S27" i="50"/>
  <c r="S35" i="50"/>
  <c r="S21" i="50"/>
  <c r="N14" i="50"/>
  <c r="S47" i="50"/>
  <c r="S61" i="50"/>
  <c r="M21" i="33"/>
  <c r="M19" i="33"/>
  <c r="M18" i="33"/>
  <c r="Y5" i="51"/>
  <c r="Y3" i="51"/>
  <c r="Y4" i="51"/>
  <c r="W3" i="51" a="1"/>
  <c r="O13" i="50"/>
  <c r="O6" i="50"/>
  <c r="Y13" i="51"/>
  <c r="W13" i="51" s="1"/>
  <c r="O5" i="50"/>
  <c r="O10" i="50"/>
  <c r="O15" i="50"/>
  <c r="O11" i="50"/>
  <c r="O4" i="50"/>
  <c r="O12" i="50"/>
  <c r="O14" i="50"/>
  <c r="Y10" i="51"/>
  <c r="O3" i="50"/>
  <c r="O9" i="50"/>
  <c r="O8" i="50"/>
  <c r="Y9" i="51"/>
  <c r="O7" i="50"/>
  <c r="S224" i="50"/>
  <c r="S131" i="50"/>
  <c r="S228" i="50"/>
  <c r="S129" i="50"/>
  <c r="S96" i="50"/>
  <c r="S99" i="50"/>
  <c r="S188" i="50"/>
  <c r="S138" i="50"/>
  <c r="S113" i="50"/>
  <c r="S229" i="50"/>
  <c r="S168" i="50"/>
  <c r="S112" i="50"/>
  <c r="S114" i="50"/>
  <c r="S207" i="50"/>
  <c r="S155" i="50"/>
  <c r="S190" i="50"/>
  <c r="S105" i="50"/>
  <c r="S167" i="50"/>
  <c r="S203" i="50"/>
  <c r="S127" i="50"/>
  <c r="S171" i="50"/>
  <c r="S193" i="50"/>
  <c r="S122" i="50"/>
  <c r="S76" i="50"/>
  <c r="S156" i="50"/>
  <c r="S118" i="50"/>
  <c r="S220" i="50"/>
  <c r="S125" i="50"/>
  <c r="S86" i="50"/>
  <c r="S243" i="50"/>
  <c r="S93" i="50"/>
  <c r="S117" i="50"/>
  <c r="S260" i="50"/>
  <c r="S225" i="50"/>
  <c r="S158" i="50"/>
  <c r="S102" i="50"/>
  <c r="S100" i="50"/>
  <c r="S195" i="50"/>
  <c r="S137" i="50"/>
  <c r="S178" i="50"/>
  <c r="S95" i="50"/>
  <c r="S149" i="50"/>
  <c r="S191" i="50"/>
  <c r="S85" i="50"/>
  <c r="S147" i="50"/>
  <c r="S189" i="50"/>
  <c r="S108" i="50"/>
  <c r="S72" i="50"/>
  <c r="S250" i="50"/>
  <c r="S83" i="50"/>
  <c r="S212" i="50"/>
  <c r="S111" i="50"/>
  <c r="S82" i="50"/>
  <c r="S227" i="50"/>
  <c r="S254" i="50"/>
  <c r="S106" i="50"/>
  <c r="S253" i="50"/>
  <c r="S222" i="50"/>
  <c r="S151" i="50"/>
  <c r="S92" i="50"/>
  <c r="S80" i="50"/>
  <c r="S109" i="50"/>
  <c r="S161" i="50"/>
  <c r="S91" i="50"/>
  <c r="S132" i="50"/>
  <c r="S124" i="50"/>
  <c r="S252" i="50"/>
  <c r="S258" i="50"/>
  <c r="S98" i="50"/>
  <c r="S223" i="50"/>
  <c r="S257" i="50"/>
  <c r="S101" i="50"/>
  <c r="S170" i="50"/>
  <c r="S246" i="50"/>
  <c r="S217" i="50"/>
  <c r="S88" i="50"/>
  <c r="S134" i="50"/>
  <c r="S143" i="50"/>
  <c r="S104" i="50"/>
  <c r="S202" i="50"/>
  <c r="S164" i="50"/>
  <c r="S71" i="50"/>
  <c r="S196" i="50"/>
  <c r="S157" i="50"/>
  <c r="S160" i="50"/>
  <c r="S187" i="50"/>
  <c r="S245" i="50"/>
  <c r="S140" i="50"/>
  <c r="S184" i="50"/>
  <c r="S259" i="50"/>
  <c r="S251" i="50"/>
  <c r="S261" i="50"/>
  <c r="S209" i="50"/>
  <c r="S84" i="50"/>
  <c r="S177" i="50"/>
  <c r="S153" i="50"/>
  <c r="S174" i="50"/>
  <c r="S173" i="50"/>
  <c r="S241" i="50"/>
  <c r="S130" i="50"/>
  <c r="S163" i="50"/>
  <c r="S123" i="50"/>
  <c r="S166" i="50"/>
  <c r="S186" i="50"/>
  <c r="S205" i="50"/>
  <c r="S77" i="50"/>
  <c r="S256" i="50"/>
  <c r="S236" i="50"/>
  <c r="S180" i="50"/>
  <c r="S215" i="50"/>
  <c r="S206" i="50"/>
  <c r="S176" i="50"/>
  <c r="S142" i="50"/>
  <c r="S210" i="50"/>
  <c r="S119" i="50"/>
  <c r="S103" i="50"/>
  <c r="S182" i="50"/>
  <c r="S136" i="50"/>
  <c r="S70" i="50"/>
  <c r="S232" i="50"/>
  <c r="S211" i="50"/>
  <c r="S204" i="50"/>
  <c r="S169" i="50"/>
  <c r="S172" i="50"/>
  <c r="S128" i="50"/>
  <c r="S165" i="50"/>
  <c r="S115" i="50"/>
  <c r="S262" i="50"/>
  <c r="S175" i="50"/>
  <c r="S126" i="50"/>
  <c r="S183" i="50"/>
  <c r="S185" i="50"/>
  <c r="S73" i="50"/>
  <c r="S208" i="50"/>
  <c r="S219" i="50"/>
  <c r="S199" i="50"/>
  <c r="S249" i="50"/>
  <c r="S144" i="50"/>
  <c r="S200" i="50"/>
  <c r="S89" i="50"/>
  <c r="S81" i="50"/>
  <c r="S110" i="50"/>
  <c r="S213" i="50"/>
  <c r="S94" i="50"/>
  <c r="S244" i="50"/>
  <c r="S97" i="50"/>
  <c r="S90" i="50"/>
  <c r="S226" i="50"/>
  <c r="S214" i="50"/>
  <c r="S247" i="50"/>
  <c r="S242" i="50"/>
  <c r="S133" i="50"/>
  <c r="S192" i="50"/>
  <c r="S194" i="50"/>
  <c r="S154" i="50"/>
  <c r="S75" i="50"/>
  <c r="S240" i="50"/>
  <c r="S87" i="50"/>
  <c r="S255" i="50"/>
  <c r="S218" i="50"/>
  <c r="S179" i="50"/>
  <c r="S231" i="50"/>
  <c r="S230" i="50"/>
  <c r="S248" i="50"/>
  <c r="S235" i="50"/>
  <c r="S238" i="50"/>
  <c r="S146" i="50"/>
  <c r="S74" i="50"/>
  <c r="S159" i="50"/>
  <c r="S150" i="50"/>
  <c r="S107" i="50"/>
  <c r="S162" i="50"/>
  <c r="S237" i="50"/>
  <c r="S120" i="50"/>
  <c r="S135" i="50"/>
  <c r="S221" i="50"/>
  <c r="S216" i="50"/>
  <c r="S152" i="50"/>
  <c r="S201" i="50"/>
  <c r="S79" i="50"/>
  <c r="S239" i="50"/>
  <c r="S145" i="50"/>
  <c r="S139" i="50"/>
  <c r="S234" i="50"/>
  <c r="S148" i="50"/>
  <c r="S233" i="50"/>
  <c r="S116" i="50"/>
  <c r="S121" i="50"/>
  <c r="S198" i="50"/>
  <c r="S181" i="50"/>
  <c r="S141" i="50"/>
  <c r="S197" i="50"/>
  <c r="S78" i="50"/>
  <c r="N15" i="33"/>
  <c r="AH222" i="51"/>
  <c r="AH73" i="51"/>
  <c r="AH213" i="51"/>
  <c r="AH185" i="51"/>
  <c r="AH204" i="51"/>
  <c r="AH142" i="51"/>
  <c r="AH168" i="51"/>
  <c r="AH203" i="51"/>
  <c r="AH176" i="51"/>
  <c r="AH57" i="51"/>
  <c r="AH125" i="51"/>
  <c r="AH23" i="51"/>
  <c r="AH108" i="51"/>
  <c r="AH8" i="51"/>
  <c r="AH55" i="51"/>
  <c r="AH133" i="51"/>
  <c r="AH122" i="51"/>
  <c r="AH249" i="51"/>
  <c r="AH208" i="51"/>
  <c r="AH134" i="51"/>
  <c r="AH37" i="51"/>
  <c r="AH183" i="51"/>
  <c r="AH158" i="51"/>
  <c r="AH65" i="51"/>
  <c r="AH41" i="51"/>
  <c r="AH22" i="51"/>
  <c r="AH242" i="51"/>
  <c r="AH88" i="51"/>
  <c r="AH179" i="51"/>
  <c r="AH112" i="51"/>
  <c r="AH4" i="51"/>
  <c r="N21" i="51"/>
  <c r="AH20" i="51"/>
  <c r="AH130" i="51"/>
  <c r="N18" i="51"/>
  <c r="AH175" i="51"/>
  <c r="AH71" i="51"/>
  <c r="AH151" i="51"/>
  <c r="AH84" i="51"/>
  <c r="AH18" i="51"/>
  <c r="AH219" i="51"/>
  <c r="AH40" i="51"/>
  <c r="AH42" i="51"/>
  <c r="AH86" i="51"/>
  <c r="AH155" i="51"/>
  <c r="AH207" i="51"/>
  <c r="AH147" i="51"/>
  <c r="AH231" i="51"/>
  <c r="AH241" i="51"/>
  <c r="AH232" i="51"/>
  <c r="AH89" i="51"/>
  <c r="AH92" i="51"/>
  <c r="AH226" i="51"/>
  <c r="AH45" i="51"/>
  <c r="AH206" i="51"/>
  <c r="AH220" i="51"/>
  <c r="AH19" i="51"/>
  <c r="AH253" i="51"/>
  <c r="AH170" i="51"/>
  <c r="AH72" i="51"/>
  <c r="AH51" i="51"/>
  <c r="AH50" i="51"/>
  <c r="AH96" i="51"/>
  <c r="AH216" i="51"/>
  <c r="AH48" i="51"/>
  <c r="AH246" i="51"/>
  <c r="AH209" i="51"/>
  <c r="AH80" i="51"/>
  <c r="N28" i="51"/>
  <c r="AH123" i="51"/>
  <c r="AH178" i="51"/>
  <c r="AH46" i="51"/>
  <c r="W3" i="51"/>
  <c r="AH101" i="51"/>
  <c r="AH85" i="51"/>
  <c r="AH243" i="51"/>
  <c r="AH76" i="51"/>
  <c r="AH150" i="51"/>
  <c r="AH28" i="51"/>
  <c r="AH24" i="51"/>
  <c r="AH177" i="51"/>
  <c r="AH225" i="51"/>
  <c r="AH107" i="51"/>
  <c r="AH180" i="51"/>
  <c r="AH169" i="51"/>
  <c r="AH81" i="51"/>
  <c r="AH193" i="51"/>
  <c r="AH109" i="51"/>
  <c r="AH192" i="51"/>
  <c r="AH156" i="51"/>
  <c r="AH121" i="51"/>
  <c r="AH114" i="51"/>
  <c r="AH141" i="51"/>
  <c r="AH78" i="51"/>
  <c r="AH182" i="51"/>
  <c r="N22" i="51"/>
  <c r="AH94" i="51"/>
  <c r="AH143" i="51"/>
  <c r="AH255" i="51"/>
  <c r="AH83" i="51"/>
  <c r="AH30" i="51"/>
  <c r="AH167" i="51"/>
  <c r="W9" i="51" a="1"/>
  <c r="W9" i="51" s="1"/>
  <c r="W10" i="51"/>
  <c r="AI55" i="51" s="1"/>
  <c r="AH124" i="51"/>
  <c r="AH238" i="51"/>
  <c r="AH70" i="51"/>
  <c r="AH237" i="51"/>
  <c r="AH35" i="51"/>
  <c r="AH29" i="51"/>
  <c r="AH105" i="51"/>
  <c r="AH172" i="51"/>
  <c r="AH54" i="51"/>
  <c r="AH68" i="51"/>
  <c r="AH103" i="51"/>
  <c r="AH127" i="51"/>
  <c r="AH259" i="51"/>
  <c r="AH16" i="51"/>
  <c r="AH137" i="51"/>
  <c r="AH77" i="51"/>
  <c r="AH230" i="51"/>
  <c r="AH34" i="51"/>
  <c r="AH161" i="51"/>
  <c r="AH148" i="51"/>
  <c r="AH98" i="51"/>
  <c r="W4" i="51"/>
  <c r="AJ180" i="51" s="1"/>
  <c r="AH129" i="51"/>
  <c r="AH174" i="51"/>
  <c r="AH87" i="51"/>
  <c r="AH135" i="51"/>
  <c r="AH188" i="51"/>
  <c r="AH53" i="51"/>
  <c r="AH113" i="51"/>
  <c r="AH240" i="51"/>
  <c r="AH164" i="51"/>
  <c r="AH160" i="51"/>
  <c r="AH256" i="51"/>
  <c r="AH64" i="51"/>
  <c r="AH59" i="51"/>
  <c r="AH217" i="51"/>
  <c r="AH194" i="51"/>
  <c r="AH10" i="51"/>
  <c r="AH197" i="51"/>
  <c r="N23" i="51"/>
  <c r="AH163" i="51"/>
  <c r="AH60" i="51"/>
  <c r="AH14" i="51"/>
  <c r="W5" i="51"/>
  <c r="AJ201" i="51" s="1"/>
  <c r="AH152" i="51"/>
  <c r="AH200" i="51"/>
  <c r="AH173" i="51"/>
  <c r="AH254" i="51"/>
  <c r="AH145" i="51"/>
  <c r="AH128" i="51"/>
  <c r="AH104" i="51"/>
  <c r="N25" i="51"/>
  <c r="AH27" i="51"/>
  <c r="AH162" i="51"/>
  <c r="AH234" i="51"/>
  <c r="AH31" i="51"/>
  <c r="N15" i="51"/>
  <c r="AH49" i="51"/>
  <c r="AH32" i="51"/>
  <c r="AH47" i="51"/>
  <c r="AH43" i="51"/>
  <c r="AH115" i="51"/>
  <c r="AH215" i="51"/>
  <c r="AH111" i="51"/>
  <c r="AH116" i="51"/>
  <c r="AH250" i="51"/>
  <c r="AH17" i="51"/>
  <c r="AH120" i="51"/>
  <c r="AH191" i="51"/>
  <c r="AH15" i="51"/>
  <c r="AH205" i="51"/>
  <c r="AH224" i="51"/>
  <c r="AH75" i="51"/>
  <c r="AH3" i="51"/>
  <c r="AH138" i="51"/>
  <c r="N26" i="51"/>
  <c r="AH25" i="51"/>
  <c r="AH190" i="51"/>
  <c r="AH227" i="51"/>
  <c r="AH212" i="51"/>
  <c r="AH236" i="51"/>
  <c r="AH248" i="51"/>
  <c r="AH252" i="51"/>
  <c r="AH139" i="51"/>
  <c r="AH211" i="51"/>
  <c r="AH61" i="51"/>
  <c r="AH56" i="51"/>
  <c r="AH165" i="51"/>
  <c r="AH196" i="51"/>
  <c r="AH210" i="51"/>
  <c r="AH67" i="51"/>
  <c r="AH99" i="51"/>
  <c r="AH58" i="51"/>
  <c r="AH91" i="51"/>
  <c r="AH186" i="51"/>
  <c r="AH26" i="51"/>
  <c r="N24" i="51"/>
  <c r="N30" i="51"/>
  <c r="AH235" i="51"/>
  <c r="AH131" i="51"/>
  <c r="AH69" i="51"/>
  <c r="AH119" i="51"/>
  <c r="AH11" i="51"/>
  <c r="AH171" i="51"/>
  <c r="AH198" i="51"/>
  <c r="AH257" i="51"/>
  <c r="AH146" i="51"/>
  <c r="AH63" i="51"/>
  <c r="AH132" i="51"/>
  <c r="AH233" i="51"/>
  <c r="AH159" i="51"/>
  <c r="AH154" i="51"/>
  <c r="AH258" i="51"/>
  <c r="AH110" i="51"/>
  <c r="AH166" i="51"/>
  <c r="AH144" i="51"/>
  <c r="AH5" i="51"/>
  <c r="AH218" i="51"/>
  <c r="AH184" i="51"/>
  <c r="AH21" i="51"/>
  <c r="AH44" i="51"/>
  <c r="AH136" i="51"/>
  <c r="AH6" i="51"/>
  <c r="N16" i="51"/>
  <c r="AH228" i="51"/>
  <c r="AH247" i="51"/>
  <c r="AH9" i="51"/>
  <c r="AH126" i="51"/>
  <c r="AH202" i="51"/>
  <c r="AH90" i="51"/>
  <c r="AH39" i="51"/>
  <c r="AH140" i="51"/>
  <c r="AH52" i="51"/>
  <c r="AH149" i="51"/>
  <c r="AH82" i="51"/>
  <c r="AH199" i="51"/>
  <c r="AH66" i="51"/>
  <c r="N19" i="51"/>
  <c r="AH251" i="51"/>
  <c r="AH189" i="51"/>
  <c r="AH153" i="51"/>
  <c r="AH106" i="51"/>
  <c r="AH223" i="51"/>
  <c r="AH181" i="51"/>
  <c r="AH244" i="51"/>
  <c r="N17" i="51"/>
  <c r="AH100" i="51"/>
  <c r="AH157" i="51"/>
  <c r="AH13" i="51"/>
  <c r="AH93" i="51"/>
  <c r="AH195" i="51"/>
  <c r="AH7" i="51"/>
  <c r="AH79" i="51"/>
  <c r="AH33" i="51"/>
  <c r="AH62" i="51"/>
  <c r="AH36" i="51"/>
  <c r="AH221" i="51"/>
  <c r="AH201" i="51"/>
  <c r="AH97" i="51"/>
  <c r="AH12" i="51"/>
  <c r="AH117" i="51"/>
  <c r="AH95" i="51"/>
  <c r="N20" i="51"/>
  <c r="AH214" i="51"/>
  <c r="AH187" i="51"/>
  <c r="AH239" i="51"/>
  <c r="AH118" i="51"/>
  <c r="AH74" i="51"/>
  <c r="AH38" i="51"/>
  <c r="AH102" i="51"/>
  <c r="N27" i="51"/>
  <c r="AH245" i="51"/>
  <c r="AH229" i="51"/>
  <c r="N29" i="51"/>
  <c r="AJ8" i="51"/>
  <c r="AI180" i="51"/>
  <c r="AJ192" i="51"/>
  <c r="AJ134" i="51" l="1"/>
  <c r="AJ240" i="51"/>
  <c r="AJ15" i="51"/>
  <c r="AI192" i="51"/>
  <c r="AJ186" i="51"/>
  <c r="AI174" i="51"/>
  <c r="AJ255" i="51"/>
  <c r="AJ228" i="51"/>
  <c r="AJ125" i="51"/>
  <c r="AI56" i="51"/>
  <c r="AJ198" i="51"/>
  <c r="AJ142" i="51"/>
  <c r="AJ237" i="51"/>
  <c r="AJ145" i="51"/>
  <c r="AJ22" i="51"/>
  <c r="AJ52" i="51"/>
  <c r="P15" i="51"/>
  <c r="AI81" i="51"/>
  <c r="AI114" i="51"/>
  <c r="AI212" i="51"/>
  <c r="AJ169" i="51"/>
  <c r="AI127" i="51"/>
  <c r="AJ93" i="51"/>
  <c r="AJ210" i="51"/>
  <c r="AJ217" i="51"/>
  <c r="AJ150" i="51"/>
  <c r="AJ70" i="51"/>
  <c r="AJ34" i="51"/>
  <c r="AJ54" i="51"/>
  <c r="AJ224" i="51"/>
  <c r="AJ17" i="51"/>
  <c r="AJ121" i="51"/>
  <c r="AJ241" i="51"/>
  <c r="AJ66" i="51"/>
  <c r="AJ226" i="51"/>
  <c r="AJ123" i="51"/>
  <c r="AJ46" i="51"/>
  <c r="AJ27" i="51"/>
  <c r="AI159" i="51"/>
  <c r="AJ85" i="51"/>
  <c r="AJ200" i="51"/>
  <c r="AJ115" i="51"/>
  <c r="AI121" i="51"/>
  <c r="AI124" i="51"/>
  <c r="AJ163" i="51"/>
  <c r="P16" i="51"/>
  <c r="AJ99" i="51"/>
  <c r="P19" i="51"/>
  <c r="AJ84" i="51"/>
  <c r="AJ101" i="51"/>
  <c r="AJ167" i="51"/>
  <c r="AJ79" i="51"/>
  <c r="AJ144" i="51"/>
  <c r="AI111" i="51"/>
  <c r="AJ71" i="51"/>
  <c r="AI154" i="51"/>
  <c r="AJ242" i="51"/>
  <c r="AI199" i="51"/>
  <c r="AI83" i="51"/>
  <c r="AI66" i="51"/>
  <c r="AI24" i="51"/>
  <c r="AI245" i="51"/>
  <c r="AI170" i="51"/>
  <c r="AI225" i="51"/>
  <c r="AI191" i="51"/>
  <c r="AI44" i="51"/>
  <c r="AI4" i="51"/>
  <c r="AI183" i="51"/>
  <c r="AI107" i="51"/>
  <c r="O20" i="51"/>
  <c r="C39" i="51" s="1"/>
  <c r="H30" i="33" s="1"/>
  <c r="L30" i="33" s="1"/>
  <c r="O29" i="51"/>
  <c r="C48" i="51" s="1"/>
  <c r="H39" i="33" s="1"/>
  <c r="L39" i="33" s="1"/>
  <c r="AI209" i="51"/>
  <c r="AI211" i="51"/>
  <c r="AI100" i="51"/>
  <c r="AI134" i="51"/>
  <c r="AI14" i="51"/>
  <c r="AI163" i="51"/>
  <c r="AI131" i="51"/>
  <c r="AI175" i="51"/>
  <c r="AI51" i="51"/>
  <c r="AI255" i="51"/>
  <c r="AI9" i="51"/>
  <c r="AI184" i="51"/>
  <c r="AI203" i="51"/>
  <c r="AI176" i="51"/>
  <c r="AI254" i="51"/>
  <c r="AI7" i="51"/>
  <c r="AI45" i="51"/>
  <c r="AI37" i="51"/>
  <c r="AI244" i="51"/>
  <c r="AI153" i="51"/>
  <c r="AI198" i="51"/>
  <c r="AI79" i="51"/>
  <c r="AI86" i="51"/>
  <c r="AI234" i="51"/>
  <c r="AI172" i="51"/>
  <c r="AI227" i="51"/>
  <c r="AI139" i="51"/>
  <c r="AI215" i="51"/>
  <c r="AI88" i="51"/>
  <c r="AI221" i="51"/>
  <c r="AI167" i="51"/>
  <c r="AI190" i="51"/>
  <c r="AI150" i="51"/>
  <c r="AI202" i="51"/>
  <c r="AI42" i="51"/>
  <c r="O16" i="51"/>
  <c r="C35" i="51" s="1"/>
  <c r="H26" i="33" s="1"/>
  <c r="L26" i="33" s="1"/>
  <c r="AI28" i="51"/>
  <c r="AI95" i="51"/>
  <c r="AI120" i="51"/>
  <c r="AI151" i="51"/>
  <c r="AI142" i="51"/>
  <c r="O22" i="51"/>
  <c r="C41" i="51" s="1"/>
  <c r="H32" i="33" s="1"/>
  <c r="L32" i="33" s="1"/>
  <c r="AI117" i="51"/>
  <c r="AI94" i="51"/>
  <c r="AI99" i="51"/>
  <c r="AI149" i="51"/>
  <c r="AI232" i="51"/>
  <c r="AI166" i="51"/>
  <c r="AI189" i="51"/>
  <c r="AI193" i="51"/>
  <c r="AI67" i="51"/>
  <c r="AI108" i="51"/>
  <c r="AI197" i="51"/>
  <c r="O23" i="51"/>
  <c r="C42" i="51" s="1"/>
  <c r="H33" i="33" s="1"/>
  <c r="L33" i="33" s="1"/>
  <c r="AI133" i="51"/>
  <c r="AI253" i="51"/>
  <c r="AI160" i="51"/>
  <c r="AI90" i="51"/>
  <c r="O21" i="51"/>
  <c r="C40" i="51" s="1"/>
  <c r="H31" i="33" s="1"/>
  <c r="L31" i="33" s="1"/>
  <c r="AI138" i="51"/>
  <c r="AI43" i="51"/>
  <c r="AI78" i="51"/>
  <c r="AI87" i="51"/>
  <c r="AI208" i="51"/>
  <c r="AI118" i="51"/>
  <c r="AI119" i="51"/>
  <c r="AI173" i="51"/>
  <c r="AI62" i="51"/>
  <c r="AI147" i="51"/>
  <c r="AI223" i="51"/>
  <c r="AI53" i="51"/>
  <c r="O28" i="51"/>
  <c r="C47" i="51" s="1"/>
  <c r="H38" i="33" s="1"/>
  <c r="L38" i="33" s="1"/>
  <c r="AI135" i="51"/>
  <c r="AI63" i="51"/>
  <c r="AI34" i="51"/>
  <c r="AI40" i="51"/>
  <c r="AI71" i="51"/>
  <c r="AI36" i="51"/>
  <c r="AI113" i="51"/>
  <c r="AI13" i="51"/>
  <c r="AI73" i="51"/>
  <c r="AI157" i="51"/>
  <c r="AI76" i="51"/>
  <c r="AI217" i="51"/>
  <c r="AI115" i="51"/>
  <c r="AI27" i="51"/>
  <c r="AI186" i="51"/>
  <c r="AI246" i="51"/>
  <c r="AI49" i="51"/>
  <c r="AI156" i="51"/>
  <c r="O24" i="51"/>
  <c r="C43" i="51" s="1"/>
  <c r="H34" i="33" s="1"/>
  <c r="L34" i="33" s="1"/>
  <c r="AI213" i="51"/>
  <c r="AI122" i="51"/>
  <c r="AI249" i="51"/>
  <c r="O30" i="51"/>
  <c r="C49" i="51" s="1"/>
  <c r="H40" i="33" s="1"/>
  <c r="L40" i="33" s="1"/>
  <c r="AI200" i="51"/>
  <c r="AI165" i="51"/>
  <c r="AI57" i="51"/>
  <c r="AI32" i="51"/>
  <c r="AI64" i="51"/>
  <c r="AI26" i="51"/>
  <c r="AI132" i="51"/>
  <c r="AI258" i="51"/>
  <c r="AI70" i="51"/>
  <c r="AI89" i="51"/>
  <c r="AI68" i="51"/>
  <c r="AI235" i="51"/>
  <c r="AI155" i="51"/>
  <c r="AI188" i="51"/>
  <c r="AI30" i="51"/>
  <c r="AI82" i="51"/>
  <c r="AI61" i="51"/>
  <c r="AI143" i="51"/>
  <c r="AI72" i="51"/>
  <c r="AI251" i="51"/>
  <c r="AI146" i="51"/>
  <c r="AI102" i="51"/>
  <c r="AI238" i="51"/>
  <c r="AI179" i="51"/>
  <c r="AI112" i="51"/>
  <c r="AI93" i="51"/>
  <c r="AI162" i="51"/>
  <c r="AI222" i="51"/>
  <c r="AI84" i="51"/>
  <c r="AI85" i="51"/>
  <c r="AI177" i="51"/>
  <c r="AI123" i="51"/>
  <c r="AI41" i="51"/>
  <c r="AI236" i="51"/>
  <c r="AI18" i="51"/>
  <c r="AI46" i="51"/>
  <c r="AI92" i="51"/>
  <c r="AI29" i="51"/>
  <c r="AI98" i="51"/>
  <c r="AI256" i="51"/>
  <c r="AI17" i="51"/>
  <c r="AI168" i="51"/>
  <c r="AI31" i="51"/>
  <c r="AI196" i="51"/>
  <c r="AI226" i="51"/>
  <c r="AI145" i="51"/>
  <c r="AI205" i="51"/>
  <c r="AI106" i="51"/>
  <c r="AI252" i="51"/>
  <c r="O18" i="51"/>
  <c r="C37" i="51" s="1"/>
  <c r="H28" i="33" s="1"/>
  <c r="L28" i="33" s="1"/>
  <c r="AI101" i="51"/>
  <c r="AI231" i="51"/>
  <c r="AI105" i="51"/>
  <c r="O25" i="51"/>
  <c r="C44" i="51" s="1"/>
  <c r="H35" i="33" s="1"/>
  <c r="L35" i="33" s="1"/>
  <c r="AI243" i="51"/>
  <c r="AI25" i="51"/>
  <c r="AJ75" i="51"/>
  <c r="AJ153" i="51"/>
  <c r="AJ7" i="51"/>
  <c r="AI5" i="51"/>
  <c r="AJ229" i="51"/>
  <c r="AI96" i="51"/>
  <c r="AJ148" i="51"/>
  <c r="AJ156" i="51"/>
  <c r="AI15" i="51"/>
  <c r="AJ191" i="51"/>
  <c r="AI50" i="51"/>
  <c r="AJ64" i="51"/>
  <c r="AI35" i="51"/>
  <c r="P22" i="51"/>
  <c r="AJ4" i="51"/>
  <c r="AI6" i="51"/>
  <c r="AI185" i="51"/>
  <c r="AJ193" i="51"/>
  <c r="AI38" i="51"/>
  <c r="AJ183" i="51"/>
  <c r="AI60" i="51"/>
  <c r="AJ37" i="51"/>
  <c r="AI233" i="51"/>
  <c r="AI206" i="51"/>
  <c r="AI214" i="51"/>
  <c r="AJ102" i="51"/>
  <c r="AI91" i="51"/>
  <c r="AJ122" i="51"/>
  <c r="AJ236" i="51"/>
  <c r="AI181" i="51"/>
  <c r="AI178" i="51"/>
  <c r="AI103" i="51"/>
  <c r="AJ257" i="51"/>
  <c r="AI195" i="51"/>
  <c r="AJ170" i="51"/>
  <c r="AJ92" i="51"/>
  <c r="AJ24" i="51"/>
  <c r="AI59" i="51"/>
  <c r="AI257" i="51"/>
  <c r="AJ29" i="51"/>
  <c r="AI228" i="51"/>
  <c r="AI8" i="51"/>
  <c r="AI137" i="51"/>
  <c r="AJ132" i="51"/>
  <c r="AJ83" i="51"/>
  <c r="AI104" i="51"/>
  <c r="AJ157" i="51"/>
  <c r="AI47" i="51"/>
  <c r="AI58" i="51"/>
  <c r="AI164" i="51"/>
  <c r="AJ91" i="51"/>
  <c r="AI20" i="51"/>
  <c r="AI158" i="51"/>
  <c r="AI219" i="51"/>
  <c r="AJ113" i="51"/>
  <c r="AI48" i="51"/>
  <c r="AI21" i="51"/>
  <c r="AJ110" i="51"/>
  <c r="AJ140" i="51"/>
  <c r="AI33" i="51"/>
  <c r="O27" i="51"/>
  <c r="C46" i="51" s="1"/>
  <c r="H37" i="33" s="1"/>
  <c r="L37" i="33" s="1"/>
  <c r="AJ211" i="51"/>
  <c r="AJ239" i="51"/>
  <c r="AI109" i="51"/>
  <c r="AJ108" i="51"/>
  <c r="AJ216" i="51"/>
  <c r="AI130" i="51"/>
  <c r="AJ20" i="51"/>
  <c r="AI110" i="51"/>
  <c r="AJ39" i="51"/>
  <c r="AJ231" i="51"/>
  <c r="AI22" i="51"/>
  <c r="AI125" i="51"/>
  <c r="AJ179" i="51"/>
  <c r="AJ234" i="51"/>
  <c r="AJ56" i="51"/>
  <c r="AI54" i="51"/>
  <c r="AJ207" i="51"/>
  <c r="AJ190" i="51"/>
  <c r="O15" i="51"/>
  <c r="C34" i="51" s="1"/>
  <c r="H25" i="33" s="1"/>
  <c r="L25" i="33" s="1"/>
  <c r="AJ116" i="51"/>
  <c r="AI259" i="51"/>
  <c r="AI74" i="51"/>
  <c r="AI182" i="51"/>
  <c r="AJ49" i="51"/>
  <c r="AI129" i="51"/>
  <c r="AI218" i="51"/>
  <c r="AI128" i="51"/>
  <c r="AJ12" i="51"/>
  <c r="AI171" i="51"/>
  <c r="AJ238" i="51"/>
  <c r="AI77" i="51"/>
  <c r="AJ146" i="51"/>
  <c r="O17" i="51"/>
  <c r="C36" i="51" s="1"/>
  <c r="H27" i="33" s="1"/>
  <c r="L27" i="33" s="1"/>
  <c r="AI220" i="51"/>
  <c r="AI240" i="51"/>
  <c r="AI19" i="51"/>
  <c r="AJ139" i="51"/>
  <c r="AI248" i="51"/>
  <c r="AJ45" i="51"/>
  <c r="AJ126" i="51"/>
  <c r="AI136" i="51"/>
  <c r="AI148" i="51"/>
  <c r="AJ10" i="51"/>
  <c r="O19" i="51"/>
  <c r="C38" i="51" s="1"/>
  <c r="H29" i="33" s="1"/>
  <c r="L29" i="33" s="1"/>
  <c r="AI126" i="51"/>
  <c r="AI204" i="51"/>
  <c r="AI230" i="51"/>
  <c r="AJ128" i="51"/>
  <c r="AJ105" i="51"/>
  <c r="AI52" i="51"/>
  <c r="AI237" i="51"/>
  <c r="AJ112" i="51"/>
  <c r="AI11" i="51"/>
  <c r="AJ218" i="51"/>
  <c r="AI250" i="51"/>
  <c r="AI247" i="51"/>
  <c r="AI75" i="51"/>
  <c r="AJ221" i="51"/>
  <c r="AI152" i="51"/>
  <c r="AI23" i="51"/>
  <c r="P27" i="51"/>
  <c r="AJ212" i="51"/>
  <c r="AI12" i="51"/>
  <c r="AJ245" i="51"/>
  <c r="AI207" i="51"/>
  <c r="AJ258" i="51"/>
  <c r="AI16" i="51"/>
  <c r="P20" i="51"/>
  <c r="AI241" i="51"/>
  <c r="AJ14" i="51"/>
  <c r="AI169" i="51"/>
  <c r="AJ76" i="51"/>
  <c r="AI194" i="51"/>
  <c r="AJ209" i="51"/>
  <c r="AI39" i="51"/>
  <c r="AI140" i="51"/>
  <c r="AI65" i="51"/>
  <c r="AI10" i="51"/>
  <c r="AI224" i="51"/>
  <c r="AI69" i="51"/>
  <c r="AI161" i="51"/>
  <c r="AJ124" i="51"/>
  <c r="AJ80" i="51"/>
  <c r="AI216" i="51"/>
  <c r="AJ129" i="51"/>
  <c r="AI144" i="51"/>
  <c r="AI80" i="51"/>
  <c r="AJ74" i="51"/>
  <c r="AI141" i="51"/>
  <c r="O26" i="51"/>
  <c r="C45" i="51" s="1"/>
  <c r="H36" i="33" s="1"/>
  <c r="L36" i="33" s="1"/>
  <c r="AI242" i="51"/>
  <c r="AJ73" i="51"/>
  <c r="AI210" i="51"/>
  <c r="AJ243" i="51"/>
  <c r="AJ133" i="51"/>
  <c r="AI239" i="51"/>
  <c r="AI97" i="51"/>
  <c r="AJ250" i="51"/>
  <c r="AJ18" i="51"/>
  <c r="AI187" i="51"/>
  <c r="AI229" i="51"/>
  <c r="AJ26" i="51"/>
  <c r="AI3" i="51"/>
  <c r="AI116" i="51"/>
  <c r="AI201" i="51"/>
  <c r="AJ65" i="51"/>
  <c r="AJ120" i="51"/>
  <c r="AJ35" i="51"/>
  <c r="AJ131" i="51"/>
  <c r="AJ98" i="51"/>
  <c r="AJ55" i="51"/>
  <c r="AJ202" i="51"/>
  <c r="AJ252" i="51"/>
  <c r="AJ182" i="51"/>
  <c r="AJ36" i="51"/>
  <c r="AJ119" i="51"/>
  <c r="AJ147" i="51"/>
  <c r="AJ130" i="51"/>
  <c r="AJ195" i="51"/>
  <c r="AJ60" i="51"/>
  <c r="AJ23" i="51"/>
  <c r="AJ151" i="51"/>
  <c r="AJ103" i="51"/>
  <c r="AJ199" i="51"/>
  <c r="P24" i="51"/>
  <c r="AJ11" i="51"/>
  <c r="AJ19" i="51"/>
  <c r="AJ189" i="51"/>
  <c r="AJ61" i="51"/>
  <c r="AJ222" i="51"/>
  <c r="AJ25" i="51"/>
  <c r="AJ138" i="51"/>
  <c r="AJ165" i="51"/>
  <c r="AJ94" i="51"/>
  <c r="AJ149" i="51"/>
  <c r="AJ206" i="51"/>
  <c r="AJ174" i="51"/>
  <c r="AJ185" i="51"/>
  <c r="P30" i="51"/>
  <c r="AJ135" i="51"/>
  <c r="AJ247" i="51"/>
  <c r="AJ88" i="51"/>
  <c r="AJ51" i="51"/>
  <c r="AJ171" i="51"/>
  <c r="AJ215" i="51"/>
  <c r="AJ155" i="51"/>
  <c r="AJ77" i="51"/>
  <c r="AJ159" i="51"/>
  <c r="AJ137" i="51"/>
  <c r="AJ9" i="51"/>
  <c r="AJ220" i="51"/>
  <c r="AJ117" i="51"/>
  <c r="AJ100" i="51"/>
  <c r="AJ203" i="51"/>
  <c r="AJ97" i="51"/>
  <c r="AJ232" i="51"/>
  <c r="AJ81" i="51"/>
  <c r="AJ141" i="51"/>
  <c r="P26" i="51"/>
  <c r="AJ59" i="51"/>
  <c r="AJ114" i="51"/>
  <c r="P18" i="51"/>
  <c r="P28" i="51"/>
  <c r="AJ69" i="51"/>
  <c r="AJ219" i="51"/>
  <c r="AJ16" i="51"/>
  <c r="AJ3" i="51"/>
  <c r="P23" i="51"/>
  <c r="AJ111" i="51"/>
  <c r="AJ225" i="51"/>
  <c r="AJ246" i="51"/>
  <c r="AJ47" i="51"/>
  <c r="AJ40" i="51"/>
  <c r="AJ187" i="51"/>
  <c r="AJ57" i="51"/>
  <c r="AJ166" i="51"/>
  <c r="AJ38" i="51"/>
  <c r="AJ58" i="51"/>
  <c r="AJ251" i="51"/>
  <c r="AJ175" i="51"/>
  <c r="AJ208" i="51"/>
  <c r="AJ213" i="51"/>
  <c r="AJ62" i="51"/>
  <c r="AJ244" i="51"/>
  <c r="P25" i="51"/>
  <c r="AJ160" i="51"/>
  <c r="AJ253" i="51"/>
  <c r="AJ96" i="51"/>
  <c r="AJ204" i="51"/>
  <c r="AJ227" i="51"/>
  <c r="AJ5" i="51"/>
  <c r="P21" i="51"/>
  <c r="AJ31" i="51"/>
  <c r="P17" i="51"/>
  <c r="AJ177" i="51"/>
  <c r="AJ32" i="51"/>
  <c r="AJ178" i="51"/>
  <c r="AJ109" i="51"/>
  <c r="AJ172" i="51"/>
  <c r="AJ154" i="51"/>
  <c r="AJ33" i="51"/>
  <c r="AJ89" i="51"/>
  <c r="AJ95" i="51"/>
  <c r="AJ158" i="51"/>
  <c r="AJ42" i="51"/>
  <c r="AJ259" i="51"/>
  <c r="AJ106" i="51"/>
  <c r="AJ143" i="51"/>
  <c r="AJ173" i="51"/>
  <c r="AJ256" i="51"/>
  <c r="AJ152" i="51"/>
  <c r="AJ196" i="51"/>
  <c r="AJ48" i="51"/>
  <c r="AJ248" i="51"/>
  <c r="AJ235" i="51"/>
  <c r="AJ161" i="51"/>
  <c r="AJ118" i="51"/>
  <c r="AJ205" i="51"/>
  <c r="AJ230" i="51"/>
  <c r="AJ181" i="51"/>
  <c r="AJ197" i="51"/>
  <c r="AJ188" i="51"/>
  <c r="AJ194" i="51"/>
  <c r="AJ28" i="51"/>
  <c r="AJ168" i="51"/>
  <c r="AJ82" i="51"/>
  <c r="AJ50" i="51"/>
  <c r="AJ87" i="51"/>
  <c r="AJ254" i="51"/>
  <c r="AJ90" i="51"/>
  <c r="AJ21" i="51"/>
  <c r="AJ127" i="51"/>
  <c r="AJ162" i="51"/>
  <c r="AJ86" i="51"/>
  <c r="AJ13" i="51"/>
  <c r="AJ136" i="51"/>
  <c r="AJ44" i="51"/>
  <c r="AJ41" i="51"/>
  <c r="AJ176" i="51"/>
  <c r="AJ6" i="51"/>
  <c r="AJ43" i="51"/>
  <c r="AJ164" i="51"/>
  <c r="AJ104" i="51"/>
  <c r="AJ214" i="51"/>
  <c r="AJ233" i="51"/>
  <c r="AJ223" i="51"/>
  <c r="AJ107" i="51"/>
  <c r="AJ72" i="51"/>
  <c r="AJ63" i="51"/>
  <c r="AJ53" i="51"/>
  <c r="AJ184" i="51"/>
  <c r="AJ78" i="51"/>
  <c r="AJ67" i="51"/>
  <c r="AJ249" i="51"/>
  <c r="P29" i="51"/>
  <c r="AJ68" i="51"/>
  <c r="AJ30" i="51"/>
  <c r="S3" i="48" a="1"/>
  <c r="S5" i="48"/>
  <c r="L18" i="48" s="1"/>
  <c r="C26" i="48" s="1"/>
  <c r="H6" i="33" s="1"/>
  <c r="L6" i="33" s="1"/>
  <c r="S4" i="48"/>
  <c r="S3" i="48"/>
  <c r="M26" i="33"/>
  <c r="M37" i="33"/>
  <c r="M35" i="33"/>
  <c r="M27" i="33"/>
  <c r="M33" i="33"/>
  <c r="M36" i="33"/>
  <c r="M30" i="33"/>
  <c r="M40" i="33"/>
  <c r="M25" i="33"/>
  <c r="M38" i="33"/>
  <c r="M29" i="33"/>
  <c r="M28" i="33"/>
  <c r="M32" i="33"/>
  <c r="M31" i="33"/>
  <c r="M34" i="33"/>
  <c r="M39" i="33"/>
  <c r="M6" i="33"/>
  <c r="W3" i="43" a="1"/>
  <c r="W5" i="43"/>
  <c r="W4" i="43"/>
  <c r="W3" i="43"/>
  <c r="P15" i="43"/>
  <c r="C25" i="43"/>
  <c r="H8" i="33"/>
  <c r="L8" i="33"/>
  <c r="M8" i="33"/>
  <c r="L15" i="48"/>
  <c r="C23" i="48"/>
  <c r="H3" i="33"/>
  <c r="L3" i="33"/>
  <c r="M3" i="33"/>
  <c r="L19" i="48"/>
  <c r="C27" i="48"/>
  <c r="H7" i="33"/>
  <c r="L7" i="33"/>
  <c r="M7" i="33"/>
  <c r="L16" i="48"/>
  <c r="C24" i="48" s="1"/>
  <c r="H4" i="33" s="1"/>
  <c r="L4" i="33" s="1"/>
  <c r="M4" i="33"/>
  <c r="P18" i="43"/>
  <c r="C28" i="43"/>
  <c r="H11" i="33"/>
  <c r="L11" i="33"/>
  <c r="M11" i="33"/>
  <c r="P21" i="43"/>
  <c r="C31" i="43"/>
  <c r="H14" i="33" s="1"/>
  <c r="L14" i="33" s="1"/>
  <c r="M14" i="33"/>
  <c r="P16" i="43"/>
  <c r="C26" i="43" s="1"/>
  <c r="H9" i="33" s="1"/>
  <c r="L9" i="33" s="1"/>
  <c r="M9" i="33"/>
  <c r="P20" i="43"/>
  <c r="C30" i="43" s="1"/>
  <c r="H13" i="33" s="1"/>
  <c r="L13" i="33" s="1"/>
  <c r="M13" i="33"/>
  <c r="P19" i="43"/>
  <c r="C29" i="43" s="1"/>
  <c r="H12" i="33" s="1"/>
  <c r="L12" i="33" s="1"/>
  <c r="M12" i="33"/>
  <c r="P17" i="43"/>
  <c r="C27" i="43" s="1"/>
  <c r="H10" i="33" s="1"/>
  <c r="L10" i="33" s="1"/>
  <c r="M10" i="33"/>
  <c r="L17" i="48"/>
  <c r="C25" i="48"/>
  <c r="H5" i="33"/>
  <c r="L5" i="33"/>
  <c r="M5" i="33"/>
  <c r="AF9" i="48"/>
  <c r="AF7" i="48"/>
  <c r="AF14" i="48"/>
  <c r="AF3" i="48"/>
  <c r="AF23" i="48"/>
  <c r="AF13" i="48"/>
  <c r="AF5" i="48"/>
  <c r="AF10" i="48"/>
  <c r="AF15" i="48"/>
  <c r="AF21" i="48"/>
  <c r="AF16" i="48"/>
  <c r="AF4" i="48"/>
  <c r="AF11" i="48"/>
  <c r="AF17" i="48"/>
  <c r="AF19" i="48"/>
  <c r="AF20" i="48"/>
  <c r="AF18" i="48"/>
  <c r="AF22" i="48"/>
  <c r="AF25" i="48"/>
  <c r="AF26" i="48"/>
  <c r="AF6" i="48"/>
  <c r="AF24" i="48"/>
  <c r="AF12" i="48"/>
  <c r="AF8" i="48"/>
  <c r="AJ13" i="43"/>
  <c r="AJ52" i="43"/>
  <c r="AJ39" i="43"/>
  <c r="AJ14" i="43"/>
  <c r="AJ48" i="43"/>
  <c r="AJ37" i="43"/>
  <c r="AJ19" i="43"/>
  <c r="AJ31" i="43"/>
  <c r="AJ15" i="43"/>
  <c r="AJ36" i="43"/>
  <c r="AJ17" i="43"/>
  <c r="AJ10" i="43"/>
  <c r="AJ62" i="43"/>
  <c r="AJ45" i="43"/>
  <c r="AJ58" i="43"/>
  <c r="AJ46" i="43"/>
  <c r="AJ47" i="43"/>
  <c r="AJ34" i="43"/>
  <c r="AJ65" i="43"/>
  <c r="AJ42" i="43"/>
  <c r="AJ43" i="43"/>
  <c r="AJ3" i="43"/>
  <c r="AJ5" i="43"/>
  <c r="AJ30" i="43"/>
  <c r="AJ60" i="43"/>
  <c r="AJ33" i="43"/>
  <c r="AJ28" i="43"/>
  <c r="AJ35" i="43"/>
  <c r="AJ24" i="43"/>
  <c r="AJ16" i="43"/>
  <c r="AJ21" i="43"/>
  <c r="AJ54" i="43"/>
  <c r="AJ9" i="43"/>
  <c r="AJ7" i="43"/>
  <c r="AJ44" i="43"/>
  <c r="AJ27" i="43"/>
  <c r="AJ64" i="43"/>
  <c r="AJ49" i="43"/>
  <c r="AJ32" i="43"/>
  <c r="AJ4" i="43"/>
  <c r="AJ51" i="43"/>
  <c r="AJ25" i="43"/>
  <c r="AJ63" i="43"/>
  <c r="AJ50" i="43"/>
  <c r="AJ53" i="43"/>
  <c r="AJ11" i="43"/>
  <c r="AJ61" i="43"/>
  <c r="AJ57" i="43"/>
  <c r="AJ23" i="43"/>
  <c r="AJ55" i="43"/>
  <c r="AJ8" i="43"/>
  <c r="AJ59" i="43"/>
  <c r="AJ56" i="43"/>
  <c r="AJ6" i="43"/>
  <c r="AJ12" i="43"/>
  <c r="AJ22" i="43"/>
  <c r="AJ40" i="43"/>
  <c r="AJ29" i="43"/>
  <c r="AJ20" i="43"/>
  <c r="AJ38" i="43"/>
  <c r="AJ26" i="43"/>
  <c r="AJ41" i="43"/>
  <c r="AJ18" i="43"/>
  <c r="S9" i="48" a="1"/>
  <c r="S10" i="48" s="1"/>
  <c r="N2" i="33"/>
  <c r="N8" i="33"/>
  <c r="S9" i="48" l="1"/>
  <c r="AE17" i="48" s="1"/>
  <c r="AE4" i="48" l="1"/>
  <c r="AE21" i="48"/>
  <c r="AE18" i="48"/>
  <c r="AE24" i="48"/>
  <c r="AE9" i="48"/>
  <c r="AE12" i="48"/>
  <c r="K17" i="48"/>
  <c r="K19" i="48"/>
  <c r="AE14" i="48"/>
  <c r="AE10" i="48"/>
  <c r="AE15" i="48"/>
  <c r="AE22" i="48"/>
  <c r="AE11" i="48"/>
  <c r="AE13" i="48"/>
  <c r="AE16" i="48"/>
  <c r="AE5" i="48"/>
  <c r="AE19" i="48"/>
  <c r="AE25" i="48"/>
  <c r="AE3" i="48"/>
  <c r="AE8" i="48"/>
  <c r="AE23" i="48"/>
  <c r="K18" i="48"/>
  <c r="K16" i="48"/>
  <c r="K15" i="48"/>
  <c r="AE7" i="48"/>
  <c r="AE26" i="48"/>
  <c r="AE20" i="48"/>
  <c r="AE6" i="48"/>
  <c r="N25" i="33"/>
  <c r="Q13" i="45" a="1"/>
  <c r="Q21" i="45"/>
  <c r="Q16" i="45"/>
  <c r="Q18" i="45"/>
  <c r="Q17" i="45"/>
  <c r="Q15" i="45"/>
  <c r="Q20" i="45"/>
  <c r="Q13" i="45"/>
  <c r="Q14" i="45"/>
  <c r="Q19" i="45"/>
</calcChain>
</file>

<file path=xl/comments1.xml><?xml version="1.0" encoding="utf-8"?>
<comments xmlns="http://schemas.openxmlformats.org/spreadsheetml/2006/main">
  <authors>
    <author>Ferdinando Ametrano</author>
  </authors>
  <commentList>
    <comment ref="I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<sst xmlns="http://schemas.openxmlformats.org/spreadsheetml/2006/main" count="628" uniqueCount="176">
  <si>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</si>
  <si>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</si>
  <si>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</si>
  <si>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</si>
  <si>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</si>
  <si>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</si>
  <si>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</si>
  <si>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</si>
  <si>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</si>
  <si>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</si>
  <si>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</si>
  <si>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</si>
  <si>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</si>
  <si>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</si>
  <si>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</si>
  <si>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</si>
  <si>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</si>
  <si>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</si>
  <si>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</si>
  <si>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</si>
  <si>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</si>
  <si>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</si>
  <si>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</si>
  <si>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</si>
  <si>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</si>
  <si>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</si>
  <si>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</si>
  <si>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</si>
  <si>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</si>
  <si>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</si>
  <si>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</si>
  <si>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</si>
  <si>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</si>
  <si>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</si>
  <si>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</si>
  <si>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</si>
  <si>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</si>
  <si>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</si>
  <si>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</si>
  <si>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</si>
  <si>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</si>
  <si>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</si>
  <si>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</si>
  <si>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</si>
  <si>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</si>
  <si>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</si>
  <si>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</si>
  <si>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</si>
  <si>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</si>
  <si>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</si>
  <si>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</si>
  <si>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</si>
  <si>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</si>
  <si>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</si>
  <si>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</si>
  <si>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</si>
  <si>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</si>
  <si>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</si>
  <si>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</si>
  <si>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</si>
  <si>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</si>
  <si>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</si>
  <si>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</si>
  <si>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</si>
  <si>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</si>
  <si>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</si>
  <si>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</si>
  <si>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</si>
  <si>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</si>
  <si>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</si>
  <si>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</si>
  <si>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</si>
  <si>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</si>
  <si>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</si>
  <si>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</si>
  <si>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</si>
  <si>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</si>
  <si>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</si>
  <si>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</si>
  <si>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</si>
  <si>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</si>
  <si>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</si>
  <si>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</si>
  <si>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</si>
  <si>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</si>
  <si>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</si>
  <si>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</si>
  <si>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</si>
  <si>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</si>
  <si>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</si>
  <si>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</si>
  <si>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</si>
  <si>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</si>
  <si>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</si>
  <si>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</si>
  <si>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</si>
  <si>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</si>
  <si>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</si>
  <si>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</si>
  <si>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</si>
  <si>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</si>
  <si>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</si>
  <si>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</si>
  <si>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</si>
  <si>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</si>
  <si>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</si>
  <si>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</si>
  <si>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</si>
  <si>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</si>
  <si>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</si>
  <si>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</si>
  <si>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Modified Following</t>
  </si>
  <si>
    <t>Rate Helpers included</t>
  </si>
  <si>
    <t>0D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</si>
  <si>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</si>
  <si>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</si>
  <si>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</si>
  <si>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</si>
  <si>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</si>
  <si>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</si>
  <si>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</si>
  <si>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</si>
  <si>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</si>
  <si>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</si>
  <si>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</si>
  <si>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</si>
  <si>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</si>
  <si>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</si>
  <si>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</si>
  <si>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</si>
  <si>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</si>
  <si>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</si>
  <si>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</si>
  <si>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</si>
  <si>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</si>
  <si>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</si>
  <si>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</si>
  <si>
    <t>AM</t>
  </si>
  <si>
    <t>1E</t>
  </si>
  <si>
    <t>Code</t>
  </si>
  <si>
    <t>Priority</t>
  </si>
  <si>
    <t>Min Distance</t>
  </si>
  <si>
    <t>Pillar Date</t>
  </si>
  <si>
    <t>ECB</t>
  </si>
  <si>
    <t>OIS</t>
  </si>
  <si>
    <t xml:space="preserve">Dp </t>
  </si>
  <si>
    <t>ON</t>
  </si>
  <si>
    <t>TN</t>
  </si>
  <si>
    <t>SN</t>
  </si>
  <si>
    <t>EON</t>
  </si>
  <si>
    <t>15M</t>
  </si>
  <si>
    <t>18M</t>
  </si>
  <si>
    <t>21M</t>
  </si>
  <si>
    <t>2Y</t>
  </si>
  <si>
    <t>#</t>
  </si>
  <si>
    <t>Dates</t>
  </si>
  <si>
    <t>quote</t>
  </si>
  <si>
    <t>value</t>
  </si>
  <si>
    <t>Size</t>
  </si>
  <si>
    <t>overwrite</t>
  </si>
  <si>
    <t>used</t>
  </si>
  <si>
    <t>Jump</t>
  </si>
  <si>
    <t>_SYNTHON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</si>
  <si>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</si>
  <si>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</si>
  <si>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</si>
  <si>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</si>
  <si>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</si>
  <si>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</si>
  <si>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RHSelection</t>
  </si>
  <si>
    <t>Yield Curve Index</t>
  </si>
  <si>
    <t>Overnight Curve</t>
  </si>
  <si>
    <t>Day Counter</t>
  </si>
  <si>
    <t>ObjectID</t>
  </si>
  <si>
    <t>_EURON2</t>
  </si>
  <si>
    <t>OvernightCurve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</si>
</sst>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  <numFmt numFmtId="180" formatCode="0.00000%"/>
    <numFmt numFmtId="181" formatCode="[$-409]d\-mmm;@"/>
    <numFmt numFmtId="182" formatCode="ddd\,\ dd\-mmm\-yyyy\,\ hh:mm:ss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mediumGray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theme="8" tint="0.799920651875362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14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6" fillId="8" borderId="2" xfId="0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/>
    </xf>
    <xf numFmtId="0" fontId="11" fillId="3" borderId="9" xfId="0" applyNumberFormat="1" applyFont="1" applyFill="1" applyBorder="1" applyAlignment="1">
      <alignment horizontal="left"/>
    </xf>
    <xf numFmtId="0" fontId="11" fillId="0" borderId="9" xfId="0" applyFont="1" applyBorder="1"/>
    <xf numFmtId="0" fontId="11" fillId="3" borderId="4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170" fontId="11" fillId="3" borderId="9" xfId="0" applyNumberFormat="1" applyFont="1" applyFill="1" applyBorder="1" applyAlignment="1">
      <alignment horizontal="right"/>
    </xf>
    <xf numFmtId="0" fontId="11" fillId="3" borderId="4" xfId="0" applyNumberFormat="1" applyFont="1" applyFill="1" applyBorder="1" applyAlignment="1">
      <alignment horizontal="center"/>
    </xf>
    <xf numFmtId="0" fontId="11" fillId="3" borderId="4" xfId="0" applyNumberFormat="1" applyFont="1" applyFill="1" applyBorder="1" applyAlignment="1">
      <alignment horizontal="left"/>
    </xf>
    <xf numFmtId="0" fontId="11" fillId="0" borderId="4" xfId="0" applyFont="1" applyBorder="1"/>
    <xf numFmtId="170" fontId="11" fillId="3" borderId="4" xfId="0" applyNumberFormat="1" applyFont="1" applyFill="1" applyBorder="1" applyAlignment="1">
      <alignment horizontal="right"/>
    </xf>
    <xf numFmtId="180" fontId="11" fillId="7" borderId="0" xfId="0" applyNumberFormat="1" applyFont="1" applyFill="1"/>
    <xf numFmtId="0" fontId="11" fillId="3" borderId="11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left"/>
    </xf>
    <xf numFmtId="0" fontId="11" fillId="3" borderId="11" xfId="0" applyFont="1" applyFill="1" applyBorder="1" applyAlignment="1">
      <alignment horizontal="left"/>
    </xf>
    <xf numFmtId="0" fontId="11" fillId="0" borderId="11" xfId="0" applyFont="1" applyBorder="1"/>
    <xf numFmtId="0" fontId="11" fillId="3" borderId="11" xfId="0" applyFont="1" applyFill="1" applyBorder="1" applyAlignment="1">
      <alignment horizontal="center"/>
    </xf>
    <xf numFmtId="170" fontId="11" fillId="3" borderId="11" xfId="0" applyNumberFormat="1" applyFont="1" applyFill="1" applyBorder="1" applyAlignment="1">
      <alignment horizontal="right"/>
    </xf>
    <xf numFmtId="0" fontId="11" fillId="7" borderId="0" xfId="0" applyFont="1" applyFill="1" applyAlignment="1">
      <alignment horizontal="left"/>
    </xf>
    <xf numFmtId="0" fontId="11" fillId="7" borderId="15" xfId="0" applyFont="1" applyFill="1" applyBorder="1"/>
    <xf numFmtId="0" fontId="11" fillId="3" borderId="11" xfId="0" applyNumberFormat="1" applyFont="1" applyFill="1" applyBorder="1" applyAlignment="1">
      <alignment horizontal="left"/>
    </xf>
    <xf numFmtId="181" fontId="11" fillId="3" borderId="4" xfId="0" applyNumberFormat="1" applyFont="1" applyFill="1" applyBorder="1" applyAlignment="1">
      <alignment horizontal="center"/>
    </xf>
    <xf numFmtId="181" fontId="11" fillId="3" borderId="9" xfId="0" applyNumberFormat="1" applyFont="1" applyFill="1" applyBorder="1" applyAlignment="1">
      <alignment horizontal="center"/>
    </xf>
    <xf numFmtId="181" fontId="11" fillId="3" borderId="11" xfId="0" applyNumberFormat="1" applyFont="1" applyFill="1" applyBorder="1" applyAlignment="1">
      <alignment horizontal="center"/>
    </xf>
    <xf numFmtId="0" fontId="11" fillId="12" borderId="9" xfId="0" applyNumberFormat="1" applyFont="1" applyFill="1" applyBorder="1" applyAlignment="1">
      <alignment horizontal="center"/>
    </xf>
    <xf numFmtId="0" fontId="11" fillId="12" borderId="4" xfId="0" applyNumberFormat="1" applyFont="1" applyFill="1" applyBorder="1" applyAlignment="1">
      <alignment horizontal="center"/>
    </xf>
    <xf numFmtId="0" fontId="11" fillId="12" borderId="11" xfId="0" applyNumberFormat="1" applyFont="1" applyFill="1" applyBorder="1" applyAlignment="1">
      <alignment horizontal="center"/>
    </xf>
    <xf numFmtId="0" fontId="11" fillId="0" borderId="4" xfId="0" applyNumberFormat="1" applyFont="1" applyFill="1" applyBorder="1" applyAlignment="1">
      <alignment horizontal="center"/>
    </xf>
    <xf numFmtId="0" fontId="11" fillId="0" borderId="11" xfId="0" applyNumberFormat="1" applyFont="1" applyFill="1" applyBorder="1" applyAlignment="1">
      <alignment horizontal="center"/>
    </xf>
    <xf numFmtId="0" fontId="11" fillId="3" borderId="5" xfId="16" applyFont="1" applyFill="1" applyBorder="1"/>
    <xf numFmtId="0" fontId="16" fillId="7" borderId="2" xfId="0" applyFont="1" applyFill="1" applyBorder="1" applyAlignment="1">
      <alignment horizontal="right"/>
    </xf>
    <xf numFmtId="3" fontId="11" fillId="13" borderId="3" xfId="0" applyNumberFormat="1" applyFont="1" applyFill="1" applyBorder="1" applyAlignment="1">
      <alignment horizontal="center"/>
    </xf>
    <xf numFmtId="168" fontId="11" fillId="3" borderId="0" xfId="15" applyNumberFormat="1" applyFont="1" applyFill="1" applyBorder="1" applyAlignment="1">
      <alignment horizontal="center"/>
    </xf>
    <xf numFmtId="0" fontId="11" fillId="4" borderId="21" xfId="16" applyFont="1" applyFill="1" applyBorder="1"/>
    <xf numFmtId="0" fontId="22" fillId="4" borderId="9" xfId="0" applyFont="1" applyFill="1" applyBorder="1"/>
    <xf numFmtId="170" fontId="22" fillId="4" borderId="9" xfId="0" applyNumberFormat="1" applyFont="1" applyFill="1" applyBorder="1"/>
    <xf numFmtId="172" fontId="22" fillId="4" borderId="9" xfId="0" applyNumberFormat="1" applyFont="1" applyFill="1" applyBorder="1"/>
    <xf numFmtId="180" fontId="22" fillId="4" borderId="9" xfId="0" applyNumberFormat="1" applyFont="1" applyFill="1" applyBorder="1"/>
    <xf numFmtId="10" fontId="22" fillId="4" borderId="9" xfId="0" applyNumberFormat="1" applyFont="1" applyFill="1" applyBorder="1"/>
    <xf numFmtId="10" fontId="22" fillId="6" borderId="9" xfId="0" applyNumberFormat="1" applyFont="1" applyFill="1" applyBorder="1"/>
    <xf numFmtId="0" fontId="22" fillId="4" borderId="4" xfId="0" applyFont="1" applyFill="1" applyBorder="1"/>
    <xf numFmtId="170" fontId="22" fillId="4" borderId="4" xfId="0" applyNumberFormat="1" applyFont="1" applyFill="1" applyBorder="1"/>
    <xf numFmtId="172" fontId="22" fillId="4" borderId="4" xfId="0" applyNumberFormat="1" applyFont="1" applyFill="1" applyBorder="1"/>
    <xf numFmtId="180" fontId="22" fillId="4" borderId="4" xfId="0" applyNumberFormat="1" applyFont="1" applyFill="1" applyBorder="1"/>
    <xf numFmtId="10" fontId="22" fillId="4" borderId="4" xfId="0" applyNumberFormat="1" applyFont="1" applyFill="1" applyBorder="1"/>
    <xf numFmtId="10" fontId="22" fillId="6" borderId="4" xfId="0" applyNumberFormat="1" applyFont="1" applyFill="1" applyBorder="1"/>
    <xf numFmtId="0" fontId="22" fillId="4" borderId="11" xfId="0" applyFont="1" applyFill="1" applyBorder="1"/>
    <xf numFmtId="170" fontId="22" fillId="4" borderId="11" xfId="0" applyNumberFormat="1" applyFont="1" applyFill="1" applyBorder="1"/>
    <xf numFmtId="172" fontId="22" fillId="4" borderId="11" xfId="0" applyNumberFormat="1" applyFont="1" applyFill="1" applyBorder="1"/>
    <xf numFmtId="180" fontId="22" fillId="4" borderId="11" xfId="0" applyNumberFormat="1" applyFont="1" applyFill="1" applyBorder="1"/>
    <xf numFmtId="10" fontId="22" fillId="4" borderId="11" xfId="0" applyNumberFormat="1" applyFont="1" applyFill="1" applyBorder="1"/>
    <xf numFmtId="10" fontId="22" fillId="6" borderId="11" xfId="0" applyNumberFormat="1" applyFont="1" applyFill="1" applyBorder="1"/>
    <xf numFmtId="0" fontId="16" fillId="8" borderId="12" xfId="14" applyFont="1" applyFill="1" applyBorder="1" applyAlignment="1">
      <alignment horizontal="centerContinuous" vertical="center" wrapText="1"/>
    </xf>
    <xf numFmtId="0" fontId="16" fillId="8" borderId="3" xfId="14" applyFont="1" applyFill="1" applyBorder="1" applyAlignment="1">
      <alignment horizontal="centerContinuous" vertical="center" wrapText="1"/>
    </xf>
    <xf numFmtId="0" fontId="16" fillId="11" borderId="2" xfId="14" applyFont="1" applyFill="1" applyBorder="1" applyAlignment="1">
      <alignment horizontal="right"/>
    </xf>
    <xf numFmtId="3" fontId="11" fillId="13" borderId="11" xfId="14" applyNumberFormat="1" applyFont="1" applyFill="1" applyBorder="1" applyAlignment="1">
      <alignment horizontal="center"/>
    </xf>
    <xf numFmtId="3" fontId="11" fillId="13" borderId="2" xfId="14" applyNumberFormat="1" applyFont="1" applyFill="1" applyBorder="1" applyAlignment="1">
      <alignment horizontal="center"/>
    </xf>
    <xf numFmtId="0" fontId="11" fillId="13" borderId="2" xfId="14" applyFont="1" applyFill="1" applyBorder="1" applyAlignment="1">
      <alignment horizontal="center"/>
    </xf>
    <xf numFmtId="170" fontId="11" fillId="14" borderId="6" xfId="0" applyNumberFormat="1" applyFont="1" applyFill="1" applyBorder="1" applyAlignment="1">
      <alignment horizontal="left"/>
    </xf>
    <xf numFmtId="170" fontId="11" fillId="14" borderId="10" xfId="0" applyNumberFormat="1" applyFont="1" applyFill="1" applyBorder="1" applyAlignment="1">
      <alignment horizontal="left"/>
    </xf>
    <xf numFmtId="170" fontId="11" fillId="14" borderId="5" xfId="0" applyNumberFormat="1" applyFont="1" applyFill="1" applyBorder="1" applyAlignment="1">
      <alignment horizontal="left"/>
    </xf>
    <xf numFmtId="170" fontId="11" fillId="14" borderId="7" xfId="0" applyNumberFormat="1" applyFont="1" applyFill="1" applyBorder="1" applyAlignment="1">
      <alignment horizontal="left"/>
    </xf>
    <xf numFmtId="170" fontId="11" fillId="14" borderId="8" xfId="0" applyNumberFormat="1" applyFont="1" applyFill="1" applyBorder="1" applyAlignment="1">
      <alignment horizontal="left"/>
    </xf>
    <xf numFmtId="3" fontId="11" fillId="13" borderId="10" xfId="0" applyNumberFormat="1" applyFont="1" applyFill="1" applyBorder="1" applyAlignment="1">
      <alignment horizontal="center"/>
    </xf>
    <xf numFmtId="0" fontId="11" fillId="0" borderId="6" xfId="16" applyFont="1" applyFill="1" applyBorder="1"/>
    <xf numFmtId="182" fontId="11" fillId="0" borderId="0" xfId="16" applyNumberFormat="1" applyFont="1" applyFill="1" applyBorder="1" applyAlignment="1">
      <alignment horizontal="center"/>
    </xf>
    <xf numFmtId="0" fontId="16" fillId="7" borderId="4" xfId="0" applyFont="1" applyFill="1" applyBorder="1" applyAlignment="1">
      <alignment horizontal="right"/>
    </xf>
    <xf numFmtId="3" fontId="11" fillId="13" borderId="5" xfId="0" applyNumberFormat="1" applyFont="1" applyFill="1" applyBorder="1" applyAlignment="1">
      <alignment horizontal="center"/>
    </xf>
    <xf numFmtId="0" fontId="11" fillId="3" borderId="5" xfId="16" applyFont="1" applyFill="1" applyBorder="1" applyAlignment="1">
      <alignment horizontal="center"/>
    </xf>
    <xf numFmtId="11" fontId="11" fillId="13" borderId="5" xfId="0" applyNumberFormat="1" applyFont="1" applyFill="1" applyBorder="1" applyAlignment="1">
      <alignment horizontal="center"/>
    </xf>
    <xf numFmtId="0" fontId="11" fillId="13" borderId="5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1" fillId="0" borderId="6" xfId="15" applyFont="1" applyFill="1" applyBorder="1"/>
    <xf numFmtId="0" fontId="11" fillId="0" borderId="14" xfId="16" applyFont="1" applyFill="1" applyBorder="1"/>
    <xf numFmtId="0" fontId="13" fillId="0" borderId="15" xfId="16" applyFont="1" applyFill="1" applyBorder="1" applyAlignment="1">
      <alignment horizontal="center" vertical="center"/>
    </xf>
    <xf numFmtId="172" fontId="11" fillId="3" borderId="10" xfId="15" applyNumberFormat="1" applyFont="1" applyFill="1" applyBorder="1"/>
    <xf numFmtId="0" fontId="11" fillId="0" borderId="5" xfId="15" applyFont="1" applyFill="1" applyBorder="1"/>
    <xf numFmtId="0" fontId="11" fillId="0" borderId="7" xfId="15" applyFont="1" applyFill="1" applyBorder="1"/>
    <xf numFmtId="0" fontId="11" fillId="0" borderId="8" xfId="15" applyFont="1" applyFill="1" applyBorder="1"/>
    <xf numFmtId="0" fontId="13" fillId="8" borderId="12" xfId="16" applyFont="1" applyFill="1" applyBorder="1" applyAlignment="1">
      <alignment horizontal="center" vertical="center"/>
    </xf>
    <xf numFmtId="0" fontId="13" fillId="8" borderId="13" xfId="16" applyFont="1" applyFill="1" applyBorder="1" applyAlignment="1">
      <alignment horizontal="center" vertical="center"/>
    </xf>
    <xf numFmtId="0" fontId="13" fillId="8" borderId="3" xfId="16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14678597159096"/>
          <c:y val="5.8731724178744081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-2.0006168120245346E-4</c:v>
                </c:pt>
                <c:pt idx="1">
                  <c:v>-2.0006168120245346E-4</c:v>
                </c:pt>
                <c:pt idx="2">
                  <c:v>-2.0006168120245346E-4</c:v>
                </c:pt>
                <c:pt idx="3">
                  <c:v>-2.0006168120245346E-4</c:v>
                </c:pt>
                <c:pt idx="4">
                  <c:v>-2.0006168120245346E-4</c:v>
                </c:pt>
                <c:pt idx="5">
                  <c:v>-2.0006168120245346E-4</c:v>
                </c:pt>
                <c:pt idx="6">
                  <c:v>-2.0006168120245346E-4</c:v>
                </c:pt>
                <c:pt idx="7">
                  <c:v>-2.0006168120245346E-4</c:v>
                </c:pt>
                <c:pt idx="8">
                  <c:v>-2.0006168120245346E-4</c:v>
                </c:pt>
                <c:pt idx="9">
                  <c:v>-2.0006168120245346E-4</c:v>
                </c:pt>
                <c:pt idx="10">
                  <c:v>-2.0006168120245346E-4</c:v>
                </c:pt>
                <c:pt idx="11">
                  <c:v>-2.0006168120245346E-4</c:v>
                </c:pt>
                <c:pt idx="12">
                  <c:v>-2.0006168120245346E-4</c:v>
                </c:pt>
                <c:pt idx="13">
                  <c:v>-2.0006168120245346E-4</c:v>
                </c:pt>
                <c:pt idx="14">
                  <c:v>-2.0006168120245346E-4</c:v>
                </c:pt>
                <c:pt idx="15">
                  <c:v>-2.0006168120245346E-4</c:v>
                </c:pt>
                <c:pt idx="16">
                  <c:v>-2.0006168120245346E-4</c:v>
                </c:pt>
                <c:pt idx="17">
                  <c:v>-2.0006168120245346E-4</c:v>
                </c:pt>
                <c:pt idx="18">
                  <c:v>-2.0006168120245346E-4</c:v>
                </c:pt>
                <c:pt idx="19">
                  <c:v>-2.0006168120245346E-4</c:v>
                </c:pt>
                <c:pt idx="20">
                  <c:v>-2.0006168120245346E-4</c:v>
                </c:pt>
                <c:pt idx="21">
                  <c:v>-2.0006168120245346E-4</c:v>
                </c:pt>
                <c:pt idx="22">
                  <c:v>-2.0006168120245346E-4</c:v>
                </c:pt>
                <c:pt idx="23">
                  <c:v>-2.0006168120245346E-4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-2.1110789375821716E-4</c:v>
                </c:pt>
                <c:pt idx="1">
                  <c:v>-2.1039523488365175E-4</c:v>
                </c:pt>
                <c:pt idx="2">
                  <c:v>-2.0968257600908636E-4</c:v>
                </c:pt>
                <c:pt idx="3">
                  <c:v>-2.0896991713452095E-4</c:v>
                </c:pt>
                <c:pt idx="4">
                  <c:v>-2.0825725825995554E-4</c:v>
                </c:pt>
                <c:pt idx="5">
                  <c:v>-2.0611928163625934E-4</c:v>
                </c:pt>
                <c:pt idx="6">
                  <c:v>-2.0540662276169396E-4</c:v>
                </c:pt>
                <c:pt idx="7">
                  <c:v>-2.0469396388712855E-4</c:v>
                </c:pt>
                <c:pt idx="8">
                  <c:v>-2.0398130501256316E-4</c:v>
                </c:pt>
                <c:pt idx="9">
                  <c:v>-2.0326864613799775E-4</c:v>
                </c:pt>
                <c:pt idx="10">
                  <c:v>-2.0113066951430155E-4</c:v>
                </c:pt>
                <c:pt idx="11">
                  <c:v>-2.0041801063973614E-4</c:v>
                </c:pt>
                <c:pt idx="12">
                  <c:v>-1.9970535176517076E-4</c:v>
                </c:pt>
                <c:pt idx="13">
                  <c:v>-1.9899269289060535E-4</c:v>
                </c:pt>
                <c:pt idx="14">
                  <c:v>-1.9828003401603994E-4</c:v>
                </c:pt>
                <c:pt idx="15">
                  <c:v>-1.9614205739234373E-4</c:v>
                </c:pt>
                <c:pt idx="16">
                  <c:v>-1.9542939851777835E-4</c:v>
                </c:pt>
                <c:pt idx="17">
                  <c:v>-1.9471673964321294E-4</c:v>
                </c:pt>
                <c:pt idx="18">
                  <c:v>-1.9400408076864753E-4</c:v>
                </c:pt>
                <c:pt idx="19">
                  <c:v>-1.9329142189408215E-4</c:v>
                </c:pt>
                <c:pt idx="20">
                  <c:v>-1.9115344527038594E-4</c:v>
                </c:pt>
                <c:pt idx="21">
                  <c:v>-1.9044078639582053E-4</c:v>
                </c:pt>
                <c:pt idx="22">
                  <c:v>-1.8972812752125515E-4</c:v>
                </c:pt>
                <c:pt idx="23">
                  <c:v>-1.8901546864668974E-4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-2.3315788315614075E-4</c:v>
                </c:pt>
                <c:pt idx="1">
                  <c:v>-2.3031135433984083E-4</c:v>
                </c:pt>
                <c:pt idx="2">
                  <c:v>-2.2753716009783697E-4</c:v>
                </c:pt>
                <c:pt idx="3">
                  <c:v>-2.248353004301292E-4</c:v>
                </c:pt>
                <c:pt idx="4">
                  <c:v>-2.2220577533671752E-4</c:v>
                </c:pt>
                <c:pt idx="5">
                  <c:v>-2.14751207502259E-4</c:v>
                </c:pt>
                <c:pt idx="6">
                  <c:v>-2.1241102070603164E-4</c:v>
                </c:pt>
                <c:pt idx="7">
                  <c:v>-2.1014316848410041E-4</c:v>
                </c:pt>
                <c:pt idx="8">
                  <c:v>-2.0794765083646525E-4</c:v>
                </c:pt>
                <c:pt idx="9">
                  <c:v>-2.0582446776312615E-4</c:v>
                </c:pt>
                <c:pt idx="10">
                  <c:v>-1.9988892598888543E-4</c:v>
                </c:pt>
                <c:pt idx="11">
                  <c:v>-1.980550812127307E-4</c:v>
                </c:pt>
                <c:pt idx="12">
                  <c:v>-1.9629357101087208E-4</c:v>
                </c:pt>
                <c:pt idx="13">
                  <c:v>-1.9460439538330948E-4</c:v>
                </c:pt>
                <c:pt idx="14">
                  <c:v>-1.9298755433004301E-4</c:v>
                </c:pt>
                <c:pt idx="15">
                  <c:v>-1.8857103861602011E-4</c:v>
                </c:pt>
                <c:pt idx="16">
                  <c:v>-1.8724353585993799E-4</c:v>
                </c:pt>
                <c:pt idx="17">
                  <c:v>-1.8598836767815192E-4</c:v>
                </c:pt>
                <c:pt idx="18">
                  <c:v>-1.8480553407066195E-4</c:v>
                </c:pt>
                <c:pt idx="19">
                  <c:v>-1.8369503503746809E-4</c:v>
                </c:pt>
                <c:pt idx="20">
                  <c:v>-1.8079754538366299E-4</c:v>
                </c:pt>
                <c:pt idx="21">
                  <c:v>-1.7997638464765345E-4</c:v>
                </c:pt>
                <c:pt idx="22">
                  <c:v>-1.7922755848594001E-4</c:v>
                </c:pt>
                <c:pt idx="23">
                  <c:v>-1.7855106689852266E-4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046144"/>
        <c:axId val="505047680"/>
      </c:lineChart>
      <c:dateAx>
        <c:axId val="5050461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5047680"/>
        <c:crosses val="autoZero"/>
        <c:auto val="1"/>
        <c:lblOffset val="100"/>
        <c:baseTimeUnit val="days"/>
        <c:majorUnit val="3"/>
        <c:majorTimeUnit val="days"/>
        <c:minorUnit val="1"/>
        <c:minorTimeUnit val="days"/>
      </c:dateAx>
      <c:valAx>
        <c:axId val="505047680"/>
        <c:scaling>
          <c:orientation val="minMax"/>
          <c:max val="-2.0000000000000006E-4"/>
          <c:min val="-4.0000000000000013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5046144"/>
        <c:crosses val="autoZero"/>
        <c:crossBetween val="between"/>
        <c:majorUnit val="3.0000000000000008E-5"/>
        <c:minorUnit val="1.0000000000000003E-5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2.9157567115555304E-4</c:v>
                </c:pt>
                <c:pt idx="1">
                  <c:v>2.9157567115555304E-4</c:v>
                </c:pt>
                <c:pt idx="2">
                  <c:v>2.9157567115555304E-4</c:v>
                </c:pt>
                <c:pt idx="3">
                  <c:v>2.9157567115555304E-4</c:v>
                </c:pt>
                <c:pt idx="4">
                  <c:v>2.9157567115555304E-4</c:v>
                </c:pt>
                <c:pt idx="5">
                  <c:v>2.9157567115555304E-4</c:v>
                </c:pt>
                <c:pt idx="6">
                  <c:v>2.9157567115555304E-4</c:v>
                </c:pt>
                <c:pt idx="7">
                  <c:v>2.9157567115555304E-4</c:v>
                </c:pt>
                <c:pt idx="8">
                  <c:v>2.9157567115555304E-4</c:v>
                </c:pt>
                <c:pt idx="9">
                  <c:v>2.9157567115555304E-4</c:v>
                </c:pt>
                <c:pt idx="10">
                  <c:v>2.9157567115555304E-4</c:v>
                </c:pt>
                <c:pt idx="11">
                  <c:v>2.9157567115555304E-4</c:v>
                </c:pt>
                <c:pt idx="12">
                  <c:v>2.9157567115555304E-4</c:v>
                </c:pt>
                <c:pt idx="13">
                  <c:v>2.9157567115555304E-4</c:v>
                </c:pt>
                <c:pt idx="14">
                  <c:v>2.9157567115555304E-4</c:v>
                </c:pt>
                <c:pt idx="15">
                  <c:v>2.9157567115555304E-4</c:v>
                </c:pt>
                <c:pt idx="16">
                  <c:v>2.9157567115555304E-4</c:v>
                </c:pt>
                <c:pt idx="17">
                  <c:v>2.9157567115555304E-4</c:v>
                </c:pt>
                <c:pt idx="18">
                  <c:v>2.9157567115555304E-4</c:v>
                </c:pt>
                <c:pt idx="19">
                  <c:v>2.9157567115555304E-4</c:v>
                </c:pt>
                <c:pt idx="20">
                  <c:v>2.9157567115555304E-4</c:v>
                </c:pt>
                <c:pt idx="21">
                  <c:v>2.9157567115555304E-4</c:v>
                </c:pt>
                <c:pt idx="22">
                  <c:v>2.9157567115555304E-4</c:v>
                </c:pt>
                <c:pt idx="23">
                  <c:v>2.9157567115555304E-4</c:v>
                </c:pt>
                <c:pt idx="24">
                  <c:v>2.9157567115555304E-4</c:v>
                </c:pt>
                <c:pt idx="25">
                  <c:v>2.9157567115555304E-4</c:v>
                </c:pt>
                <c:pt idx="26">
                  <c:v>2.9157567115555304E-4</c:v>
                </c:pt>
                <c:pt idx="27">
                  <c:v>2.9157567115555304E-4</c:v>
                </c:pt>
                <c:pt idx="28">
                  <c:v>2.9157567115555304E-4</c:v>
                </c:pt>
                <c:pt idx="29">
                  <c:v>2.9157567115555304E-4</c:v>
                </c:pt>
                <c:pt idx="30">
                  <c:v>2.9157567115555304E-4</c:v>
                </c:pt>
                <c:pt idx="31">
                  <c:v>2.9157567115555304E-4</c:v>
                </c:pt>
                <c:pt idx="32">
                  <c:v>2.9157567115555304E-4</c:v>
                </c:pt>
                <c:pt idx="33">
                  <c:v>2.9157567115555304E-4</c:v>
                </c:pt>
                <c:pt idx="34">
                  <c:v>2.9157567115555304E-4</c:v>
                </c:pt>
                <c:pt idx="35">
                  <c:v>2.9157567115555304E-4</c:v>
                </c:pt>
                <c:pt idx="36">
                  <c:v>2.9157567115555304E-4</c:v>
                </c:pt>
                <c:pt idx="37">
                  <c:v>2.9157567115555304E-4</c:v>
                </c:pt>
                <c:pt idx="38">
                  <c:v>2.9157567115555304E-4</c:v>
                </c:pt>
                <c:pt idx="39">
                  <c:v>2.9157567115555304E-4</c:v>
                </c:pt>
                <c:pt idx="40">
                  <c:v>2.9157567115555304E-4</c:v>
                </c:pt>
                <c:pt idx="41">
                  <c:v>2.9157567115555304E-4</c:v>
                </c:pt>
                <c:pt idx="42">
                  <c:v>2.9157567115555304E-4</c:v>
                </c:pt>
                <c:pt idx="43">
                  <c:v>2.9157567115555304E-4</c:v>
                </c:pt>
                <c:pt idx="44">
                  <c:v>2.9157567115555304E-4</c:v>
                </c:pt>
                <c:pt idx="45">
                  <c:v>2.9157567115555304E-4</c:v>
                </c:pt>
                <c:pt idx="46">
                  <c:v>2.9157567115555304E-4</c:v>
                </c:pt>
                <c:pt idx="47">
                  <c:v>2.9157567115555304E-4</c:v>
                </c:pt>
                <c:pt idx="48">
                  <c:v>2.9157567115555304E-4</c:v>
                </c:pt>
                <c:pt idx="49">
                  <c:v>2.9157567115555304E-4</c:v>
                </c:pt>
                <c:pt idx="50">
                  <c:v>2.9157567115555304E-4</c:v>
                </c:pt>
                <c:pt idx="51">
                  <c:v>2.9157567115555304E-4</c:v>
                </c:pt>
                <c:pt idx="52">
                  <c:v>2.9157567115555304E-4</c:v>
                </c:pt>
                <c:pt idx="53">
                  <c:v>2.9157567115555304E-4</c:v>
                </c:pt>
                <c:pt idx="54">
                  <c:v>2.9157567115555304E-4</c:v>
                </c:pt>
                <c:pt idx="55">
                  <c:v>2.9157567115555304E-4</c:v>
                </c:pt>
                <c:pt idx="56">
                  <c:v>2.9157567115555304E-4</c:v>
                </c:pt>
                <c:pt idx="57">
                  <c:v>2.9157567115555304E-4</c:v>
                </c:pt>
                <c:pt idx="58">
                  <c:v>2.9157567115555304E-4</c:v>
                </c:pt>
                <c:pt idx="59">
                  <c:v>2.9157567115555304E-4</c:v>
                </c:pt>
                <c:pt idx="60">
                  <c:v>2.9157567115555304E-4</c:v>
                </c:pt>
                <c:pt idx="61">
                  <c:v>2.9157567115555304E-4</c:v>
                </c:pt>
                <c:pt idx="62">
                  <c:v>2.9157567115555304E-4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2.3955270353435705E-4</c:v>
                </c:pt>
                <c:pt idx="1">
                  <c:v>2.4069606546009762E-4</c:v>
                </c:pt>
                <c:pt idx="2">
                  <c:v>2.4183942738583819E-4</c:v>
                </c:pt>
                <c:pt idx="3">
                  <c:v>2.4298278931157876E-4</c:v>
                </c:pt>
                <c:pt idx="4">
                  <c:v>2.4412615123731933E-4</c:v>
                </c:pt>
                <c:pt idx="5">
                  <c:v>2.4755623701454104E-4</c:v>
                </c:pt>
                <c:pt idx="6">
                  <c:v>2.4869959894028161E-4</c:v>
                </c:pt>
                <c:pt idx="7">
                  <c:v>2.4984296086602218E-4</c:v>
                </c:pt>
                <c:pt idx="8">
                  <c:v>2.5098632279176275E-4</c:v>
                </c:pt>
                <c:pt idx="9">
                  <c:v>2.5212968471750332E-4</c:v>
                </c:pt>
                <c:pt idx="10">
                  <c:v>2.5555977049472508E-4</c:v>
                </c:pt>
                <c:pt idx="11">
                  <c:v>2.5670313242046565E-4</c:v>
                </c:pt>
                <c:pt idx="12">
                  <c:v>2.5784649434620622E-4</c:v>
                </c:pt>
                <c:pt idx="13">
                  <c:v>2.5898985627194679E-4</c:v>
                </c:pt>
                <c:pt idx="14">
                  <c:v>2.6013321819768736E-4</c:v>
                </c:pt>
                <c:pt idx="15">
                  <c:v>2.6356330397490907E-4</c:v>
                </c:pt>
                <c:pt idx="16">
                  <c:v>2.6470666590064964E-4</c:v>
                </c:pt>
                <c:pt idx="17">
                  <c:v>2.6585002782639021E-4</c:v>
                </c:pt>
                <c:pt idx="18">
                  <c:v>2.6699338975213078E-4</c:v>
                </c:pt>
                <c:pt idx="19">
                  <c:v>2.6813675167787135E-4</c:v>
                </c:pt>
                <c:pt idx="20">
                  <c:v>2.7156683745509306E-4</c:v>
                </c:pt>
                <c:pt idx="21">
                  <c:v>2.7271019938083363E-4</c:v>
                </c:pt>
                <c:pt idx="22">
                  <c:v>2.738535613065742E-4</c:v>
                </c:pt>
                <c:pt idx="23">
                  <c:v>2.7499692323231477E-4</c:v>
                </c:pt>
                <c:pt idx="24">
                  <c:v>2.7614028515805539E-4</c:v>
                </c:pt>
                <c:pt idx="25">
                  <c:v>2.795703709352771E-4</c:v>
                </c:pt>
                <c:pt idx="26">
                  <c:v>2.8071373286101767E-4</c:v>
                </c:pt>
                <c:pt idx="27">
                  <c:v>2.8185709478675824E-4</c:v>
                </c:pt>
                <c:pt idx="28">
                  <c:v>2.8300045671249881E-4</c:v>
                </c:pt>
                <c:pt idx="29">
                  <c:v>2.8414381863823938E-4</c:v>
                </c:pt>
                <c:pt idx="30">
                  <c:v>2.8757390441546109E-4</c:v>
                </c:pt>
                <c:pt idx="31">
                  <c:v>2.8871726634120166E-4</c:v>
                </c:pt>
                <c:pt idx="32">
                  <c:v>2.8986062826694223E-4</c:v>
                </c:pt>
                <c:pt idx="33">
                  <c:v>2.910039901926828E-4</c:v>
                </c:pt>
                <c:pt idx="34">
                  <c:v>2.9214735211842337E-4</c:v>
                </c:pt>
                <c:pt idx="35">
                  <c:v>2.9557743789564508E-4</c:v>
                </c:pt>
                <c:pt idx="36">
                  <c:v>2.9672079982138565E-4</c:v>
                </c:pt>
                <c:pt idx="37">
                  <c:v>2.9786416174712622E-4</c:v>
                </c:pt>
                <c:pt idx="38">
                  <c:v>2.9900752367286679E-4</c:v>
                </c:pt>
                <c:pt idx="39">
                  <c:v>3.0015088559860736E-4</c:v>
                </c:pt>
                <c:pt idx="40">
                  <c:v>3.0358097137582907E-4</c:v>
                </c:pt>
                <c:pt idx="41">
                  <c:v>3.0472433330156964E-4</c:v>
                </c:pt>
                <c:pt idx="42">
                  <c:v>3.0586769522731027E-4</c:v>
                </c:pt>
                <c:pt idx="43">
                  <c:v>3.0701105715305084E-4</c:v>
                </c:pt>
                <c:pt idx="44">
                  <c:v>3.0815441907879135E-4</c:v>
                </c:pt>
                <c:pt idx="45">
                  <c:v>3.1158450485601312E-4</c:v>
                </c:pt>
                <c:pt idx="46">
                  <c:v>3.1272786678175369E-4</c:v>
                </c:pt>
                <c:pt idx="47">
                  <c:v>3.1387122870749426E-4</c:v>
                </c:pt>
                <c:pt idx="48">
                  <c:v>3.1501459063323483E-4</c:v>
                </c:pt>
                <c:pt idx="49">
                  <c:v>3.161579525589754E-4</c:v>
                </c:pt>
                <c:pt idx="50">
                  <c:v>3.1958803833619711E-4</c:v>
                </c:pt>
                <c:pt idx="51">
                  <c:v>3.2073140026193768E-4</c:v>
                </c:pt>
                <c:pt idx="52">
                  <c:v>3.2187476218767825E-4</c:v>
                </c:pt>
                <c:pt idx="53">
                  <c:v>3.2301812411341882E-4</c:v>
                </c:pt>
                <c:pt idx="54">
                  <c:v>3.2416148603915939E-4</c:v>
                </c:pt>
                <c:pt idx="55">
                  <c:v>3.275915718163811E-4</c:v>
                </c:pt>
                <c:pt idx="56">
                  <c:v>3.2873493374212172E-4</c:v>
                </c:pt>
                <c:pt idx="57">
                  <c:v>3.2987829566786229E-4</c:v>
                </c:pt>
                <c:pt idx="58">
                  <c:v>3.3102165759360286E-4</c:v>
                </c:pt>
                <c:pt idx="59">
                  <c:v>3.3216501951934343E-4</c:v>
                </c:pt>
                <c:pt idx="60">
                  <c:v>3.3559510529656514E-4</c:v>
                </c:pt>
                <c:pt idx="61">
                  <c:v>3.3673846722230571E-4</c:v>
                </c:pt>
                <c:pt idx="62">
                  <c:v>3.3788182914804628E-4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2.2587773099989406E-4</c:v>
                </c:pt>
                <c:pt idx="1">
                  <c:v>2.2772138902842092E-4</c:v>
                </c:pt>
                <c:pt idx="2">
                  <c:v>2.2955164770758888E-4</c:v>
                </c:pt>
                <c:pt idx="3">
                  <c:v>2.3136850703739791E-4</c:v>
                </c:pt>
                <c:pt idx="4">
                  <c:v>2.3317196701784797E-4</c:v>
                </c:pt>
                <c:pt idx="5">
                  <c:v>2.3850195086304451E-4</c:v>
                </c:pt>
                <c:pt idx="6">
                  <c:v>2.4025181344605883E-4</c:v>
                </c:pt>
                <c:pt idx="7">
                  <c:v>2.4198827667971419E-4</c:v>
                </c:pt>
                <c:pt idx="8">
                  <c:v>2.4371134056401061E-4</c:v>
                </c:pt>
                <c:pt idx="9">
                  <c:v>2.4542100509894813E-4</c:v>
                </c:pt>
                <c:pt idx="10">
                  <c:v>2.5046960260760695E-4</c:v>
                </c:pt>
                <c:pt idx="11">
                  <c:v>2.5212566974510862E-4</c:v>
                </c:pt>
                <c:pt idx="12">
                  <c:v>2.5376833753325143E-4</c:v>
                </c:pt>
                <c:pt idx="13">
                  <c:v>2.5539760597203533E-4</c:v>
                </c:pt>
                <c:pt idx="14">
                  <c:v>2.5701347506146017E-4</c:v>
                </c:pt>
                <c:pt idx="15">
                  <c:v>2.6178068623358128E-4</c:v>
                </c:pt>
                <c:pt idx="16">
                  <c:v>2.6334295792557048E-4</c:v>
                </c:pt>
                <c:pt idx="17">
                  <c:v>2.6489183026820066E-4</c:v>
                </c:pt>
                <c:pt idx="18">
                  <c:v>2.6642730326147194E-4</c:v>
                </c:pt>
                <c:pt idx="19">
                  <c:v>2.6794937690538431E-4</c:v>
                </c:pt>
                <c:pt idx="20">
                  <c:v>2.7243520174096759E-4</c:v>
                </c:pt>
                <c:pt idx="21">
                  <c:v>2.7390367798744422E-4</c:v>
                </c:pt>
                <c:pt idx="22">
                  <c:v>2.7535875488456183E-4</c:v>
                </c:pt>
                <c:pt idx="23">
                  <c:v>2.7680043243232054E-4</c:v>
                </c:pt>
                <c:pt idx="24">
                  <c:v>2.7822871063072028E-4</c:v>
                </c:pt>
                <c:pt idx="25">
                  <c:v>2.8243314912976589E-4</c:v>
                </c:pt>
                <c:pt idx="26">
                  <c:v>2.838078299307299E-4</c:v>
                </c:pt>
                <c:pt idx="27">
                  <c:v>2.8516911138233493E-4</c:v>
                </c:pt>
                <c:pt idx="28">
                  <c:v>2.8651699348458112E-4</c:v>
                </c:pt>
                <c:pt idx="29">
                  <c:v>2.8785147623746824E-4</c:v>
                </c:pt>
                <c:pt idx="30">
                  <c:v>2.9177452839997613E-4</c:v>
                </c:pt>
                <c:pt idx="31">
                  <c:v>2.9305541375542756E-4</c:v>
                </c:pt>
                <c:pt idx="32">
                  <c:v>2.9432289976152003E-4</c:v>
                </c:pt>
                <c:pt idx="33">
                  <c:v>2.9557698641825359E-4</c:v>
                </c:pt>
                <c:pt idx="34">
                  <c:v>2.9681767372562813E-4</c:v>
                </c:pt>
                <c:pt idx="35">
                  <c:v>3.0045933955159831E-4</c:v>
                </c:pt>
                <c:pt idx="36">
                  <c:v>3.0164642946153717E-4</c:v>
                </c:pt>
                <c:pt idx="37">
                  <c:v>3.0282012002211711E-4</c:v>
                </c:pt>
                <c:pt idx="38">
                  <c:v>3.0398041123333805E-4</c:v>
                </c:pt>
                <c:pt idx="39">
                  <c:v>3.0512730309520007E-4</c:v>
                </c:pt>
                <c:pt idx="40">
                  <c:v>3.0848758258463253E-4</c:v>
                </c:pt>
                <c:pt idx="41">
                  <c:v>3.0958087704905881E-4</c:v>
                </c:pt>
                <c:pt idx="42">
                  <c:v>3.1066077216412608E-4</c:v>
                </c:pt>
                <c:pt idx="43">
                  <c:v>3.1172726792983449E-4</c:v>
                </c:pt>
                <c:pt idx="44">
                  <c:v>3.1278036434618389E-4</c:v>
                </c:pt>
                <c:pt idx="45">
                  <c:v>3.1585925749907863E-4</c:v>
                </c:pt>
                <c:pt idx="46">
                  <c:v>3.1685875651799234E-4</c:v>
                </c:pt>
                <c:pt idx="47">
                  <c:v>3.1784485618754704E-4</c:v>
                </c:pt>
                <c:pt idx="48">
                  <c:v>3.1881755650774288E-4</c:v>
                </c:pt>
                <c:pt idx="49">
                  <c:v>3.1977685747857975E-4</c:v>
                </c:pt>
                <c:pt idx="50">
                  <c:v>3.2257436429493672E-4</c:v>
                </c:pt>
                <c:pt idx="51">
                  <c:v>3.2348006786833781E-4</c:v>
                </c:pt>
                <c:pt idx="52">
                  <c:v>3.2437237209237998E-4</c:v>
                </c:pt>
                <c:pt idx="53">
                  <c:v>3.2525127696706325E-4</c:v>
                </c:pt>
                <c:pt idx="54">
                  <c:v>3.261167824923875E-4</c:v>
                </c:pt>
                <c:pt idx="55">
                  <c:v>3.2863290297220675E-4</c:v>
                </c:pt>
                <c:pt idx="56">
                  <c:v>3.2944481110009521E-4</c:v>
                </c:pt>
                <c:pt idx="57">
                  <c:v>3.3024331987862481E-4</c:v>
                </c:pt>
                <c:pt idx="58">
                  <c:v>3.3102842930779551E-4</c:v>
                </c:pt>
                <c:pt idx="59">
                  <c:v>3.3180013938760718E-4</c:v>
                </c:pt>
                <c:pt idx="60">
                  <c:v>3.3403487353088872E-4</c:v>
                </c:pt>
                <c:pt idx="61">
                  <c:v>3.3475298621326465E-4</c:v>
                </c:pt>
                <c:pt idx="62">
                  <c:v>3.3545769954628168E-4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132160"/>
        <c:axId val="505133696"/>
      </c:lineChart>
      <c:dateAx>
        <c:axId val="5051321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5133696"/>
        <c:crosses val="autoZero"/>
        <c:auto val="1"/>
        <c:lblOffset val="100"/>
        <c:baseTimeUnit val="days"/>
      </c:dateAx>
      <c:valAx>
        <c:axId val="505133696"/>
        <c:scaling>
          <c:orientation val="minMax"/>
          <c:max val="4.5000000000000015E-4"/>
          <c:min val="2.0000000000000006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5132160"/>
        <c:crosses val="autoZero"/>
        <c:crossBetween val="between"/>
        <c:majorUnit val="3.0000000000000008E-5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1.2468752126858094E-3</c:v>
                </c:pt>
                <c:pt idx="1">
                  <c:v>1.2468752126858094E-3</c:v>
                </c:pt>
                <c:pt idx="2">
                  <c:v>1.2468752126858094E-3</c:v>
                </c:pt>
                <c:pt idx="3">
                  <c:v>1.2468752126858094E-3</c:v>
                </c:pt>
                <c:pt idx="4">
                  <c:v>1.2468752126858094E-3</c:v>
                </c:pt>
                <c:pt idx="5">
                  <c:v>1.2468752126858094E-3</c:v>
                </c:pt>
                <c:pt idx="6">
                  <c:v>1.2468752126858094E-3</c:v>
                </c:pt>
                <c:pt idx="7">
                  <c:v>1.2468752126858094E-3</c:v>
                </c:pt>
                <c:pt idx="8">
                  <c:v>1.2468752126858094E-3</c:v>
                </c:pt>
                <c:pt idx="9">
                  <c:v>1.2468752126858094E-3</c:v>
                </c:pt>
                <c:pt idx="10">
                  <c:v>1.2468752126858094E-3</c:v>
                </c:pt>
                <c:pt idx="11">
                  <c:v>1.2468752126858094E-3</c:v>
                </c:pt>
                <c:pt idx="12">
                  <c:v>1.2468752126858094E-3</c:v>
                </c:pt>
                <c:pt idx="13">
                  <c:v>1.2468752126858094E-3</c:v>
                </c:pt>
                <c:pt idx="14">
                  <c:v>1.2468752126858094E-3</c:v>
                </c:pt>
                <c:pt idx="15">
                  <c:v>1.2468752126858094E-3</c:v>
                </c:pt>
                <c:pt idx="16">
                  <c:v>1.2468752126858094E-3</c:v>
                </c:pt>
                <c:pt idx="17">
                  <c:v>1.2468752126858094E-3</c:v>
                </c:pt>
                <c:pt idx="18">
                  <c:v>1.2468752126858094E-3</c:v>
                </c:pt>
                <c:pt idx="19">
                  <c:v>1.2468752126858094E-3</c:v>
                </c:pt>
                <c:pt idx="20">
                  <c:v>1.2468752126858094E-3</c:v>
                </c:pt>
                <c:pt idx="21">
                  <c:v>1.2468752126858094E-3</c:v>
                </c:pt>
                <c:pt idx="22">
                  <c:v>1.2468752126858094E-3</c:v>
                </c:pt>
                <c:pt idx="23">
                  <c:v>1.2468752126858094E-3</c:v>
                </c:pt>
                <c:pt idx="24">
                  <c:v>1.2468752126858094E-3</c:v>
                </c:pt>
                <c:pt idx="25">
                  <c:v>1.2468752126858094E-3</c:v>
                </c:pt>
                <c:pt idx="26">
                  <c:v>1.2468752126858094E-3</c:v>
                </c:pt>
                <c:pt idx="27">
                  <c:v>1.2468752126858094E-3</c:v>
                </c:pt>
                <c:pt idx="28">
                  <c:v>1.2468752126858094E-3</c:v>
                </c:pt>
                <c:pt idx="29">
                  <c:v>1.2468752126858094E-3</c:v>
                </c:pt>
                <c:pt idx="30">
                  <c:v>1.2468752126858094E-3</c:v>
                </c:pt>
                <c:pt idx="31">
                  <c:v>1.2468752126858094E-3</c:v>
                </c:pt>
                <c:pt idx="32">
                  <c:v>1.2468752126858094E-3</c:v>
                </c:pt>
                <c:pt idx="33">
                  <c:v>1.2468752126858094E-3</c:v>
                </c:pt>
                <c:pt idx="34">
                  <c:v>1.2468752126858094E-3</c:v>
                </c:pt>
                <c:pt idx="35">
                  <c:v>1.2468752126858094E-3</c:v>
                </c:pt>
                <c:pt idx="36">
                  <c:v>1.2468752126858094E-3</c:v>
                </c:pt>
                <c:pt idx="37">
                  <c:v>1.2468752126858094E-3</c:v>
                </c:pt>
                <c:pt idx="38">
                  <c:v>1.2468752126858094E-3</c:v>
                </c:pt>
                <c:pt idx="39">
                  <c:v>1.2468752126858094E-3</c:v>
                </c:pt>
                <c:pt idx="40">
                  <c:v>1.2468752126858094E-3</c:v>
                </c:pt>
                <c:pt idx="41">
                  <c:v>1.2468752126858094E-3</c:v>
                </c:pt>
                <c:pt idx="42">
                  <c:v>1.2468752126858094E-3</c:v>
                </c:pt>
                <c:pt idx="43">
                  <c:v>1.2468752126858094E-3</c:v>
                </c:pt>
                <c:pt idx="44">
                  <c:v>1.2468752126858094E-3</c:v>
                </c:pt>
                <c:pt idx="45">
                  <c:v>1.2468752126858094E-3</c:v>
                </c:pt>
                <c:pt idx="46">
                  <c:v>1.2468752126858094E-3</c:v>
                </c:pt>
                <c:pt idx="47">
                  <c:v>1.2468752126858094E-3</c:v>
                </c:pt>
                <c:pt idx="48">
                  <c:v>1.2468752126858094E-3</c:v>
                </c:pt>
                <c:pt idx="49">
                  <c:v>1.2468752126858094E-3</c:v>
                </c:pt>
                <c:pt idx="50">
                  <c:v>1.2468752126858094E-3</c:v>
                </c:pt>
                <c:pt idx="51">
                  <c:v>1.2468752126858094E-3</c:v>
                </c:pt>
                <c:pt idx="52">
                  <c:v>1.2468752126858094E-3</c:v>
                </c:pt>
                <c:pt idx="53">
                  <c:v>1.2468752126858094E-3</c:v>
                </c:pt>
                <c:pt idx="54">
                  <c:v>1.2468752126858094E-3</c:v>
                </c:pt>
                <c:pt idx="55">
                  <c:v>1.2468752126858094E-3</c:v>
                </c:pt>
                <c:pt idx="56">
                  <c:v>1.2468752126858094E-3</c:v>
                </c:pt>
                <c:pt idx="57">
                  <c:v>1.2468752126858094E-3</c:v>
                </c:pt>
                <c:pt idx="58">
                  <c:v>1.2468752126858094E-3</c:v>
                </c:pt>
                <c:pt idx="59">
                  <c:v>1.2468752126858094E-3</c:v>
                </c:pt>
                <c:pt idx="60">
                  <c:v>1.2468752126858094E-3</c:v>
                </c:pt>
                <c:pt idx="61">
                  <c:v>1.2468752126858094E-3</c:v>
                </c:pt>
                <c:pt idx="62">
                  <c:v>1.2468752126858094E-3</c:v>
                </c:pt>
                <c:pt idx="63">
                  <c:v>1.2468752126858094E-3</c:v>
                </c:pt>
                <c:pt idx="64">
                  <c:v>1.2468752126858094E-3</c:v>
                </c:pt>
                <c:pt idx="65">
                  <c:v>1.2468752126858094E-3</c:v>
                </c:pt>
                <c:pt idx="66">
                  <c:v>1.2468752126858094E-3</c:v>
                </c:pt>
                <c:pt idx="67">
                  <c:v>1.2468752126858094E-3</c:v>
                </c:pt>
                <c:pt idx="68">
                  <c:v>1.2468752126858094E-3</c:v>
                </c:pt>
                <c:pt idx="69">
                  <c:v>1.2468752126858094E-3</c:v>
                </c:pt>
                <c:pt idx="70">
                  <c:v>1.2468752126858094E-3</c:v>
                </c:pt>
                <c:pt idx="71">
                  <c:v>1.2468752126858094E-3</c:v>
                </c:pt>
                <c:pt idx="72">
                  <c:v>1.2468752126858094E-3</c:v>
                </c:pt>
                <c:pt idx="73">
                  <c:v>1.2468752126858094E-3</c:v>
                </c:pt>
                <c:pt idx="74">
                  <c:v>1.2468752126858094E-3</c:v>
                </c:pt>
                <c:pt idx="75">
                  <c:v>1.2468752126858094E-3</c:v>
                </c:pt>
                <c:pt idx="76">
                  <c:v>1.2468752126858094E-3</c:v>
                </c:pt>
                <c:pt idx="77">
                  <c:v>1.2468752126858094E-3</c:v>
                </c:pt>
                <c:pt idx="78">
                  <c:v>1.2468752126858094E-3</c:v>
                </c:pt>
                <c:pt idx="79">
                  <c:v>1.2468752126858094E-3</c:v>
                </c:pt>
                <c:pt idx="80">
                  <c:v>1.2468752126858094E-3</c:v>
                </c:pt>
                <c:pt idx="81">
                  <c:v>1.2468752126858094E-3</c:v>
                </c:pt>
                <c:pt idx="82">
                  <c:v>1.2468752126858094E-3</c:v>
                </c:pt>
                <c:pt idx="83">
                  <c:v>1.2468752126858094E-3</c:v>
                </c:pt>
                <c:pt idx="84">
                  <c:v>1.2468752126858094E-3</c:v>
                </c:pt>
                <c:pt idx="85">
                  <c:v>1.2468752126858094E-3</c:v>
                </c:pt>
                <c:pt idx="86">
                  <c:v>1.2468752126858094E-3</c:v>
                </c:pt>
                <c:pt idx="87">
                  <c:v>1.2468752126858094E-3</c:v>
                </c:pt>
                <c:pt idx="88">
                  <c:v>1.2468752126858094E-3</c:v>
                </c:pt>
                <c:pt idx="89">
                  <c:v>1.2468752126858094E-3</c:v>
                </c:pt>
                <c:pt idx="90">
                  <c:v>1.2468752126858094E-3</c:v>
                </c:pt>
                <c:pt idx="91">
                  <c:v>1.2468752126858094E-3</c:v>
                </c:pt>
                <c:pt idx="92">
                  <c:v>1.2468752126858094E-3</c:v>
                </c:pt>
                <c:pt idx="93">
                  <c:v>1.2468752126858094E-3</c:v>
                </c:pt>
                <c:pt idx="94">
                  <c:v>1.2468752126858094E-3</c:v>
                </c:pt>
                <c:pt idx="95">
                  <c:v>1.2468752126858094E-3</c:v>
                </c:pt>
                <c:pt idx="96">
                  <c:v>1.2468752126858094E-3</c:v>
                </c:pt>
                <c:pt idx="97">
                  <c:v>1.2468752126858094E-3</c:v>
                </c:pt>
                <c:pt idx="98">
                  <c:v>1.2468752126858094E-3</c:v>
                </c:pt>
                <c:pt idx="99">
                  <c:v>1.2468752126858094E-3</c:v>
                </c:pt>
                <c:pt idx="100">
                  <c:v>1.2468752126858094E-3</c:v>
                </c:pt>
                <c:pt idx="101">
                  <c:v>1.2468752126858094E-3</c:v>
                </c:pt>
                <c:pt idx="102">
                  <c:v>1.2468752126858094E-3</c:v>
                </c:pt>
                <c:pt idx="103">
                  <c:v>1.2468752126858094E-3</c:v>
                </c:pt>
                <c:pt idx="104">
                  <c:v>1.2468752126858094E-3</c:v>
                </c:pt>
                <c:pt idx="105">
                  <c:v>1.2468752126858094E-3</c:v>
                </c:pt>
                <c:pt idx="106">
                  <c:v>1.2468752126858094E-3</c:v>
                </c:pt>
                <c:pt idx="107">
                  <c:v>1.2468752126858094E-3</c:v>
                </c:pt>
                <c:pt idx="108">
                  <c:v>1.2468752126858094E-3</c:v>
                </c:pt>
                <c:pt idx="109">
                  <c:v>1.2468752126858094E-3</c:v>
                </c:pt>
                <c:pt idx="110">
                  <c:v>1.2468752126858094E-3</c:v>
                </c:pt>
                <c:pt idx="111">
                  <c:v>1.2468752126858094E-3</c:v>
                </c:pt>
                <c:pt idx="112">
                  <c:v>1.2468752126858094E-3</c:v>
                </c:pt>
                <c:pt idx="113">
                  <c:v>1.2468752126858094E-3</c:v>
                </c:pt>
                <c:pt idx="114">
                  <c:v>1.2468752126858094E-3</c:v>
                </c:pt>
                <c:pt idx="115">
                  <c:v>1.2468752126858094E-3</c:v>
                </c:pt>
                <c:pt idx="116">
                  <c:v>1.2468752126858094E-3</c:v>
                </c:pt>
                <c:pt idx="117">
                  <c:v>1.2468752126858094E-3</c:v>
                </c:pt>
                <c:pt idx="118">
                  <c:v>1.2468752126858094E-3</c:v>
                </c:pt>
                <c:pt idx="119">
                  <c:v>1.2468752126858094E-3</c:v>
                </c:pt>
                <c:pt idx="120">
                  <c:v>1.2468752126858094E-3</c:v>
                </c:pt>
                <c:pt idx="121">
                  <c:v>1.2468752126858094E-3</c:v>
                </c:pt>
                <c:pt idx="122">
                  <c:v>1.2468752126858094E-3</c:v>
                </c:pt>
                <c:pt idx="123">
                  <c:v>1.2468752126858094E-3</c:v>
                </c:pt>
                <c:pt idx="124">
                  <c:v>1.2468752126858094E-3</c:v>
                </c:pt>
                <c:pt idx="125">
                  <c:v>1.2468752126858094E-3</c:v>
                </c:pt>
                <c:pt idx="126">
                  <c:v>1.2468752126858094E-3</c:v>
                </c:pt>
                <c:pt idx="127">
                  <c:v>1.2468752126858094E-3</c:v>
                </c:pt>
                <c:pt idx="128">
                  <c:v>1.2468752126858094E-3</c:v>
                </c:pt>
                <c:pt idx="129">
                  <c:v>1.2468752126858094E-3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1.0721320394020172E-3</c:v>
                </c:pt>
                <c:pt idx="1">
                  <c:v>1.0740522940534873E-3</c:v>
                </c:pt>
                <c:pt idx="2">
                  <c:v>1.0759725487049577E-3</c:v>
                </c:pt>
                <c:pt idx="3">
                  <c:v>1.0778928033564278E-3</c:v>
                </c:pt>
                <c:pt idx="4">
                  <c:v>1.0798130580078982E-3</c:v>
                </c:pt>
                <c:pt idx="5">
                  <c:v>1.0855738219623088E-3</c:v>
                </c:pt>
                <c:pt idx="6">
                  <c:v>1.0874940766137792E-3</c:v>
                </c:pt>
                <c:pt idx="7">
                  <c:v>1.0894143312652493E-3</c:v>
                </c:pt>
                <c:pt idx="8">
                  <c:v>1.0913345859167197E-3</c:v>
                </c:pt>
                <c:pt idx="9">
                  <c:v>1.0932548405681898E-3</c:v>
                </c:pt>
                <c:pt idx="10">
                  <c:v>1.0990156045226007E-3</c:v>
                </c:pt>
                <c:pt idx="11">
                  <c:v>1.1009358591740708E-3</c:v>
                </c:pt>
                <c:pt idx="12">
                  <c:v>1.1028561138255412E-3</c:v>
                </c:pt>
                <c:pt idx="13">
                  <c:v>1.1047763684770113E-3</c:v>
                </c:pt>
                <c:pt idx="14">
                  <c:v>1.1066966231284817E-3</c:v>
                </c:pt>
                <c:pt idx="15">
                  <c:v>1.1124573870828923E-3</c:v>
                </c:pt>
                <c:pt idx="16">
                  <c:v>1.1143776417343626E-3</c:v>
                </c:pt>
                <c:pt idx="17">
                  <c:v>1.1162978963858328E-3</c:v>
                </c:pt>
                <c:pt idx="18">
                  <c:v>1.1182181510373031E-3</c:v>
                </c:pt>
                <c:pt idx="19">
                  <c:v>1.1201384056887733E-3</c:v>
                </c:pt>
                <c:pt idx="20">
                  <c:v>1.1258991696431841E-3</c:v>
                </c:pt>
                <c:pt idx="21">
                  <c:v>1.1278194242946543E-3</c:v>
                </c:pt>
                <c:pt idx="22">
                  <c:v>1.1297396789461246E-3</c:v>
                </c:pt>
                <c:pt idx="23">
                  <c:v>1.1316599335975948E-3</c:v>
                </c:pt>
                <c:pt idx="24">
                  <c:v>1.1335801882490651E-3</c:v>
                </c:pt>
                <c:pt idx="25">
                  <c:v>1.1393409522034758E-3</c:v>
                </c:pt>
                <c:pt idx="26">
                  <c:v>1.1412612068549461E-3</c:v>
                </c:pt>
                <c:pt idx="27">
                  <c:v>1.1431814615064163E-3</c:v>
                </c:pt>
                <c:pt idx="28">
                  <c:v>1.1451017161578866E-3</c:v>
                </c:pt>
                <c:pt idx="29">
                  <c:v>1.1470219708093568E-3</c:v>
                </c:pt>
                <c:pt idx="30">
                  <c:v>1.1527827347637676E-3</c:v>
                </c:pt>
                <c:pt idx="31">
                  <c:v>1.1547029894152377E-3</c:v>
                </c:pt>
                <c:pt idx="32">
                  <c:v>1.1566232440667081E-3</c:v>
                </c:pt>
                <c:pt idx="33">
                  <c:v>1.1585434987181782E-3</c:v>
                </c:pt>
                <c:pt idx="34">
                  <c:v>1.1604637533696484E-3</c:v>
                </c:pt>
                <c:pt idx="35">
                  <c:v>1.1662245173240592E-3</c:v>
                </c:pt>
                <c:pt idx="36">
                  <c:v>1.1681447719755294E-3</c:v>
                </c:pt>
                <c:pt idx="37">
                  <c:v>1.1700650266269997E-3</c:v>
                </c:pt>
                <c:pt idx="38">
                  <c:v>1.1719852812784699E-3</c:v>
                </c:pt>
                <c:pt idx="39">
                  <c:v>1.1739055359299402E-3</c:v>
                </c:pt>
                <c:pt idx="40">
                  <c:v>1.1796662998843509E-3</c:v>
                </c:pt>
                <c:pt idx="41">
                  <c:v>1.1815865545358212E-3</c:v>
                </c:pt>
                <c:pt idx="42">
                  <c:v>1.1835068091872914E-3</c:v>
                </c:pt>
                <c:pt idx="43">
                  <c:v>1.1854270638387617E-3</c:v>
                </c:pt>
                <c:pt idx="44">
                  <c:v>1.1873473184902319E-3</c:v>
                </c:pt>
                <c:pt idx="45">
                  <c:v>1.1931080824446427E-3</c:v>
                </c:pt>
                <c:pt idx="46">
                  <c:v>1.1950283370961128E-3</c:v>
                </c:pt>
                <c:pt idx="47">
                  <c:v>1.1969485917475832E-3</c:v>
                </c:pt>
                <c:pt idx="48">
                  <c:v>1.1988688463990533E-3</c:v>
                </c:pt>
                <c:pt idx="49">
                  <c:v>1.2007891010505237E-3</c:v>
                </c:pt>
                <c:pt idx="50">
                  <c:v>1.2065498650049343E-3</c:v>
                </c:pt>
                <c:pt idx="51">
                  <c:v>1.2084701196564047E-3</c:v>
                </c:pt>
                <c:pt idx="52">
                  <c:v>1.2103903743078748E-3</c:v>
                </c:pt>
                <c:pt idx="53">
                  <c:v>1.2123106289593452E-3</c:v>
                </c:pt>
                <c:pt idx="54">
                  <c:v>1.2142308836108153E-3</c:v>
                </c:pt>
                <c:pt idx="55">
                  <c:v>1.2199916475652262E-3</c:v>
                </c:pt>
                <c:pt idx="56">
                  <c:v>1.2219119022166963E-3</c:v>
                </c:pt>
                <c:pt idx="57">
                  <c:v>1.2238321568681667E-3</c:v>
                </c:pt>
                <c:pt idx="58">
                  <c:v>1.2257524115196368E-3</c:v>
                </c:pt>
                <c:pt idx="59">
                  <c:v>1.2276726661711072E-3</c:v>
                </c:pt>
                <c:pt idx="60">
                  <c:v>1.2334334301255178E-3</c:v>
                </c:pt>
                <c:pt idx="61">
                  <c:v>1.235353684776988E-3</c:v>
                </c:pt>
                <c:pt idx="62">
                  <c:v>1.2372739394284583E-3</c:v>
                </c:pt>
                <c:pt idx="63">
                  <c:v>1.2391941940799287E-3</c:v>
                </c:pt>
                <c:pt idx="64">
                  <c:v>1.2411144487313988E-3</c:v>
                </c:pt>
                <c:pt idx="65">
                  <c:v>1.2468752126858097E-3</c:v>
                </c:pt>
                <c:pt idx="66">
                  <c:v>1.2487954673372798E-3</c:v>
                </c:pt>
                <c:pt idx="67">
                  <c:v>1.2507157219887499E-3</c:v>
                </c:pt>
                <c:pt idx="68">
                  <c:v>1.2526359766402203E-3</c:v>
                </c:pt>
                <c:pt idx="69">
                  <c:v>1.2545562312916906E-3</c:v>
                </c:pt>
                <c:pt idx="70">
                  <c:v>1.2603169952461013E-3</c:v>
                </c:pt>
                <c:pt idx="71">
                  <c:v>1.2622372498975716E-3</c:v>
                </c:pt>
                <c:pt idx="72">
                  <c:v>1.2641575045490418E-3</c:v>
                </c:pt>
                <c:pt idx="73">
                  <c:v>1.2660777592005119E-3</c:v>
                </c:pt>
                <c:pt idx="74">
                  <c:v>1.2756790324578633E-3</c:v>
                </c:pt>
                <c:pt idx="75">
                  <c:v>1.2775992871093334E-3</c:v>
                </c:pt>
                <c:pt idx="76">
                  <c:v>1.2795195417608038E-3</c:v>
                </c:pt>
                <c:pt idx="77">
                  <c:v>1.2814397964122739E-3</c:v>
                </c:pt>
                <c:pt idx="78">
                  <c:v>1.2872005603666848E-3</c:v>
                </c:pt>
                <c:pt idx="79">
                  <c:v>1.2891208150181549E-3</c:v>
                </c:pt>
                <c:pt idx="80">
                  <c:v>1.2910410696696253E-3</c:v>
                </c:pt>
                <c:pt idx="81">
                  <c:v>1.2929613243210954E-3</c:v>
                </c:pt>
                <c:pt idx="82">
                  <c:v>1.2948815789725658E-3</c:v>
                </c:pt>
                <c:pt idx="83">
                  <c:v>1.3025625975784467E-3</c:v>
                </c:pt>
                <c:pt idx="84">
                  <c:v>1.3044828522299169E-3</c:v>
                </c:pt>
                <c:pt idx="85">
                  <c:v>1.3064031068813872E-3</c:v>
                </c:pt>
                <c:pt idx="86">
                  <c:v>1.3083233615328574E-3</c:v>
                </c:pt>
                <c:pt idx="87">
                  <c:v>1.3140841254872682E-3</c:v>
                </c:pt>
                <c:pt idx="88">
                  <c:v>1.3160043801387384E-3</c:v>
                </c:pt>
                <c:pt idx="89">
                  <c:v>1.3179246347902085E-3</c:v>
                </c:pt>
                <c:pt idx="90">
                  <c:v>1.3198448894416789E-3</c:v>
                </c:pt>
                <c:pt idx="91">
                  <c:v>1.3217651440931492E-3</c:v>
                </c:pt>
                <c:pt idx="92">
                  <c:v>1.3275259080475599E-3</c:v>
                </c:pt>
                <c:pt idx="93">
                  <c:v>1.3294461626990302E-3</c:v>
                </c:pt>
                <c:pt idx="94">
                  <c:v>1.3313664173505004E-3</c:v>
                </c:pt>
                <c:pt idx="95">
                  <c:v>1.3332866720019705E-3</c:v>
                </c:pt>
                <c:pt idx="96">
                  <c:v>1.3352069266534409E-3</c:v>
                </c:pt>
                <c:pt idx="97">
                  <c:v>1.3409676906078515E-3</c:v>
                </c:pt>
                <c:pt idx="98">
                  <c:v>1.3428879452593218E-3</c:v>
                </c:pt>
                <c:pt idx="99">
                  <c:v>1.3448081999107922E-3</c:v>
                </c:pt>
                <c:pt idx="100">
                  <c:v>1.3467284545622623E-3</c:v>
                </c:pt>
                <c:pt idx="101">
                  <c:v>1.3486487092137325E-3</c:v>
                </c:pt>
                <c:pt idx="102">
                  <c:v>1.3544094731681433E-3</c:v>
                </c:pt>
                <c:pt idx="103">
                  <c:v>1.3563297278196135E-3</c:v>
                </c:pt>
                <c:pt idx="104">
                  <c:v>1.3582499824710838E-3</c:v>
                </c:pt>
                <c:pt idx="105">
                  <c:v>1.3601702371225542E-3</c:v>
                </c:pt>
                <c:pt idx="106">
                  <c:v>1.3620904917740243E-3</c:v>
                </c:pt>
                <c:pt idx="107">
                  <c:v>1.367851255728435E-3</c:v>
                </c:pt>
                <c:pt idx="108">
                  <c:v>1.3697715103799053E-3</c:v>
                </c:pt>
                <c:pt idx="109">
                  <c:v>1.3716917650313755E-3</c:v>
                </c:pt>
                <c:pt idx="110">
                  <c:v>1.3736120196828458E-3</c:v>
                </c:pt>
                <c:pt idx="111">
                  <c:v>1.375532274334316E-3</c:v>
                </c:pt>
                <c:pt idx="112">
                  <c:v>1.3812930382887268E-3</c:v>
                </c:pt>
                <c:pt idx="113">
                  <c:v>1.3832132929401969E-3</c:v>
                </c:pt>
                <c:pt idx="114">
                  <c:v>1.3851335475916673E-3</c:v>
                </c:pt>
                <c:pt idx="115">
                  <c:v>1.3870538022431374E-3</c:v>
                </c:pt>
                <c:pt idx="116">
                  <c:v>1.3889740568946078E-3</c:v>
                </c:pt>
                <c:pt idx="117">
                  <c:v>1.3947348208490184E-3</c:v>
                </c:pt>
                <c:pt idx="118">
                  <c:v>1.3966550755004888E-3</c:v>
                </c:pt>
                <c:pt idx="119">
                  <c:v>1.3985753301519589E-3</c:v>
                </c:pt>
                <c:pt idx="120">
                  <c:v>1.4004955848034291E-3</c:v>
                </c:pt>
                <c:pt idx="121">
                  <c:v>1.4024158394548994E-3</c:v>
                </c:pt>
                <c:pt idx="122">
                  <c:v>1.4081766034093101E-3</c:v>
                </c:pt>
                <c:pt idx="123">
                  <c:v>1.4100968580607804E-3</c:v>
                </c:pt>
                <c:pt idx="124">
                  <c:v>1.4120171127122508E-3</c:v>
                </c:pt>
                <c:pt idx="125">
                  <c:v>1.4139373673637209E-3</c:v>
                </c:pt>
                <c:pt idx="126">
                  <c:v>1.4158576220151911E-3</c:v>
                </c:pt>
                <c:pt idx="127">
                  <c:v>1.4216183859696019E-3</c:v>
                </c:pt>
                <c:pt idx="128">
                  <c:v>1.423538640621072E-3</c:v>
                </c:pt>
                <c:pt idx="129">
                  <c:v>1.4254588952725424E-3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1.0478855415885458E-3</c:v>
                </c:pt>
                <c:pt idx="1">
                  <c:v>1.0504277973263103E-3</c:v>
                </c:pt>
                <c:pt idx="2">
                  <c:v>1.0529641435451486E-3</c:v>
                </c:pt>
                <c:pt idx="3">
                  <c:v>1.0554945802450613E-3</c:v>
                </c:pt>
                <c:pt idx="4">
                  <c:v>1.058019107426048E-3</c:v>
                </c:pt>
                <c:pt idx="5">
                  <c:v>1.0655572318554523E-3</c:v>
                </c:pt>
                <c:pt idx="6">
                  <c:v>1.0680581209607353E-3</c:v>
                </c:pt>
                <c:pt idx="7">
                  <c:v>1.0705531005470923E-3</c:v>
                </c:pt>
                <c:pt idx="8">
                  <c:v>1.0730421706145231E-3</c:v>
                </c:pt>
                <c:pt idx="9">
                  <c:v>1.0755253311630283E-3</c:v>
                </c:pt>
                <c:pt idx="10">
                  <c:v>1.0829393556949882E-3</c:v>
                </c:pt>
                <c:pt idx="11">
                  <c:v>1.0853988781677896E-3</c:v>
                </c:pt>
                <c:pt idx="12">
                  <c:v>1.0878524911216651E-3</c:v>
                </c:pt>
                <c:pt idx="13">
                  <c:v>1.0903001945566145E-3</c:v>
                </c:pt>
                <c:pt idx="14">
                  <c:v>1.0927419884726381E-3</c:v>
                </c:pt>
                <c:pt idx="15">
                  <c:v>1.1000319131071535E-3</c:v>
                </c:pt>
                <c:pt idx="16">
                  <c:v>1.1024500689474732E-3</c:v>
                </c:pt>
                <c:pt idx="17">
                  <c:v>1.1048623152688671E-3</c:v>
                </c:pt>
                <c:pt idx="18">
                  <c:v>1.1072686520713351E-3</c:v>
                </c:pt>
                <c:pt idx="19">
                  <c:v>1.1096690793548772E-3</c:v>
                </c:pt>
                <c:pt idx="20">
                  <c:v>1.1168349040919479E-3</c:v>
                </c:pt>
                <c:pt idx="21">
                  <c:v>1.1192116932997862E-3</c:v>
                </c:pt>
                <c:pt idx="22">
                  <c:v>1.1215825729886987E-3</c:v>
                </c:pt>
                <c:pt idx="23">
                  <c:v>1.1239475431586853E-3</c:v>
                </c:pt>
                <c:pt idx="24">
                  <c:v>1.1263066038097456E-3</c:v>
                </c:pt>
                <c:pt idx="25">
                  <c:v>1.1333483286493718E-3</c:v>
                </c:pt>
                <c:pt idx="26">
                  <c:v>1.1356837512247287E-3</c:v>
                </c:pt>
                <c:pt idx="27">
                  <c:v>1.1380132642811595E-3</c:v>
                </c:pt>
                <c:pt idx="28">
                  <c:v>1.1403368678186644E-3</c:v>
                </c:pt>
                <c:pt idx="29">
                  <c:v>1.1426545618372435E-3</c:v>
                </c:pt>
                <c:pt idx="30">
                  <c:v>1.149572186779425E-3</c:v>
                </c:pt>
                <c:pt idx="31">
                  <c:v>1.1518662427223005E-3</c:v>
                </c:pt>
                <c:pt idx="32">
                  <c:v>1.1541543891462498E-3</c:v>
                </c:pt>
                <c:pt idx="33">
                  <c:v>1.1564366260512732E-3</c:v>
                </c:pt>
                <c:pt idx="34">
                  <c:v>1.1587129534373706E-3</c:v>
                </c:pt>
                <c:pt idx="35">
                  <c:v>1.1655064784821076E-3</c:v>
                </c:pt>
                <c:pt idx="36">
                  <c:v>1.1677591677925014E-3</c:v>
                </c:pt>
                <c:pt idx="37">
                  <c:v>1.1700059475839692E-3</c:v>
                </c:pt>
                <c:pt idx="38">
                  <c:v>1.1722468178565113E-3</c:v>
                </c:pt>
                <c:pt idx="39">
                  <c:v>1.1744817786101273E-3</c:v>
                </c:pt>
                <c:pt idx="40">
                  <c:v>1.1811512037574194E-3</c:v>
                </c:pt>
                <c:pt idx="41">
                  <c:v>1.1833625264353318E-3</c:v>
                </c:pt>
                <c:pt idx="42">
                  <c:v>1.1855679395943181E-3</c:v>
                </c:pt>
                <c:pt idx="43">
                  <c:v>1.1877674432343786E-3</c:v>
                </c:pt>
                <c:pt idx="44">
                  <c:v>1.189961037355513E-3</c:v>
                </c:pt>
                <c:pt idx="45">
                  <c:v>1.1965063626053608E-3</c:v>
                </c:pt>
                <c:pt idx="46">
                  <c:v>1.1986763186507916E-3</c:v>
                </c:pt>
                <c:pt idx="47">
                  <c:v>1.2008403651772963E-3</c:v>
                </c:pt>
                <c:pt idx="48">
                  <c:v>1.2029985021848753E-3</c:v>
                </c:pt>
                <c:pt idx="49">
                  <c:v>1.2051507296735283E-3</c:v>
                </c:pt>
                <c:pt idx="50">
                  <c:v>1.2115719550259316E-3</c:v>
                </c:pt>
                <c:pt idx="51">
                  <c:v>1.2137005444388808E-3</c:v>
                </c:pt>
                <c:pt idx="52">
                  <c:v>1.215823224332904E-3</c:v>
                </c:pt>
                <c:pt idx="53">
                  <c:v>1.2179399947080014E-3</c:v>
                </c:pt>
                <c:pt idx="54">
                  <c:v>1.2200508555641728E-3</c:v>
                </c:pt>
                <c:pt idx="55">
                  <c:v>1.2263479810191316E-3</c:v>
                </c:pt>
                <c:pt idx="56">
                  <c:v>1.2284352037995991E-3</c:v>
                </c:pt>
                <c:pt idx="57">
                  <c:v>1.2305165170611412E-3</c:v>
                </c:pt>
                <c:pt idx="58">
                  <c:v>1.2325919208037569E-3</c:v>
                </c:pt>
                <c:pt idx="59">
                  <c:v>1.2346614150274468E-3</c:v>
                </c:pt>
                <c:pt idx="60">
                  <c:v>1.240834440584961E-3</c:v>
                </c:pt>
                <c:pt idx="61">
                  <c:v>1.2428802967329471E-3</c:v>
                </c:pt>
                <c:pt idx="62">
                  <c:v>1.2449202433620072E-3</c:v>
                </c:pt>
                <c:pt idx="63">
                  <c:v>1.2469542804721416E-3</c:v>
                </c:pt>
                <c:pt idx="64">
                  <c:v>1.2489824080633501E-3</c:v>
                </c:pt>
                <c:pt idx="65">
                  <c:v>1.2550313337234195E-3</c:v>
                </c:pt>
                <c:pt idx="66">
                  <c:v>1.2570358232389242E-3</c:v>
                </c:pt>
                <c:pt idx="67">
                  <c:v>1.2590344032355032E-3</c:v>
                </c:pt>
                <c:pt idx="68">
                  <c:v>1.2610270737131559E-3</c:v>
                </c:pt>
                <c:pt idx="69">
                  <c:v>1.2630138346718827E-3</c:v>
                </c:pt>
                <c:pt idx="70">
                  <c:v>1.2689386604345077E-3</c:v>
                </c:pt>
                <c:pt idx="71">
                  <c:v>1.2709017833175309E-3</c:v>
                </c:pt>
                <c:pt idx="72">
                  <c:v>1.272858996681628E-3</c:v>
                </c:pt>
                <c:pt idx="73">
                  <c:v>1.2748103005267993E-3</c:v>
                </c:pt>
                <c:pt idx="74">
                  <c:v>1.2844781769687668E-3</c:v>
                </c:pt>
                <c:pt idx="75">
                  <c:v>1.2863940237003825E-3</c:v>
                </c:pt>
                <c:pt idx="76">
                  <c:v>1.2883039609130722E-3</c:v>
                </c:pt>
                <c:pt idx="77">
                  <c:v>1.290207988606836E-3</c:v>
                </c:pt>
                <c:pt idx="78">
                  <c:v>1.295884614574572E-3</c:v>
                </c:pt>
                <c:pt idx="79">
                  <c:v>1.2977650041926321E-3</c:v>
                </c:pt>
                <c:pt idx="80">
                  <c:v>1.2996394842917662E-3</c:v>
                </c:pt>
                <c:pt idx="81">
                  <c:v>1.3015080548719746E-3</c:v>
                </c:pt>
                <c:pt idx="82">
                  <c:v>1.3033707159332568E-3</c:v>
                </c:pt>
                <c:pt idx="83">
                  <c:v>1.3107622649891266E-3</c:v>
                </c:pt>
                <c:pt idx="84">
                  <c:v>1.3125953784557793E-3</c:v>
                </c:pt>
                <c:pt idx="85">
                  <c:v>1.3144225824035061E-3</c:v>
                </c:pt>
                <c:pt idx="86">
                  <c:v>1.3162438768323068E-3</c:v>
                </c:pt>
                <c:pt idx="87">
                  <c:v>1.3216723030051536E-3</c:v>
                </c:pt>
                <c:pt idx="88">
                  <c:v>1.3234699593582505E-3</c:v>
                </c:pt>
                <c:pt idx="89">
                  <c:v>1.3252617061924217E-3</c:v>
                </c:pt>
                <c:pt idx="90">
                  <c:v>1.3270475435076671E-3</c:v>
                </c:pt>
                <c:pt idx="91">
                  <c:v>1.3288274713039862E-3</c:v>
                </c:pt>
                <c:pt idx="92">
                  <c:v>1.3341317975793885E-3</c:v>
                </c:pt>
                <c:pt idx="93">
                  <c:v>1.335888087300004E-3</c:v>
                </c:pt>
                <c:pt idx="94">
                  <c:v>1.3376384675016935E-3</c:v>
                </c:pt>
                <c:pt idx="95">
                  <c:v>1.3393829381844573E-3</c:v>
                </c:pt>
                <c:pt idx="96">
                  <c:v>1.3411214993482949E-3</c:v>
                </c:pt>
                <c:pt idx="97">
                  <c:v>1.3463017257262526E-3</c:v>
                </c:pt>
                <c:pt idx="98">
                  <c:v>1.3480166488143866E-3</c:v>
                </c:pt>
                <c:pt idx="99">
                  <c:v>1.3497256623835948E-3</c:v>
                </c:pt>
                <c:pt idx="100">
                  <c:v>1.3514287664338769E-3</c:v>
                </c:pt>
                <c:pt idx="101">
                  <c:v>1.3531259609652331E-3</c:v>
                </c:pt>
                <c:pt idx="102">
                  <c:v>1.3581820874457463E-3</c:v>
                </c:pt>
                <c:pt idx="103">
                  <c:v>1.3598556439013987E-3</c:v>
                </c:pt>
                <c:pt idx="104">
                  <c:v>1.3615232908381252E-3</c:v>
                </c:pt>
                <c:pt idx="105">
                  <c:v>1.3631850282559261E-3</c:v>
                </c:pt>
                <c:pt idx="106">
                  <c:v>1.3648408561548007E-3</c:v>
                </c:pt>
                <c:pt idx="107">
                  <c:v>1.3697728827378689E-3</c:v>
                </c:pt>
                <c:pt idx="108">
                  <c:v>1.3714050725610399E-3</c:v>
                </c:pt>
                <c:pt idx="109">
                  <c:v>1.3730313528652852E-3</c:v>
                </c:pt>
                <c:pt idx="110">
                  <c:v>1.3746517236506042E-3</c:v>
                </c:pt>
                <c:pt idx="111">
                  <c:v>1.3762661849169974E-3</c:v>
                </c:pt>
                <c:pt idx="112">
                  <c:v>1.3810741116026214E-3</c:v>
                </c:pt>
                <c:pt idx="113">
                  <c:v>1.3826649347933107E-3</c:v>
                </c:pt>
                <c:pt idx="114">
                  <c:v>1.3842498484650742E-3</c:v>
                </c:pt>
                <c:pt idx="115">
                  <c:v>1.3858288526179118E-3</c:v>
                </c:pt>
                <c:pt idx="116">
                  <c:v>1.3874019472518233E-3</c:v>
                </c:pt>
                <c:pt idx="117">
                  <c:v>1.3920857740400028E-3</c:v>
                </c:pt>
                <c:pt idx="118">
                  <c:v>1.3936352305982109E-3</c:v>
                </c:pt>
                <c:pt idx="119">
                  <c:v>1.395178777637493E-3</c:v>
                </c:pt>
                <c:pt idx="120">
                  <c:v>1.396716415157849E-3</c:v>
                </c:pt>
                <c:pt idx="121">
                  <c:v>1.3982481431592791E-3</c:v>
                </c:pt>
                <c:pt idx="122">
                  <c:v>1.4028078700500139E-3</c:v>
                </c:pt>
                <c:pt idx="123">
                  <c:v>1.4043159599757403E-3</c:v>
                </c:pt>
                <c:pt idx="124">
                  <c:v>1.4058181403825407E-3</c:v>
                </c:pt>
                <c:pt idx="125">
                  <c:v>1.4073144112704155E-3</c:v>
                </c:pt>
                <c:pt idx="126">
                  <c:v>1.408804772639364E-3</c:v>
                </c:pt>
                <c:pt idx="127">
                  <c:v>1.4132403996326541E-3</c:v>
                </c:pt>
                <c:pt idx="128">
                  <c:v>1.4147071229258989E-3</c:v>
                </c:pt>
                <c:pt idx="129">
                  <c:v>1.4161679367002181E-3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60000"/>
        <c:axId val="507361536"/>
      </c:lineChart>
      <c:dateAx>
        <c:axId val="5073600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7361536"/>
        <c:crosses val="autoZero"/>
        <c:auto val="1"/>
        <c:lblOffset val="100"/>
        <c:baseTimeUnit val="days"/>
      </c:dateAx>
      <c:valAx>
        <c:axId val="507361536"/>
        <c:scaling>
          <c:orientation val="minMax"/>
          <c:max val="1.6000000000000005E-3"/>
          <c:min val="4.0000000000000013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7360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  <c:pt idx="130">
                  <c:v>42922</c:v>
                </c:pt>
                <c:pt idx="131">
                  <c:v>42923</c:v>
                </c:pt>
                <c:pt idx="132">
                  <c:v>42926</c:v>
                </c:pt>
                <c:pt idx="133">
                  <c:v>42927</c:v>
                </c:pt>
                <c:pt idx="134">
                  <c:v>42928</c:v>
                </c:pt>
                <c:pt idx="135">
                  <c:v>42929</c:v>
                </c:pt>
                <c:pt idx="136">
                  <c:v>42930</c:v>
                </c:pt>
                <c:pt idx="137">
                  <c:v>42933</c:v>
                </c:pt>
                <c:pt idx="138">
                  <c:v>42934</c:v>
                </c:pt>
                <c:pt idx="139">
                  <c:v>42935</c:v>
                </c:pt>
                <c:pt idx="140">
                  <c:v>42936</c:v>
                </c:pt>
                <c:pt idx="141">
                  <c:v>42937</c:v>
                </c:pt>
                <c:pt idx="142">
                  <c:v>42940</c:v>
                </c:pt>
                <c:pt idx="143">
                  <c:v>42941</c:v>
                </c:pt>
                <c:pt idx="144">
                  <c:v>42942</c:v>
                </c:pt>
                <c:pt idx="145">
                  <c:v>42943</c:v>
                </c:pt>
                <c:pt idx="146">
                  <c:v>42944</c:v>
                </c:pt>
                <c:pt idx="147">
                  <c:v>42947</c:v>
                </c:pt>
                <c:pt idx="148">
                  <c:v>42948</c:v>
                </c:pt>
                <c:pt idx="149">
                  <c:v>42949</c:v>
                </c:pt>
                <c:pt idx="150">
                  <c:v>42950</c:v>
                </c:pt>
                <c:pt idx="151">
                  <c:v>42951</c:v>
                </c:pt>
                <c:pt idx="152">
                  <c:v>42954</c:v>
                </c:pt>
                <c:pt idx="153">
                  <c:v>42955</c:v>
                </c:pt>
                <c:pt idx="154">
                  <c:v>42956</c:v>
                </c:pt>
                <c:pt idx="155">
                  <c:v>42957</c:v>
                </c:pt>
                <c:pt idx="156">
                  <c:v>42958</c:v>
                </c:pt>
                <c:pt idx="157">
                  <c:v>42961</c:v>
                </c:pt>
                <c:pt idx="158">
                  <c:v>42962</c:v>
                </c:pt>
                <c:pt idx="159">
                  <c:v>42963</c:v>
                </c:pt>
                <c:pt idx="160">
                  <c:v>42964</c:v>
                </c:pt>
                <c:pt idx="161">
                  <c:v>42965</c:v>
                </c:pt>
                <c:pt idx="162">
                  <c:v>42968</c:v>
                </c:pt>
                <c:pt idx="163">
                  <c:v>42969</c:v>
                </c:pt>
                <c:pt idx="164">
                  <c:v>42970</c:v>
                </c:pt>
                <c:pt idx="165">
                  <c:v>42971</c:v>
                </c:pt>
                <c:pt idx="166">
                  <c:v>42972</c:v>
                </c:pt>
                <c:pt idx="167">
                  <c:v>42975</c:v>
                </c:pt>
                <c:pt idx="168">
                  <c:v>42976</c:v>
                </c:pt>
                <c:pt idx="169">
                  <c:v>42977</c:v>
                </c:pt>
                <c:pt idx="170">
                  <c:v>42978</c:v>
                </c:pt>
                <c:pt idx="171">
                  <c:v>42979</c:v>
                </c:pt>
                <c:pt idx="172">
                  <c:v>42982</c:v>
                </c:pt>
                <c:pt idx="173">
                  <c:v>42983</c:v>
                </c:pt>
                <c:pt idx="174">
                  <c:v>42984</c:v>
                </c:pt>
                <c:pt idx="175">
                  <c:v>42985</c:v>
                </c:pt>
                <c:pt idx="176">
                  <c:v>42986</c:v>
                </c:pt>
                <c:pt idx="177">
                  <c:v>42989</c:v>
                </c:pt>
                <c:pt idx="178">
                  <c:v>42990</c:v>
                </c:pt>
                <c:pt idx="179">
                  <c:v>42991</c:v>
                </c:pt>
                <c:pt idx="180">
                  <c:v>42992</c:v>
                </c:pt>
                <c:pt idx="181">
                  <c:v>42993</c:v>
                </c:pt>
                <c:pt idx="182">
                  <c:v>42996</c:v>
                </c:pt>
                <c:pt idx="183">
                  <c:v>42997</c:v>
                </c:pt>
                <c:pt idx="184">
                  <c:v>42998</c:v>
                </c:pt>
                <c:pt idx="185">
                  <c:v>42999</c:v>
                </c:pt>
                <c:pt idx="186">
                  <c:v>43000</c:v>
                </c:pt>
                <c:pt idx="187">
                  <c:v>43003</c:v>
                </c:pt>
                <c:pt idx="188">
                  <c:v>43004</c:v>
                </c:pt>
                <c:pt idx="189">
                  <c:v>43005</c:v>
                </c:pt>
                <c:pt idx="190">
                  <c:v>43006</c:v>
                </c:pt>
                <c:pt idx="191">
                  <c:v>43007</c:v>
                </c:pt>
                <c:pt idx="192">
                  <c:v>43010</c:v>
                </c:pt>
                <c:pt idx="193">
                  <c:v>43011</c:v>
                </c:pt>
                <c:pt idx="194">
                  <c:v>43012</c:v>
                </c:pt>
                <c:pt idx="195">
                  <c:v>43013</c:v>
                </c:pt>
                <c:pt idx="196">
                  <c:v>43014</c:v>
                </c:pt>
                <c:pt idx="197">
                  <c:v>43017</c:v>
                </c:pt>
                <c:pt idx="198">
                  <c:v>43018</c:v>
                </c:pt>
                <c:pt idx="199">
                  <c:v>43019</c:v>
                </c:pt>
                <c:pt idx="200">
                  <c:v>43020</c:v>
                </c:pt>
                <c:pt idx="201">
                  <c:v>43021</c:v>
                </c:pt>
                <c:pt idx="202">
                  <c:v>43024</c:v>
                </c:pt>
                <c:pt idx="203">
                  <c:v>43025</c:v>
                </c:pt>
                <c:pt idx="204">
                  <c:v>43026</c:v>
                </c:pt>
                <c:pt idx="205">
                  <c:v>43027</c:v>
                </c:pt>
                <c:pt idx="206">
                  <c:v>43028</c:v>
                </c:pt>
                <c:pt idx="207">
                  <c:v>43031</c:v>
                </c:pt>
                <c:pt idx="208">
                  <c:v>43032</c:v>
                </c:pt>
                <c:pt idx="209">
                  <c:v>43033</c:v>
                </c:pt>
                <c:pt idx="210">
                  <c:v>43034</c:v>
                </c:pt>
                <c:pt idx="211">
                  <c:v>43035</c:v>
                </c:pt>
                <c:pt idx="212">
                  <c:v>43038</c:v>
                </c:pt>
                <c:pt idx="213">
                  <c:v>43039</c:v>
                </c:pt>
                <c:pt idx="214">
                  <c:v>43040</c:v>
                </c:pt>
                <c:pt idx="215">
                  <c:v>43041</c:v>
                </c:pt>
                <c:pt idx="216">
                  <c:v>43042</c:v>
                </c:pt>
                <c:pt idx="217">
                  <c:v>43045</c:v>
                </c:pt>
                <c:pt idx="218">
                  <c:v>43046</c:v>
                </c:pt>
                <c:pt idx="219">
                  <c:v>43047</c:v>
                </c:pt>
                <c:pt idx="220">
                  <c:v>43048</c:v>
                </c:pt>
                <c:pt idx="221">
                  <c:v>43049</c:v>
                </c:pt>
                <c:pt idx="222">
                  <c:v>43052</c:v>
                </c:pt>
                <c:pt idx="223">
                  <c:v>43053</c:v>
                </c:pt>
                <c:pt idx="224">
                  <c:v>43054</c:v>
                </c:pt>
                <c:pt idx="225">
                  <c:v>43055</c:v>
                </c:pt>
                <c:pt idx="226">
                  <c:v>43056</c:v>
                </c:pt>
                <c:pt idx="227">
                  <c:v>43059</c:v>
                </c:pt>
                <c:pt idx="228">
                  <c:v>43060</c:v>
                </c:pt>
                <c:pt idx="229">
                  <c:v>43061</c:v>
                </c:pt>
                <c:pt idx="230">
                  <c:v>43062</c:v>
                </c:pt>
                <c:pt idx="231">
                  <c:v>43063</c:v>
                </c:pt>
                <c:pt idx="232">
                  <c:v>43066</c:v>
                </c:pt>
                <c:pt idx="233">
                  <c:v>43067</c:v>
                </c:pt>
                <c:pt idx="234">
                  <c:v>43068</c:v>
                </c:pt>
                <c:pt idx="235">
                  <c:v>43069</c:v>
                </c:pt>
                <c:pt idx="236">
                  <c:v>43070</c:v>
                </c:pt>
                <c:pt idx="237">
                  <c:v>43073</c:v>
                </c:pt>
                <c:pt idx="238">
                  <c:v>43074</c:v>
                </c:pt>
                <c:pt idx="239">
                  <c:v>43075</c:v>
                </c:pt>
                <c:pt idx="240">
                  <c:v>43076</c:v>
                </c:pt>
                <c:pt idx="241">
                  <c:v>43077</c:v>
                </c:pt>
                <c:pt idx="242">
                  <c:v>43080</c:v>
                </c:pt>
                <c:pt idx="243">
                  <c:v>43081</c:v>
                </c:pt>
                <c:pt idx="244">
                  <c:v>43082</c:v>
                </c:pt>
                <c:pt idx="245">
                  <c:v>43083</c:v>
                </c:pt>
                <c:pt idx="246">
                  <c:v>43084</c:v>
                </c:pt>
                <c:pt idx="247">
                  <c:v>43087</c:v>
                </c:pt>
                <c:pt idx="248">
                  <c:v>43088</c:v>
                </c:pt>
                <c:pt idx="249">
                  <c:v>43089</c:v>
                </c:pt>
                <c:pt idx="250">
                  <c:v>43090</c:v>
                </c:pt>
                <c:pt idx="251">
                  <c:v>43091</c:v>
                </c:pt>
                <c:pt idx="252">
                  <c:v>43096</c:v>
                </c:pt>
                <c:pt idx="253">
                  <c:v>43097</c:v>
                </c:pt>
                <c:pt idx="254">
                  <c:v>43098</c:v>
                </c:pt>
                <c:pt idx="255">
                  <c:v>43102</c:v>
                </c:pt>
                <c:pt idx="256">
                  <c:v>43103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2.5672551748571401E-3</c:v>
                </c:pt>
                <c:pt idx="1">
                  <c:v>2.5672551748571401E-3</c:v>
                </c:pt>
                <c:pt idx="2">
                  <c:v>2.5672551748571401E-3</c:v>
                </c:pt>
                <c:pt idx="3">
                  <c:v>2.5672551748571401E-3</c:v>
                </c:pt>
                <c:pt idx="4">
                  <c:v>2.5672551748571401E-3</c:v>
                </c:pt>
                <c:pt idx="5">
                  <c:v>2.5672551748571401E-3</c:v>
                </c:pt>
                <c:pt idx="6">
                  <c:v>2.5672551748571401E-3</c:v>
                </c:pt>
                <c:pt idx="7">
                  <c:v>2.5672551748571401E-3</c:v>
                </c:pt>
                <c:pt idx="8">
                  <c:v>2.5672551748571401E-3</c:v>
                </c:pt>
                <c:pt idx="9">
                  <c:v>2.5672551748571401E-3</c:v>
                </c:pt>
                <c:pt idx="10">
                  <c:v>2.5672551748571401E-3</c:v>
                </c:pt>
                <c:pt idx="11">
                  <c:v>2.5672551748571401E-3</c:v>
                </c:pt>
                <c:pt idx="12">
                  <c:v>2.5672551748571401E-3</c:v>
                </c:pt>
                <c:pt idx="13">
                  <c:v>2.5672551748571401E-3</c:v>
                </c:pt>
                <c:pt idx="14">
                  <c:v>2.5672551748571401E-3</c:v>
                </c:pt>
                <c:pt idx="15">
                  <c:v>2.5672551748571401E-3</c:v>
                </c:pt>
                <c:pt idx="16">
                  <c:v>2.5672551748571401E-3</c:v>
                </c:pt>
                <c:pt idx="17">
                  <c:v>2.5672551748571401E-3</c:v>
                </c:pt>
                <c:pt idx="18">
                  <c:v>2.5672551748571401E-3</c:v>
                </c:pt>
                <c:pt idx="19">
                  <c:v>2.5672551748571401E-3</c:v>
                </c:pt>
                <c:pt idx="20">
                  <c:v>2.5672551748571401E-3</c:v>
                </c:pt>
                <c:pt idx="21">
                  <c:v>2.5672551748571401E-3</c:v>
                </c:pt>
                <c:pt idx="22">
                  <c:v>2.5672551748571401E-3</c:v>
                </c:pt>
                <c:pt idx="23">
                  <c:v>2.5672551748571401E-3</c:v>
                </c:pt>
                <c:pt idx="24">
                  <c:v>2.5672551748571401E-3</c:v>
                </c:pt>
                <c:pt idx="25">
                  <c:v>2.5672551748571401E-3</c:v>
                </c:pt>
                <c:pt idx="26">
                  <c:v>2.5672551748571401E-3</c:v>
                </c:pt>
                <c:pt idx="27">
                  <c:v>2.5672551748571401E-3</c:v>
                </c:pt>
                <c:pt idx="28">
                  <c:v>2.5672551748571401E-3</c:v>
                </c:pt>
                <c:pt idx="29">
                  <c:v>2.5672551748571401E-3</c:v>
                </c:pt>
                <c:pt idx="30">
                  <c:v>2.5672551748571401E-3</c:v>
                </c:pt>
                <c:pt idx="31">
                  <c:v>2.5672551748571401E-3</c:v>
                </c:pt>
                <c:pt idx="32">
                  <c:v>2.5672551748571401E-3</c:v>
                </c:pt>
                <c:pt idx="33">
                  <c:v>2.5672551748571401E-3</c:v>
                </c:pt>
                <c:pt idx="34">
                  <c:v>2.5672551748571401E-3</c:v>
                </c:pt>
                <c:pt idx="35">
                  <c:v>2.5672551748571401E-3</c:v>
                </c:pt>
                <c:pt idx="36">
                  <c:v>2.5672551748571401E-3</c:v>
                </c:pt>
                <c:pt idx="37">
                  <c:v>2.5672551748571401E-3</c:v>
                </c:pt>
                <c:pt idx="38">
                  <c:v>2.5672551748571401E-3</c:v>
                </c:pt>
                <c:pt idx="39">
                  <c:v>2.5672551748571401E-3</c:v>
                </c:pt>
                <c:pt idx="40">
                  <c:v>2.5672551748571401E-3</c:v>
                </c:pt>
                <c:pt idx="41">
                  <c:v>2.5672551748571401E-3</c:v>
                </c:pt>
                <c:pt idx="42">
                  <c:v>2.5672551748571401E-3</c:v>
                </c:pt>
                <c:pt idx="43">
                  <c:v>2.5672551748571401E-3</c:v>
                </c:pt>
                <c:pt idx="44">
                  <c:v>2.5672551748571401E-3</c:v>
                </c:pt>
                <c:pt idx="45">
                  <c:v>2.5672551748571401E-3</c:v>
                </c:pt>
                <c:pt idx="46">
                  <c:v>2.5672551748571401E-3</c:v>
                </c:pt>
                <c:pt idx="47">
                  <c:v>2.5672551748571401E-3</c:v>
                </c:pt>
                <c:pt idx="48">
                  <c:v>2.5672551748571401E-3</c:v>
                </c:pt>
                <c:pt idx="49">
                  <c:v>2.5672551748571401E-3</c:v>
                </c:pt>
                <c:pt idx="50">
                  <c:v>2.5672551748571401E-3</c:v>
                </c:pt>
                <c:pt idx="51">
                  <c:v>2.5672551748571401E-3</c:v>
                </c:pt>
                <c:pt idx="52">
                  <c:v>2.5672551748571401E-3</c:v>
                </c:pt>
                <c:pt idx="53">
                  <c:v>2.5672551748571401E-3</c:v>
                </c:pt>
                <c:pt idx="54">
                  <c:v>2.5672551748571401E-3</c:v>
                </c:pt>
                <c:pt idx="55">
                  <c:v>2.5672551748571401E-3</c:v>
                </c:pt>
                <c:pt idx="56">
                  <c:v>2.5672551748571401E-3</c:v>
                </c:pt>
                <c:pt idx="57">
                  <c:v>2.5672551748571401E-3</c:v>
                </c:pt>
                <c:pt idx="58">
                  <c:v>2.5672551748571401E-3</c:v>
                </c:pt>
                <c:pt idx="59">
                  <c:v>2.5672551748571401E-3</c:v>
                </c:pt>
                <c:pt idx="60">
                  <c:v>2.5672551748571401E-3</c:v>
                </c:pt>
                <c:pt idx="61">
                  <c:v>2.5672551748571401E-3</c:v>
                </c:pt>
                <c:pt idx="62">
                  <c:v>2.5672551748571401E-3</c:v>
                </c:pt>
                <c:pt idx="63">
                  <c:v>2.5672551748571401E-3</c:v>
                </c:pt>
                <c:pt idx="64">
                  <c:v>2.5672551748571401E-3</c:v>
                </c:pt>
                <c:pt idx="65">
                  <c:v>2.5672551748571401E-3</c:v>
                </c:pt>
                <c:pt idx="66">
                  <c:v>2.5672551748571401E-3</c:v>
                </c:pt>
                <c:pt idx="67">
                  <c:v>2.5672551748571401E-3</c:v>
                </c:pt>
                <c:pt idx="68">
                  <c:v>2.5672551748571401E-3</c:v>
                </c:pt>
                <c:pt idx="69">
                  <c:v>2.5672551748571401E-3</c:v>
                </c:pt>
                <c:pt idx="70">
                  <c:v>2.5672551748571401E-3</c:v>
                </c:pt>
                <c:pt idx="71">
                  <c:v>2.5672551748571401E-3</c:v>
                </c:pt>
                <c:pt idx="72">
                  <c:v>2.5672551748571401E-3</c:v>
                </c:pt>
                <c:pt idx="73">
                  <c:v>2.5672551748571401E-3</c:v>
                </c:pt>
                <c:pt idx="74">
                  <c:v>2.5672551748571401E-3</c:v>
                </c:pt>
                <c:pt idx="75">
                  <c:v>2.5672551748571401E-3</c:v>
                </c:pt>
                <c:pt idx="76">
                  <c:v>2.5672551748571401E-3</c:v>
                </c:pt>
                <c:pt idx="77">
                  <c:v>2.5672551748571401E-3</c:v>
                </c:pt>
                <c:pt idx="78">
                  <c:v>2.5672551748571401E-3</c:v>
                </c:pt>
                <c:pt idx="79">
                  <c:v>2.5672551748571401E-3</c:v>
                </c:pt>
                <c:pt idx="80">
                  <c:v>2.5672551748571401E-3</c:v>
                </c:pt>
                <c:pt idx="81">
                  <c:v>2.5672551748571401E-3</c:v>
                </c:pt>
                <c:pt idx="82">
                  <c:v>2.5672551748571401E-3</c:v>
                </c:pt>
                <c:pt idx="83">
                  <c:v>2.5672551748571401E-3</c:v>
                </c:pt>
                <c:pt idx="84">
                  <c:v>2.5672551748571401E-3</c:v>
                </c:pt>
                <c:pt idx="85">
                  <c:v>2.5672551748571401E-3</c:v>
                </c:pt>
                <c:pt idx="86">
                  <c:v>2.5672551748571401E-3</c:v>
                </c:pt>
                <c:pt idx="87">
                  <c:v>2.5672551748571401E-3</c:v>
                </c:pt>
                <c:pt idx="88">
                  <c:v>2.5672551748571401E-3</c:v>
                </c:pt>
                <c:pt idx="89">
                  <c:v>2.5672551748571401E-3</c:v>
                </c:pt>
                <c:pt idx="90">
                  <c:v>2.5672551748571401E-3</c:v>
                </c:pt>
                <c:pt idx="91">
                  <c:v>2.5672551748571401E-3</c:v>
                </c:pt>
                <c:pt idx="92">
                  <c:v>2.5672551748571401E-3</c:v>
                </c:pt>
                <c:pt idx="93">
                  <c:v>2.5672551748571401E-3</c:v>
                </c:pt>
                <c:pt idx="94">
                  <c:v>2.5672551748571401E-3</c:v>
                </c:pt>
                <c:pt idx="95">
                  <c:v>2.5672551748571401E-3</c:v>
                </c:pt>
                <c:pt idx="96">
                  <c:v>2.5672551748571401E-3</c:v>
                </c:pt>
                <c:pt idx="97">
                  <c:v>2.5672551748571401E-3</c:v>
                </c:pt>
                <c:pt idx="98">
                  <c:v>2.5672551748571401E-3</c:v>
                </c:pt>
                <c:pt idx="99">
                  <c:v>2.5672551748571401E-3</c:v>
                </c:pt>
                <c:pt idx="100">
                  <c:v>2.5672551748571401E-3</c:v>
                </c:pt>
                <c:pt idx="101">
                  <c:v>2.5672551748571401E-3</c:v>
                </c:pt>
                <c:pt idx="102">
                  <c:v>2.5672551748571401E-3</c:v>
                </c:pt>
                <c:pt idx="103">
                  <c:v>2.5672551748571401E-3</c:v>
                </c:pt>
                <c:pt idx="104">
                  <c:v>2.5672551748571401E-3</c:v>
                </c:pt>
                <c:pt idx="105">
                  <c:v>2.5672551748571401E-3</c:v>
                </c:pt>
                <c:pt idx="106">
                  <c:v>2.5672551748571401E-3</c:v>
                </c:pt>
                <c:pt idx="107">
                  <c:v>2.5672551748571401E-3</c:v>
                </c:pt>
                <c:pt idx="108">
                  <c:v>2.5672551748571401E-3</c:v>
                </c:pt>
                <c:pt idx="109">
                  <c:v>2.5672551748571401E-3</c:v>
                </c:pt>
                <c:pt idx="110">
                  <c:v>2.5672551748571401E-3</c:v>
                </c:pt>
                <c:pt idx="111">
                  <c:v>2.5672551748571401E-3</c:v>
                </c:pt>
                <c:pt idx="112">
                  <c:v>2.5672551748571401E-3</c:v>
                </c:pt>
                <c:pt idx="113">
                  <c:v>2.5672551748571401E-3</c:v>
                </c:pt>
                <c:pt idx="114">
                  <c:v>2.5672551748571401E-3</c:v>
                </c:pt>
                <c:pt idx="115">
                  <c:v>2.5672551748571401E-3</c:v>
                </c:pt>
                <c:pt idx="116">
                  <c:v>2.5672551748571401E-3</c:v>
                </c:pt>
                <c:pt idx="117">
                  <c:v>2.5672551748571401E-3</c:v>
                </c:pt>
                <c:pt idx="118">
                  <c:v>2.5672551748571401E-3</c:v>
                </c:pt>
                <c:pt idx="119">
                  <c:v>2.5672551748571401E-3</c:v>
                </c:pt>
                <c:pt idx="120">
                  <c:v>2.5672551748571401E-3</c:v>
                </c:pt>
                <c:pt idx="121">
                  <c:v>2.5672551748571401E-3</c:v>
                </c:pt>
                <c:pt idx="122">
                  <c:v>2.5672551748571401E-3</c:v>
                </c:pt>
                <c:pt idx="123">
                  <c:v>2.5672551748571401E-3</c:v>
                </c:pt>
                <c:pt idx="124">
                  <c:v>2.5672551748571401E-3</c:v>
                </c:pt>
                <c:pt idx="125">
                  <c:v>2.5672551748571401E-3</c:v>
                </c:pt>
                <c:pt idx="126">
                  <c:v>2.5672551748571401E-3</c:v>
                </c:pt>
                <c:pt idx="127">
                  <c:v>2.5672551748571401E-3</c:v>
                </c:pt>
                <c:pt idx="128">
                  <c:v>2.5672551748571401E-3</c:v>
                </c:pt>
                <c:pt idx="129">
                  <c:v>2.5672551748571401E-3</c:v>
                </c:pt>
                <c:pt idx="130">
                  <c:v>2.5672551748571401E-3</c:v>
                </c:pt>
                <c:pt idx="131">
                  <c:v>2.5672551748571401E-3</c:v>
                </c:pt>
                <c:pt idx="132">
                  <c:v>2.5672551748571401E-3</c:v>
                </c:pt>
                <c:pt idx="133">
                  <c:v>2.5672551748571401E-3</c:v>
                </c:pt>
                <c:pt idx="134">
                  <c:v>2.5672551748571401E-3</c:v>
                </c:pt>
                <c:pt idx="135">
                  <c:v>2.5672551748571401E-3</c:v>
                </c:pt>
                <c:pt idx="136">
                  <c:v>2.5672551748571401E-3</c:v>
                </c:pt>
                <c:pt idx="137">
                  <c:v>2.5672551748571401E-3</c:v>
                </c:pt>
                <c:pt idx="138">
                  <c:v>2.5672551748571401E-3</c:v>
                </c:pt>
                <c:pt idx="139">
                  <c:v>2.5672551748571401E-3</c:v>
                </c:pt>
                <c:pt idx="140">
                  <c:v>2.5672551748571401E-3</c:v>
                </c:pt>
                <c:pt idx="141">
                  <c:v>2.5672551748571401E-3</c:v>
                </c:pt>
                <c:pt idx="142">
                  <c:v>2.5672551748571401E-3</c:v>
                </c:pt>
                <c:pt idx="143">
                  <c:v>2.5672551748571401E-3</c:v>
                </c:pt>
                <c:pt idx="144">
                  <c:v>2.5672551748571401E-3</c:v>
                </c:pt>
                <c:pt idx="145">
                  <c:v>2.5672551748571401E-3</c:v>
                </c:pt>
                <c:pt idx="146">
                  <c:v>2.5672551748571401E-3</c:v>
                </c:pt>
                <c:pt idx="147">
                  <c:v>2.5672551748571401E-3</c:v>
                </c:pt>
                <c:pt idx="148">
                  <c:v>2.5672551748571401E-3</c:v>
                </c:pt>
                <c:pt idx="149">
                  <c:v>2.5672551748571401E-3</c:v>
                </c:pt>
                <c:pt idx="150">
                  <c:v>2.5672551748571401E-3</c:v>
                </c:pt>
                <c:pt idx="151">
                  <c:v>2.5672551748571401E-3</c:v>
                </c:pt>
                <c:pt idx="152">
                  <c:v>2.5672551748571401E-3</c:v>
                </c:pt>
                <c:pt idx="153">
                  <c:v>2.5672551748571401E-3</c:v>
                </c:pt>
                <c:pt idx="154">
                  <c:v>2.5672551748571401E-3</c:v>
                </c:pt>
                <c:pt idx="155">
                  <c:v>2.5672551748571401E-3</c:v>
                </c:pt>
                <c:pt idx="156">
                  <c:v>2.5672551748571401E-3</c:v>
                </c:pt>
                <c:pt idx="157">
                  <c:v>2.5672551748571401E-3</c:v>
                </c:pt>
                <c:pt idx="158">
                  <c:v>2.5672551748571401E-3</c:v>
                </c:pt>
                <c:pt idx="159">
                  <c:v>2.5672551748571401E-3</c:v>
                </c:pt>
                <c:pt idx="160">
                  <c:v>2.5672551748571401E-3</c:v>
                </c:pt>
                <c:pt idx="161">
                  <c:v>2.5672551748571401E-3</c:v>
                </c:pt>
                <c:pt idx="162">
                  <c:v>2.5672551748571401E-3</c:v>
                </c:pt>
                <c:pt idx="163">
                  <c:v>2.5672551748571401E-3</c:v>
                </c:pt>
                <c:pt idx="164">
                  <c:v>2.5672551748571401E-3</c:v>
                </c:pt>
                <c:pt idx="165">
                  <c:v>2.5672551748571401E-3</c:v>
                </c:pt>
                <c:pt idx="166">
                  <c:v>2.5672551748571401E-3</c:v>
                </c:pt>
                <c:pt idx="167">
                  <c:v>2.5672551748571401E-3</c:v>
                </c:pt>
                <c:pt idx="168">
                  <c:v>2.5672551748571401E-3</c:v>
                </c:pt>
                <c:pt idx="169">
                  <c:v>2.5672551748571401E-3</c:v>
                </c:pt>
                <c:pt idx="170">
                  <c:v>2.5672551748571401E-3</c:v>
                </c:pt>
                <c:pt idx="171">
                  <c:v>2.5672551748571401E-3</c:v>
                </c:pt>
                <c:pt idx="172">
                  <c:v>2.5672551748571401E-3</c:v>
                </c:pt>
                <c:pt idx="173">
                  <c:v>2.5672551748571401E-3</c:v>
                </c:pt>
                <c:pt idx="174">
                  <c:v>2.5672551748571401E-3</c:v>
                </c:pt>
                <c:pt idx="175">
                  <c:v>2.5672551748571401E-3</c:v>
                </c:pt>
                <c:pt idx="176">
                  <c:v>2.5672551748571401E-3</c:v>
                </c:pt>
                <c:pt idx="177">
                  <c:v>2.5672551748571401E-3</c:v>
                </c:pt>
                <c:pt idx="178">
                  <c:v>2.5672551748571401E-3</c:v>
                </c:pt>
                <c:pt idx="179">
                  <c:v>2.5672551748571401E-3</c:v>
                </c:pt>
                <c:pt idx="180">
                  <c:v>2.5672551748571401E-3</c:v>
                </c:pt>
                <c:pt idx="181">
                  <c:v>2.5672551748571401E-3</c:v>
                </c:pt>
                <c:pt idx="182">
                  <c:v>2.5672551748571401E-3</c:v>
                </c:pt>
                <c:pt idx="183">
                  <c:v>2.5672551748571401E-3</c:v>
                </c:pt>
                <c:pt idx="184">
                  <c:v>2.5672551748571401E-3</c:v>
                </c:pt>
                <c:pt idx="185">
                  <c:v>2.5672551748571401E-3</c:v>
                </c:pt>
                <c:pt idx="186">
                  <c:v>2.5672551748571401E-3</c:v>
                </c:pt>
                <c:pt idx="187">
                  <c:v>2.5672551748571401E-3</c:v>
                </c:pt>
                <c:pt idx="188">
                  <c:v>2.5672551748571401E-3</c:v>
                </c:pt>
                <c:pt idx="189">
                  <c:v>2.5672551748571401E-3</c:v>
                </c:pt>
                <c:pt idx="190">
                  <c:v>2.5672551748571401E-3</c:v>
                </c:pt>
                <c:pt idx="191">
                  <c:v>2.5672551748571401E-3</c:v>
                </c:pt>
                <c:pt idx="192">
                  <c:v>2.5672551748571401E-3</c:v>
                </c:pt>
                <c:pt idx="193">
                  <c:v>2.5672551748571401E-3</c:v>
                </c:pt>
                <c:pt idx="194">
                  <c:v>2.5672551748571401E-3</c:v>
                </c:pt>
                <c:pt idx="195">
                  <c:v>2.5672551748571401E-3</c:v>
                </c:pt>
                <c:pt idx="196">
                  <c:v>2.5672551748571401E-3</c:v>
                </c:pt>
                <c:pt idx="197">
                  <c:v>2.5672551748571401E-3</c:v>
                </c:pt>
                <c:pt idx="198">
                  <c:v>2.5672551748571401E-3</c:v>
                </c:pt>
                <c:pt idx="199">
                  <c:v>2.5672551748571401E-3</c:v>
                </c:pt>
                <c:pt idx="200">
                  <c:v>2.5672551748571401E-3</c:v>
                </c:pt>
                <c:pt idx="201">
                  <c:v>2.5672551748571401E-3</c:v>
                </c:pt>
                <c:pt idx="202">
                  <c:v>2.5672551748571401E-3</c:v>
                </c:pt>
                <c:pt idx="203">
                  <c:v>2.5672551748571401E-3</c:v>
                </c:pt>
                <c:pt idx="204">
                  <c:v>2.5672551748571401E-3</c:v>
                </c:pt>
                <c:pt idx="205">
                  <c:v>2.5672551748571401E-3</c:v>
                </c:pt>
                <c:pt idx="206">
                  <c:v>2.5672551748571401E-3</c:v>
                </c:pt>
                <c:pt idx="207">
                  <c:v>2.5672551748571401E-3</c:v>
                </c:pt>
                <c:pt idx="208">
                  <c:v>2.5672551748571401E-3</c:v>
                </c:pt>
                <c:pt idx="209">
                  <c:v>2.5672551748571401E-3</c:v>
                </c:pt>
                <c:pt idx="210">
                  <c:v>2.5672551748571401E-3</c:v>
                </c:pt>
                <c:pt idx="211">
                  <c:v>2.5672551748571401E-3</c:v>
                </c:pt>
                <c:pt idx="212">
                  <c:v>2.5672551748571401E-3</c:v>
                </c:pt>
                <c:pt idx="213">
                  <c:v>2.5672551748571401E-3</c:v>
                </c:pt>
                <c:pt idx="214">
                  <c:v>2.5672551748571401E-3</c:v>
                </c:pt>
                <c:pt idx="215">
                  <c:v>2.5672551748571401E-3</c:v>
                </c:pt>
                <c:pt idx="216">
                  <c:v>2.5672551748571401E-3</c:v>
                </c:pt>
                <c:pt idx="217">
                  <c:v>2.5672551748571401E-3</c:v>
                </c:pt>
                <c:pt idx="218">
                  <c:v>2.5672551748571401E-3</c:v>
                </c:pt>
                <c:pt idx="219">
                  <c:v>2.5672551748571401E-3</c:v>
                </c:pt>
                <c:pt idx="220">
                  <c:v>2.5672551748571401E-3</c:v>
                </c:pt>
                <c:pt idx="221">
                  <c:v>2.5672551748571401E-3</c:v>
                </c:pt>
                <c:pt idx="222">
                  <c:v>2.5672551748571401E-3</c:v>
                </c:pt>
                <c:pt idx="223">
                  <c:v>2.5672551748571401E-3</c:v>
                </c:pt>
                <c:pt idx="224">
                  <c:v>2.5672551748571401E-3</c:v>
                </c:pt>
                <c:pt idx="225">
                  <c:v>2.5672551748571401E-3</c:v>
                </c:pt>
                <c:pt idx="226">
                  <c:v>2.5672551748571401E-3</c:v>
                </c:pt>
                <c:pt idx="227">
                  <c:v>2.5672551748571401E-3</c:v>
                </c:pt>
                <c:pt idx="228">
                  <c:v>2.5672551748571401E-3</c:v>
                </c:pt>
                <c:pt idx="229">
                  <c:v>2.5672551748571401E-3</c:v>
                </c:pt>
                <c:pt idx="230">
                  <c:v>2.5672551748571401E-3</c:v>
                </c:pt>
                <c:pt idx="231">
                  <c:v>2.5672551748571401E-3</c:v>
                </c:pt>
                <c:pt idx="232">
                  <c:v>2.5672551748571401E-3</c:v>
                </c:pt>
                <c:pt idx="233">
                  <c:v>2.5672551748571401E-3</c:v>
                </c:pt>
                <c:pt idx="234">
                  <c:v>2.5672551748571401E-3</c:v>
                </c:pt>
                <c:pt idx="235">
                  <c:v>2.5672551748571401E-3</c:v>
                </c:pt>
                <c:pt idx="236">
                  <c:v>2.5672551748571401E-3</c:v>
                </c:pt>
                <c:pt idx="237">
                  <c:v>2.5672551748571401E-3</c:v>
                </c:pt>
                <c:pt idx="238">
                  <c:v>2.5672551748571401E-3</c:v>
                </c:pt>
                <c:pt idx="239">
                  <c:v>2.5672551748571401E-3</c:v>
                </c:pt>
                <c:pt idx="240">
                  <c:v>2.5672551748571401E-3</c:v>
                </c:pt>
                <c:pt idx="241">
                  <c:v>2.5672551748571401E-3</c:v>
                </c:pt>
                <c:pt idx="242">
                  <c:v>2.5672551748571401E-3</c:v>
                </c:pt>
                <c:pt idx="243">
                  <c:v>2.5672551748571401E-3</c:v>
                </c:pt>
                <c:pt idx="244">
                  <c:v>2.5672551748571401E-3</c:v>
                </c:pt>
                <c:pt idx="245">
                  <c:v>2.5672551748571401E-3</c:v>
                </c:pt>
                <c:pt idx="246">
                  <c:v>2.5672551748571401E-3</c:v>
                </c:pt>
                <c:pt idx="247">
                  <c:v>2.5672551748571401E-3</c:v>
                </c:pt>
                <c:pt idx="248">
                  <c:v>2.5672551748571401E-3</c:v>
                </c:pt>
                <c:pt idx="249">
                  <c:v>2.5672551748571401E-3</c:v>
                </c:pt>
                <c:pt idx="250">
                  <c:v>2.5672551748571401E-3</c:v>
                </c:pt>
                <c:pt idx="251">
                  <c:v>2.5672551748571401E-3</c:v>
                </c:pt>
                <c:pt idx="252">
                  <c:v>2.5672551748571401E-3</c:v>
                </c:pt>
                <c:pt idx="253">
                  <c:v>2.5672551748571401E-3</c:v>
                </c:pt>
                <c:pt idx="254">
                  <c:v>2.5672551748571401E-3</c:v>
                </c:pt>
                <c:pt idx="255">
                  <c:v>2.5672551748571401E-3</c:v>
                </c:pt>
                <c:pt idx="256">
                  <c:v>2.5672551748571401E-3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  <c:pt idx="130">
                  <c:v>42922</c:v>
                </c:pt>
                <c:pt idx="131">
                  <c:v>42923</c:v>
                </c:pt>
                <c:pt idx="132">
                  <c:v>42926</c:v>
                </c:pt>
                <c:pt idx="133">
                  <c:v>42927</c:v>
                </c:pt>
                <c:pt idx="134">
                  <c:v>42928</c:v>
                </c:pt>
                <c:pt idx="135">
                  <c:v>42929</c:v>
                </c:pt>
                <c:pt idx="136">
                  <c:v>42930</c:v>
                </c:pt>
                <c:pt idx="137">
                  <c:v>42933</c:v>
                </c:pt>
                <c:pt idx="138">
                  <c:v>42934</c:v>
                </c:pt>
                <c:pt idx="139">
                  <c:v>42935</c:v>
                </c:pt>
                <c:pt idx="140">
                  <c:v>42936</c:v>
                </c:pt>
                <c:pt idx="141">
                  <c:v>42937</c:v>
                </c:pt>
                <c:pt idx="142">
                  <c:v>42940</c:v>
                </c:pt>
                <c:pt idx="143">
                  <c:v>42941</c:v>
                </c:pt>
                <c:pt idx="144">
                  <c:v>42942</c:v>
                </c:pt>
                <c:pt idx="145">
                  <c:v>42943</c:v>
                </c:pt>
                <c:pt idx="146">
                  <c:v>42944</c:v>
                </c:pt>
                <c:pt idx="147">
                  <c:v>42947</c:v>
                </c:pt>
                <c:pt idx="148">
                  <c:v>42948</c:v>
                </c:pt>
                <c:pt idx="149">
                  <c:v>42949</c:v>
                </c:pt>
                <c:pt idx="150">
                  <c:v>42950</c:v>
                </c:pt>
                <c:pt idx="151">
                  <c:v>42951</c:v>
                </c:pt>
                <c:pt idx="152">
                  <c:v>42954</c:v>
                </c:pt>
                <c:pt idx="153">
                  <c:v>42955</c:v>
                </c:pt>
                <c:pt idx="154">
                  <c:v>42956</c:v>
                </c:pt>
                <c:pt idx="155">
                  <c:v>42957</c:v>
                </c:pt>
                <c:pt idx="156">
                  <c:v>42958</c:v>
                </c:pt>
                <c:pt idx="157">
                  <c:v>42961</c:v>
                </c:pt>
                <c:pt idx="158">
                  <c:v>42962</c:v>
                </c:pt>
                <c:pt idx="159">
                  <c:v>42963</c:v>
                </c:pt>
                <c:pt idx="160">
                  <c:v>42964</c:v>
                </c:pt>
                <c:pt idx="161">
                  <c:v>42965</c:v>
                </c:pt>
                <c:pt idx="162">
                  <c:v>42968</c:v>
                </c:pt>
                <c:pt idx="163">
                  <c:v>42969</c:v>
                </c:pt>
                <c:pt idx="164">
                  <c:v>42970</c:v>
                </c:pt>
                <c:pt idx="165">
                  <c:v>42971</c:v>
                </c:pt>
                <c:pt idx="166">
                  <c:v>42972</c:v>
                </c:pt>
                <c:pt idx="167">
                  <c:v>42975</c:v>
                </c:pt>
                <c:pt idx="168">
                  <c:v>42976</c:v>
                </c:pt>
                <c:pt idx="169">
                  <c:v>42977</c:v>
                </c:pt>
                <c:pt idx="170">
                  <c:v>42978</c:v>
                </c:pt>
                <c:pt idx="171">
                  <c:v>42979</c:v>
                </c:pt>
                <c:pt idx="172">
                  <c:v>42982</c:v>
                </c:pt>
                <c:pt idx="173">
                  <c:v>42983</c:v>
                </c:pt>
                <c:pt idx="174">
                  <c:v>42984</c:v>
                </c:pt>
                <c:pt idx="175">
                  <c:v>42985</c:v>
                </c:pt>
                <c:pt idx="176">
                  <c:v>42986</c:v>
                </c:pt>
                <c:pt idx="177">
                  <c:v>42989</c:v>
                </c:pt>
                <c:pt idx="178">
                  <c:v>42990</c:v>
                </c:pt>
                <c:pt idx="179">
                  <c:v>42991</c:v>
                </c:pt>
                <c:pt idx="180">
                  <c:v>42992</c:v>
                </c:pt>
                <c:pt idx="181">
                  <c:v>42993</c:v>
                </c:pt>
                <c:pt idx="182">
                  <c:v>42996</c:v>
                </c:pt>
                <c:pt idx="183">
                  <c:v>42997</c:v>
                </c:pt>
                <c:pt idx="184">
                  <c:v>42998</c:v>
                </c:pt>
                <c:pt idx="185">
                  <c:v>42999</c:v>
                </c:pt>
                <c:pt idx="186">
                  <c:v>43000</c:v>
                </c:pt>
                <c:pt idx="187">
                  <c:v>43003</c:v>
                </c:pt>
                <c:pt idx="188">
                  <c:v>43004</c:v>
                </c:pt>
                <c:pt idx="189">
                  <c:v>43005</c:v>
                </c:pt>
                <c:pt idx="190">
                  <c:v>43006</c:v>
                </c:pt>
                <c:pt idx="191">
                  <c:v>43007</c:v>
                </c:pt>
                <c:pt idx="192">
                  <c:v>43010</c:v>
                </c:pt>
                <c:pt idx="193">
                  <c:v>43011</c:v>
                </c:pt>
                <c:pt idx="194">
                  <c:v>43012</c:v>
                </c:pt>
                <c:pt idx="195">
                  <c:v>43013</c:v>
                </c:pt>
                <c:pt idx="196">
                  <c:v>43014</c:v>
                </c:pt>
                <c:pt idx="197">
                  <c:v>43017</c:v>
                </c:pt>
                <c:pt idx="198">
                  <c:v>43018</c:v>
                </c:pt>
                <c:pt idx="199">
                  <c:v>43019</c:v>
                </c:pt>
                <c:pt idx="200">
                  <c:v>43020</c:v>
                </c:pt>
                <c:pt idx="201">
                  <c:v>43021</c:v>
                </c:pt>
                <c:pt idx="202">
                  <c:v>43024</c:v>
                </c:pt>
                <c:pt idx="203">
                  <c:v>43025</c:v>
                </c:pt>
                <c:pt idx="204">
                  <c:v>43026</c:v>
                </c:pt>
                <c:pt idx="205">
                  <c:v>43027</c:v>
                </c:pt>
                <c:pt idx="206">
                  <c:v>43028</c:v>
                </c:pt>
                <c:pt idx="207">
                  <c:v>43031</c:v>
                </c:pt>
                <c:pt idx="208">
                  <c:v>43032</c:v>
                </c:pt>
                <c:pt idx="209">
                  <c:v>43033</c:v>
                </c:pt>
                <c:pt idx="210">
                  <c:v>43034</c:v>
                </c:pt>
                <c:pt idx="211">
                  <c:v>43035</c:v>
                </c:pt>
                <c:pt idx="212">
                  <c:v>43038</c:v>
                </c:pt>
                <c:pt idx="213">
                  <c:v>43039</c:v>
                </c:pt>
                <c:pt idx="214">
                  <c:v>43040</c:v>
                </c:pt>
                <c:pt idx="215">
                  <c:v>43041</c:v>
                </c:pt>
                <c:pt idx="216">
                  <c:v>43042</c:v>
                </c:pt>
                <c:pt idx="217">
                  <c:v>43045</c:v>
                </c:pt>
                <c:pt idx="218">
                  <c:v>43046</c:v>
                </c:pt>
                <c:pt idx="219">
                  <c:v>43047</c:v>
                </c:pt>
                <c:pt idx="220">
                  <c:v>43048</c:v>
                </c:pt>
                <c:pt idx="221">
                  <c:v>43049</c:v>
                </c:pt>
                <c:pt idx="222">
                  <c:v>43052</c:v>
                </c:pt>
                <c:pt idx="223">
                  <c:v>43053</c:v>
                </c:pt>
                <c:pt idx="224">
                  <c:v>43054</c:v>
                </c:pt>
                <c:pt idx="225">
                  <c:v>43055</c:v>
                </c:pt>
                <c:pt idx="226">
                  <c:v>43056</c:v>
                </c:pt>
                <c:pt idx="227">
                  <c:v>43059</c:v>
                </c:pt>
                <c:pt idx="228">
                  <c:v>43060</c:v>
                </c:pt>
                <c:pt idx="229">
                  <c:v>43061</c:v>
                </c:pt>
                <c:pt idx="230">
                  <c:v>43062</c:v>
                </c:pt>
                <c:pt idx="231">
                  <c:v>43063</c:v>
                </c:pt>
                <c:pt idx="232">
                  <c:v>43066</c:v>
                </c:pt>
                <c:pt idx="233">
                  <c:v>43067</c:v>
                </c:pt>
                <c:pt idx="234">
                  <c:v>43068</c:v>
                </c:pt>
                <c:pt idx="235">
                  <c:v>43069</c:v>
                </c:pt>
                <c:pt idx="236">
                  <c:v>43070</c:v>
                </c:pt>
                <c:pt idx="237">
                  <c:v>43073</c:v>
                </c:pt>
                <c:pt idx="238">
                  <c:v>43074</c:v>
                </c:pt>
                <c:pt idx="239">
                  <c:v>43075</c:v>
                </c:pt>
                <c:pt idx="240">
                  <c:v>43076</c:v>
                </c:pt>
                <c:pt idx="241">
                  <c:v>43077</c:v>
                </c:pt>
                <c:pt idx="242">
                  <c:v>43080</c:v>
                </c:pt>
                <c:pt idx="243">
                  <c:v>43081</c:v>
                </c:pt>
                <c:pt idx="244">
                  <c:v>43082</c:v>
                </c:pt>
                <c:pt idx="245">
                  <c:v>43083</c:v>
                </c:pt>
                <c:pt idx="246">
                  <c:v>43084</c:v>
                </c:pt>
                <c:pt idx="247">
                  <c:v>43087</c:v>
                </c:pt>
                <c:pt idx="248">
                  <c:v>43088</c:v>
                </c:pt>
                <c:pt idx="249">
                  <c:v>43089</c:v>
                </c:pt>
                <c:pt idx="250">
                  <c:v>43090</c:v>
                </c:pt>
                <c:pt idx="251">
                  <c:v>43091</c:v>
                </c:pt>
                <c:pt idx="252">
                  <c:v>43096</c:v>
                </c:pt>
                <c:pt idx="253">
                  <c:v>43097</c:v>
                </c:pt>
                <c:pt idx="254">
                  <c:v>43098</c:v>
                </c:pt>
                <c:pt idx="255">
                  <c:v>43102</c:v>
                </c:pt>
                <c:pt idx="256">
                  <c:v>43103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2.1214974245744866E-3</c:v>
                </c:pt>
                <c:pt idx="1">
                  <c:v>2.1239399327952135E-3</c:v>
                </c:pt>
                <c:pt idx="2">
                  <c:v>2.1263824410159404E-3</c:v>
                </c:pt>
                <c:pt idx="3">
                  <c:v>2.1288249492366672E-3</c:v>
                </c:pt>
                <c:pt idx="4">
                  <c:v>2.1312674574573941E-3</c:v>
                </c:pt>
                <c:pt idx="5">
                  <c:v>2.1385949821195746E-3</c:v>
                </c:pt>
                <c:pt idx="6">
                  <c:v>2.1410374903403015E-3</c:v>
                </c:pt>
                <c:pt idx="7">
                  <c:v>2.1434799985610284E-3</c:v>
                </c:pt>
                <c:pt idx="8">
                  <c:v>2.1459225067817552E-3</c:v>
                </c:pt>
                <c:pt idx="9">
                  <c:v>2.1483650150024821E-3</c:v>
                </c:pt>
                <c:pt idx="10">
                  <c:v>2.1556925396646626E-3</c:v>
                </c:pt>
                <c:pt idx="11">
                  <c:v>2.1581350478853895E-3</c:v>
                </c:pt>
                <c:pt idx="12">
                  <c:v>2.1605775561061163E-3</c:v>
                </c:pt>
                <c:pt idx="13">
                  <c:v>2.1630200643268432E-3</c:v>
                </c:pt>
                <c:pt idx="14">
                  <c:v>2.1654625725475701E-3</c:v>
                </c:pt>
                <c:pt idx="15">
                  <c:v>2.1727900972097506E-3</c:v>
                </c:pt>
                <c:pt idx="16">
                  <c:v>2.1752326054304775E-3</c:v>
                </c:pt>
                <c:pt idx="17">
                  <c:v>2.1776751136512043E-3</c:v>
                </c:pt>
                <c:pt idx="18">
                  <c:v>2.1801176218719316E-3</c:v>
                </c:pt>
                <c:pt idx="19">
                  <c:v>2.1825601300926585E-3</c:v>
                </c:pt>
                <c:pt idx="20">
                  <c:v>2.1898876547548391E-3</c:v>
                </c:pt>
                <c:pt idx="21">
                  <c:v>2.1923301629755659E-3</c:v>
                </c:pt>
                <c:pt idx="22">
                  <c:v>2.1947726711962928E-3</c:v>
                </c:pt>
                <c:pt idx="23">
                  <c:v>2.1972151794170196E-3</c:v>
                </c:pt>
                <c:pt idx="24">
                  <c:v>2.1996576876377465E-3</c:v>
                </c:pt>
                <c:pt idx="25">
                  <c:v>2.2069852122999271E-3</c:v>
                </c:pt>
                <c:pt idx="26">
                  <c:v>2.2094277205206539E-3</c:v>
                </c:pt>
                <c:pt idx="27">
                  <c:v>2.2118702287413808E-3</c:v>
                </c:pt>
                <c:pt idx="28">
                  <c:v>2.2143127369621076E-3</c:v>
                </c:pt>
                <c:pt idx="29">
                  <c:v>2.2167552451828345E-3</c:v>
                </c:pt>
                <c:pt idx="30">
                  <c:v>2.224082769845015E-3</c:v>
                </c:pt>
                <c:pt idx="31">
                  <c:v>2.2265252780657419E-3</c:v>
                </c:pt>
                <c:pt idx="32">
                  <c:v>2.2289677862864688E-3</c:v>
                </c:pt>
                <c:pt idx="33">
                  <c:v>2.2314102945071956E-3</c:v>
                </c:pt>
                <c:pt idx="34">
                  <c:v>2.2338528027279225E-3</c:v>
                </c:pt>
                <c:pt idx="35">
                  <c:v>2.241180327390103E-3</c:v>
                </c:pt>
                <c:pt idx="36">
                  <c:v>2.2436228356108299E-3</c:v>
                </c:pt>
                <c:pt idx="37">
                  <c:v>2.2460653438315568E-3</c:v>
                </c:pt>
                <c:pt idx="38">
                  <c:v>2.2485078520522836E-3</c:v>
                </c:pt>
                <c:pt idx="39">
                  <c:v>2.2509503602730105E-3</c:v>
                </c:pt>
                <c:pt idx="40">
                  <c:v>2.258277884935191E-3</c:v>
                </c:pt>
                <c:pt idx="41">
                  <c:v>2.2607203931559179E-3</c:v>
                </c:pt>
                <c:pt idx="42">
                  <c:v>2.2631629013766448E-3</c:v>
                </c:pt>
                <c:pt idx="43">
                  <c:v>2.2656054095973716E-3</c:v>
                </c:pt>
                <c:pt idx="44">
                  <c:v>2.2680479178180985E-3</c:v>
                </c:pt>
                <c:pt idx="45">
                  <c:v>2.275375442480279E-3</c:v>
                </c:pt>
                <c:pt idx="46">
                  <c:v>2.2778179507010059E-3</c:v>
                </c:pt>
                <c:pt idx="47">
                  <c:v>2.2802604589217327E-3</c:v>
                </c:pt>
                <c:pt idx="48">
                  <c:v>2.2827029671424596E-3</c:v>
                </c:pt>
                <c:pt idx="49">
                  <c:v>2.2851454753631869E-3</c:v>
                </c:pt>
                <c:pt idx="50">
                  <c:v>2.2924730000253675E-3</c:v>
                </c:pt>
                <c:pt idx="51">
                  <c:v>2.2949155082460943E-3</c:v>
                </c:pt>
                <c:pt idx="52">
                  <c:v>2.2973580164668212E-3</c:v>
                </c:pt>
                <c:pt idx="53">
                  <c:v>2.299800524687548E-3</c:v>
                </c:pt>
                <c:pt idx="54">
                  <c:v>2.3022430329082749E-3</c:v>
                </c:pt>
                <c:pt idx="55">
                  <c:v>2.3095705575704555E-3</c:v>
                </c:pt>
                <c:pt idx="56">
                  <c:v>2.3120130657911823E-3</c:v>
                </c:pt>
                <c:pt idx="57">
                  <c:v>2.3144555740119092E-3</c:v>
                </c:pt>
                <c:pt idx="58">
                  <c:v>2.316898082232636E-3</c:v>
                </c:pt>
                <c:pt idx="59">
                  <c:v>2.3193405904533629E-3</c:v>
                </c:pt>
                <c:pt idx="60">
                  <c:v>2.3266681151155435E-3</c:v>
                </c:pt>
                <c:pt idx="61">
                  <c:v>2.3291106233362703E-3</c:v>
                </c:pt>
                <c:pt idx="62">
                  <c:v>2.3315531315569972E-3</c:v>
                </c:pt>
                <c:pt idx="63">
                  <c:v>2.333995639777724E-3</c:v>
                </c:pt>
                <c:pt idx="64">
                  <c:v>2.3364381479984509E-3</c:v>
                </c:pt>
                <c:pt idx="65">
                  <c:v>2.3437656726606314E-3</c:v>
                </c:pt>
                <c:pt idx="66">
                  <c:v>2.3462081808813583E-3</c:v>
                </c:pt>
                <c:pt idx="67">
                  <c:v>2.3486506891020852E-3</c:v>
                </c:pt>
                <c:pt idx="68">
                  <c:v>2.351093197322812E-3</c:v>
                </c:pt>
                <c:pt idx="69">
                  <c:v>2.3535357055435389E-3</c:v>
                </c:pt>
                <c:pt idx="70">
                  <c:v>2.3608632302057194E-3</c:v>
                </c:pt>
                <c:pt idx="71">
                  <c:v>2.3633057384264463E-3</c:v>
                </c:pt>
                <c:pt idx="72">
                  <c:v>2.3657482466471732E-3</c:v>
                </c:pt>
                <c:pt idx="73">
                  <c:v>2.3681907548679E-3</c:v>
                </c:pt>
                <c:pt idx="74">
                  <c:v>2.3804032959715343E-3</c:v>
                </c:pt>
                <c:pt idx="75">
                  <c:v>2.3828458041922611E-3</c:v>
                </c:pt>
                <c:pt idx="76">
                  <c:v>2.385288312412988E-3</c:v>
                </c:pt>
                <c:pt idx="77">
                  <c:v>2.3877308206337149E-3</c:v>
                </c:pt>
                <c:pt idx="78">
                  <c:v>2.3950583452958954E-3</c:v>
                </c:pt>
                <c:pt idx="79">
                  <c:v>2.3975008535166223E-3</c:v>
                </c:pt>
                <c:pt idx="80">
                  <c:v>2.3999433617373491E-3</c:v>
                </c:pt>
                <c:pt idx="81">
                  <c:v>2.402385869958076E-3</c:v>
                </c:pt>
                <c:pt idx="82">
                  <c:v>2.4048283781788033E-3</c:v>
                </c:pt>
                <c:pt idx="83">
                  <c:v>2.4145984110617107E-3</c:v>
                </c:pt>
                <c:pt idx="84">
                  <c:v>2.4170409192824376E-3</c:v>
                </c:pt>
                <c:pt idx="85">
                  <c:v>2.4194834275031644E-3</c:v>
                </c:pt>
                <c:pt idx="86">
                  <c:v>2.4219259357238913E-3</c:v>
                </c:pt>
                <c:pt idx="87">
                  <c:v>2.4292534603860719E-3</c:v>
                </c:pt>
                <c:pt idx="88">
                  <c:v>2.4316959686067987E-3</c:v>
                </c:pt>
                <c:pt idx="89">
                  <c:v>2.4341384768275256E-3</c:v>
                </c:pt>
                <c:pt idx="90">
                  <c:v>2.4365809850482524E-3</c:v>
                </c:pt>
                <c:pt idx="91">
                  <c:v>2.4390234932689793E-3</c:v>
                </c:pt>
                <c:pt idx="92">
                  <c:v>2.4463510179311598E-3</c:v>
                </c:pt>
                <c:pt idx="93">
                  <c:v>2.4487935261518867E-3</c:v>
                </c:pt>
                <c:pt idx="94">
                  <c:v>2.4512360343726136E-3</c:v>
                </c:pt>
                <c:pt idx="95">
                  <c:v>2.4536785425933404E-3</c:v>
                </c:pt>
                <c:pt idx="96">
                  <c:v>2.4561210508140673E-3</c:v>
                </c:pt>
                <c:pt idx="97">
                  <c:v>2.4634485754762478E-3</c:v>
                </c:pt>
                <c:pt idx="98">
                  <c:v>2.4658910836969747E-3</c:v>
                </c:pt>
                <c:pt idx="99">
                  <c:v>2.4683335919177016E-3</c:v>
                </c:pt>
                <c:pt idx="100">
                  <c:v>2.4707761001384284E-3</c:v>
                </c:pt>
                <c:pt idx="101">
                  <c:v>2.4732186083591553E-3</c:v>
                </c:pt>
                <c:pt idx="102">
                  <c:v>2.4805461330213358E-3</c:v>
                </c:pt>
                <c:pt idx="103">
                  <c:v>2.4829886412420627E-3</c:v>
                </c:pt>
                <c:pt idx="104">
                  <c:v>2.4854311494627896E-3</c:v>
                </c:pt>
                <c:pt idx="105">
                  <c:v>2.4878736576835164E-3</c:v>
                </c:pt>
                <c:pt idx="106">
                  <c:v>2.4903161659042433E-3</c:v>
                </c:pt>
                <c:pt idx="107">
                  <c:v>2.4976436905664238E-3</c:v>
                </c:pt>
                <c:pt idx="108">
                  <c:v>2.5000861987871511E-3</c:v>
                </c:pt>
                <c:pt idx="109">
                  <c:v>2.502528707007878E-3</c:v>
                </c:pt>
                <c:pt idx="110">
                  <c:v>2.5049712152286048E-3</c:v>
                </c:pt>
                <c:pt idx="111">
                  <c:v>2.5074137234493317E-3</c:v>
                </c:pt>
                <c:pt idx="112">
                  <c:v>2.5147412481115123E-3</c:v>
                </c:pt>
                <c:pt idx="113">
                  <c:v>2.5171837563322391E-3</c:v>
                </c:pt>
                <c:pt idx="114">
                  <c:v>2.519626264552966E-3</c:v>
                </c:pt>
                <c:pt idx="115">
                  <c:v>2.5220687727736928E-3</c:v>
                </c:pt>
                <c:pt idx="116">
                  <c:v>2.5245112809944197E-3</c:v>
                </c:pt>
                <c:pt idx="117">
                  <c:v>2.5318388056566003E-3</c:v>
                </c:pt>
                <c:pt idx="118">
                  <c:v>2.5342813138773271E-3</c:v>
                </c:pt>
                <c:pt idx="119">
                  <c:v>2.536723822098054E-3</c:v>
                </c:pt>
                <c:pt idx="120">
                  <c:v>2.5391663303187808E-3</c:v>
                </c:pt>
                <c:pt idx="121">
                  <c:v>2.5416088385395077E-3</c:v>
                </c:pt>
                <c:pt idx="122">
                  <c:v>2.5489363632016883E-3</c:v>
                </c:pt>
                <c:pt idx="123">
                  <c:v>2.5513788714224151E-3</c:v>
                </c:pt>
                <c:pt idx="124">
                  <c:v>2.553821379643142E-3</c:v>
                </c:pt>
                <c:pt idx="125">
                  <c:v>2.5562638878638688E-3</c:v>
                </c:pt>
                <c:pt idx="126">
                  <c:v>2.5587063960845957E-3</c:v>
                </c:pt>
                <c:pt idx="127">
                  <c:v>2.5660339207467762E-3</c:v>
                </c:pt>
                <c:pt idx="128">
                  <c:v>2.5684764289675031E-3</c:v>
                </c:pt>
                <c:pt idx="129">
                  <c:v>2.57091893718823E-3</c:v>
                </c:pt>
                <c:pt idx="130">
                  <c:v>2.5733614454089568E-3</c:v>
                </c:pt>
                <c:pt idx="131">
                  <c:v>2.5758039536296837E-3</c:v>
                </c:pt>
                <c:pt idx="132">
                  <c:v>2.5831314782918642E-3</c:v>
                </c:pt>
                <c:pt idx="133">
                  <c:v>2.5855739865125911E-3</c:v>
                </c:pt>
                <c:pt idx="134">
                  <c:v>2.588016494733318E-3</c:v>
                </c:pt>
                <c:pt idx="135">
                  <c:v>2.5904590029540448E-3</c:v>
                </c:pt>
                <c:pt idx="136">
                  <c:v>2.5929015111747717E-3</c:v>
                </c:pt>
                <c:pt idx="137">
                  <c:v>2.6002290358369522E-3</c:v>
                </c:pt>
                <c:pt idx="138">
                  <c:v>2.6026715440576791E-3</c:v>
                </c:pt>
                <c:pt idx="139">
                  <c:v>2.605114052278406E-3</c:v>
                </c:pt>
                <c:pt idx="140">
                  <c:v>2.6075565604991328E-3</c:v>
                </c:pt>
                <c:pt idx="141">
                  <c:v>2.6099990687198597E-3</c:v>
                </c:pt>
                <c:pt idx="142">
                  <c:v>2.6173265933820402E-3</c:v>
                </c:pt>
                <c:pt idx="143">
                  <c:v>2.6197691016027671E-3</c:v>
                </c:pt>
                <c:pt idx="144">
                  <c:v>2.6222116098234939E-3</c:v>
                </c:pt>
                <c:pt idx="145">
                  <c:v>2.6246541180442208E-3</c:v>
                </c:pt>
                <c:pt idx="146">
                  <c:v>2.6270966262649477E-3</c:v>
                </c:pt>
                <c:pt idx="147">
                  <c:v>2.6344241509271287E-3</c:v>
                </c:pt>
                <c:pt idx="148">
                  <c:v>2.6368666591478555E-3</c:v>
                </c:pt>
                <c:pt idx="149">
                  <c:v>2.6393091673685824E-3</c:v>
                </c:pt>
                <c:pt idx="150">
                  <c:v>2.6417516755893092E-3</c:v>
                </c:pt>
                <c:pt idx="151">
                  <c:v>2.6441941838100361E-3</c:v>
                </c:pt>
                <c:pt idx="152">
                  <c:v>2.6515217084722167E-3</c:v>
                </c:pt>
                <c:pt idx="153">
                  <c:v>2.6539642166929435E-3</c:v>
                </c:pt>
                <c:pt idx="154">
                  <c:v>2.6564067249136704E-3</c:v>
                </c:pt>
                <c:pt idx="155">
                  <c:v>2.6588492331343972E-3</c:v>
                </c:pt>
                <c:pt idx="156">
                  <c:v>2.6612917413551241E-3</c:v>
                </c:pt>
                <c:pt idx="157">
                  <c:v>2.6686192660173047E-3</c:v>
                </c:pt>
                <c:pt idx="158">
                  <c:v>2.6710617742380315E-3</c:v>
                </c:pt>
                <c:pt idx="159">
                  <c:v>2.6735042824587584E-3</c:v>
                </c:pt>
                <c:pt idx="160">
                  <c:v>2.6759467906794852E-3</c:v>
                </c:pt>
                <c:pt idx="161">
                  <c:v>2.6783892989002121E-3</c:v>
                </c:pt>
                <c:pt idx="162">
                  <c:v>2.6857168235623926E-3</c:v>
                </c:pt>
                <c:pt idx="163">
                  <c:v>2.6881593317831195E-3</c:v>
                </c:pt>
                <c:pt idx="164">
                  <c:v>2.6906018400038464E-3</c:v>
                </c:pt>
                <c:pt idx="165">
                  <c:v>2.6930443482245732E-3</c:v>
                </c:pt>
                <c:pt idx="166">
                  <c:v>2.6954868564453001E-3</c:v>
                </c:pt>
                <c:pt idx="167">
                  <c:v>2.7028143811074806E-3</c:v>
                </c:pt>
                <c:pt idx="168">
                  <c:v>2.7052568893282075E-3</c:v>
                </c:pt>
                <c:pt idx="169">
                  <c:v>2.7076993975489344E-3</c:v>
                </c:pt>
                <c:pt idx="170">
                  <c:v>2.7101419057696612E-3</c:v>
                </c:pt>
                <c:pt idx="171">
                  <c:v>2.7125844139903885E-3</c:v>
                </c:pt>
                <c:pt idx="172">
                  <c:v>2.7199119386525691E-3</c:v>
                </c:pt>
                <c:pt idx="173">
                  <c:v>2.7223544468732959E-3</c:v>
                </c:pt>
                <c:pt idx="174">
                  <c:v>2.7247969550940228E-3</c:v>
                </c:pt>
                <c:pt idx="175">
                  <c:v>2.7272394633147496E-3</c:v>
                </c:pt>
                <c:pt idx="176">
                  <c:v>2.7296819715354765E-3</c:v>
                </c:pt>
                <c:pt idx="177">
                  <c:v>2.7370094961976571E-3</c:v>
                </c:pt>
                <c:pt idx="178">
                  <c:v>2.7394520044183839E-3</c:v>
                </c:pt>
                <c:pt idx="179">
                  <c:v>2.7418945126391108E-3</c:v>
                </c:pt>
                <c:pt idx="180">
                  <c:v>2.7443370208598376E-3</c:v>
                </c:pt>
                <c:pt idx="181">
                  <c:v>2.7467795290805645E-3</c:v>
                </c:pt>
                <c:pt idx="182">
                  <c:v>2.7541070537427451E-3</c:v>
                </c:pt>
                <c:pt idx="183">
                  <c:v>2.7565495619634719E-3</c:v>
                </c:pt>
                <c:pt idx="184">
                  <c:v>2.7589920701841988E-3</c:v>
                </c:pt>
                <c:pt idx="185">
                  <c:v>2.7614345784049256E-3</c:v>
                </c:pt>
                <c:pt idx="186">
                  <c:v>2.7638770866256525E-3</c:v>
                </c:pt>
                <c:pt idx="187">
                  <c:v>2.7712046112878331E-3</c:v>
                </c:pt>
                <c:pt idx="188">
                  <c:v>2.7736471195085599E-3</c:v>
                </c:pt>
                <c:pt idx="189">
                  <c:v>2.7760896277292868E-3</c:v>
                </c:pt>
                <c:pt idx="190">
                  <c:v>2.7785321359500136E-3</c:v>
                </c:pt>
                <c:pt idx="191">
                  <c:v>2.7809746441707405E-3</c:v>
                </c:pt>
                <c:pt idx="192">
                  <c:v>2.788302168832921E-3</c:v>
                </c:pt>
                <c:pt idx="193">
                  <c:v>2.7907446770536479E-3</c:v>
                </c:pt>
                <c:pt idx="194">
                  <c:v>2.7931871852743748E-3</c:v>
                </c:pt>
                <c:pt idx="195">
                  <c:v>2.7956296934951016E-3</c:v>
                </c:pt>
                <c:pt idx="196">
                  <c:v>2.7980722017158285E-3</c:v>
                </c:pt>
                <c:pt idx="197">
                  <c:v>2.805399726378009E-3</c:v>
                </c:pt>
                <c:pt idx="198">
                  <c:v>2.8078422345987359E-3</c:v>
                </c:pt>
                <c:pt idx="199">
                  <c:v>2.8102847428194628E-3</c:v>
                </c:pt>
                <c:pt idx="200">
                  <c:v>2.8127272510401896E-3</c:v>
                </c:pt>
                <c:pt idx="201">
                  <c:v>2.8151697592609165E-3</c:v>
                </c:pt>
                <c:pt idx="202">
                  <c:v>2.822497283923097E-3</c:v>
                </c:pt>
                <c:pt idx="203">
                  <c:v>2.8249397921438239E-3</c:v>
                </c:pt>
                <c:pt idx="204">
                  <c:v>2.8273823003645508E-3</c:v>
                </c:pt>
                <c:pt idx="205">
                  <c:v>2.8298248085852776E-3</c:v>
                </c:pt>
                <c:pt idx="206">
                  <c:v>2.8322673168060045E-3</c:v>
                </c:pt>
                <c:pt idx="207">
                  <c:v>2.839594841468185E-3</c:v>
                </c:pt>
                <c:pt idx="208">
                  <c:v>2.8420373496889119E-3</c:v>
                </c:pt>
                <c:pt idx="209">
                  <c:v>2.8444798579096387E-3</c:v>
                </c:pt>
                <c:pt idx="210">
                  <c:v>2.8469223661303656E-3</c:v>
                </c:pt>
                <c:pt idx="211">
                  <c:v>2.8493648743510925E-3</c:v>
                </c:pt>
                <c:pt idx="212">
                  <c:v>2.8566923990132735E-3</c:v>
                </c:pt>
                <c:pt idx="213">
                  <c:v>2.8591349072340003E-3</c:v>
                </c:pt>
                <c:pt idx="214">
                  <c:v>2.8615774154547272E-3</c:v>
                </c:pt>
                <c:pt idx="215">
                  <c:v>2.864019923675454E-3</c:v>
                </c:pt>
                <c:pt idx="216">
                  <c:v>2.8664624318961809E-3</c:v>
                </c:pt>
                <c:pt idx="217">
                  <c:v>2.8737899565583615E-3</c:v>
                </c:pt>
                <c:pt idx="218">
                  <c:v>2.8762324647790883E-3</c:v>
                </c:pt>
                <c:pt idx="219">
                  <c:v>2.8786749729998152E-3</c:v>
                </c:pt>
                <c:pt idx="220">
                  <c:v>2.881117481220542E-3</c:v>
                </c:pt>
                <c:pt idx="221">
                  <c:v>2.8835599894412689E-3</c:v>
                </c:pt>
                <c:pt idx="222">
                  <c:v>2.8908875141034495E-3</c:v>
                </c:pt>
                <c:pt idx="223">
                  <c:v>2.8933300223241763E-3</c:v>
                </c:pt>
                <c:pt idx="224">
                  <c:v>2.8957725305449032E-3</c:v>
                </c:pt>
                <c:pt idx="225">
                  <c:v>2.89821503876563E-3</c:v>
                </c:pt>
                <c:pt idx="226">
                  <c:v>2.9006575469863569E-3</c:v>
                </c:pt>
                <c:pt idx="227">
                  <c:v>2.9079850716485374E-3</c:v>
                </c:pt>
                <c:pt idx="228">
                  <c:v>2.9104275798692643E-3</c:v>
                </c:pt>
                <c:pt idx="229">
                  <c:v>2.9128700880899912E-3</c:v>
                </c:pt>
                <c:pt idx="230">
                  <c:v>2.915312596310718E-3</c:v>
                </c:pt>
                <c:pt idx="231">
                  <c:v>2.9177551045314449E-3</c:v>
                </c:pt>
                <c:pt idx="232">
                  <c:v>2.9250826291936254E-3</c:v>
                </c:pt>
                <c:pt idx="233">
                  <c:v>2.9275251374143523E-3</c:v>
                </c:pt>
                <c:pt idx="234">
                  <c:v>2.9299676456350792E-3</c:v>
                </c:pt>
                <c:pt idx="235">
                  <c:v>2.9324101538558064E-3</c:v>
                </c:pt>
                <c:pt idx="236">
                  <c:v>2.9348526620765333E-3</c:v>
                </c:pt>
                <c:pt idx="237">
                  <c:v>2.9421801867387139E-3</c:v>
                </c:pt>
                <c:pt idx="238">
                  <c:v>2.9446226949594407E-3</c:v>
                </c:pt>
                <c:pt idx="239">
                  <c:v>2.9470652031801676E-3</c:v>
                </c:pt>
                <c:pt idx="240">
                  <c:v>2.9495077114008944E-3</c:v>
                </c:pt>
                <c:pt idx="241">
                  <c:v>2.9519502196216213E-3</c:v>
                </c:pt>
                <c:pt idx="242">
                  <c:v>2.9592777442838019E-3</c:v>
                </c:pt>
                <c:pt idx="243">
                  <c:v>2.9617202525045287E-3</c:v>
                </c:pt>
                <c:pt idx="244">
                  <c:v>2.9641627607252556E-3</c:v>
                </c:pt>
                <c:pt idx="245">
                  <c:v>2.9666052689459824E-3</c:v>
                </c:pt>
                <c:pt idx="246">
                  <c:v>2.9690477771667093E-3</c:v>
                </c:pt>
                <c:pt idx="247">
                  <c:v>2.9763753018288899E-3</c:v>
                </c:pt>
                <c:pt idx="248">
                  <c:v>2.9788178100496167E-3</c:v>
                </c:pt>
                <c:pt idx="249">
                  <c:v>2.9812603182703436E-3</c:v>
                </c:pt>
                <c:pt idx="250">
                  <c:v>2.9837028264910704E-3</c:v>
                </c:pt>
                <c:pt idx="251">
                  <c:v>2.9861453347117973E-3</c:v>
                </c:pt>
                <c:pt idx="252">
                  <c:v>2.9983578758154316E-3</c:v>
                </c:pt>
                <c:pt idx="253">
                  <c:v>3.0008003840361584E-3</c:v>
                </c:pt>
                <c:pt idx="254">
                  <c:v>3.0032428922568853E-3</c:v>
                </c:pt>
                <c:pt idx="255">
                  <c:v>3.0130129251397927E-3</c:v>
                </c:pt>
                <c:pt idx="256">
                  <c:v>3.0154554333605196E-3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  <c:pt idx="130">
                  <c:v>42922</c:v>
                </c:pt>
                <c:pt idx="131">
                  <c:v>42923</c:v>
                </c:pt>
                <c:pt idx="132">
                  <c:v>42926</c:v>
                </c:pt>
                <c:pt idx="133">
                  <c:v>42927</c:v>
                </c:pt>
                <c:pt idx="134">
                  <c:v>42928</c:v>
                </c:pt>
                <c:pt idx="135">
                  <c:v>42929</c:v>
                </c:pt>
                <c:pt idx="136">
                  <c:v>42930</c:v>
                </c:pt>
                <c:pt idx="137">
                  <c:v>42933</c:v>
                </c:pt>
                <c:pt idx="138">
                  <c:v>42934</c:v>
                </c:pt>
                <c:pt idx="139">
                  <c:v>42935</c:v>
                </c:pt>
                <c:pt idx="140">
                  <c:v>42936</c:v>
                </c:pt>
                <c:pt idx="141">
                  <c:v>42937</c:v>
                </c:pt>
                <c:pt idx="142">
                  <c:v>42940</c:v>
                </c:pt>
                <c:pt idx="143">
                  <c:v>42941</c:v>
                </c:pt>
                <c:pt idx="144">
                  <c:v>42942</c:v>
                </c:pt>
                <c:pt idx="145">
                  <c:v>42943</c:v>
                </c:pt>
                <c:pt idx="146">
                  <c:v>42944</c:v>
                </c:pt>
                <c:pt idx="147">
                  <c:v>42947</c:v>
                </c:pt>
                <c:pt idx="148">
                  <c:v>42948</c:v>
                </c:pt>
                <c:pt idx="149">
                  <c:v>42949</c:v>
                </c:pt>
                <c:pt idx="150">
                  <c:v>42950</c:v>
                </c:pt>
                <c:pt idx="151">
                  <c:v>42951</c:v>
                </c:pt>
                <c:pt idx="152">
                  <c:v>42954</c:v>
                </c:pt>
                <c:pt idx="153">
                  <c:v>42955</c:v>
                </c:pt>
                <c:pt idx="154">
                  <c:v>42956</c:v>
                </c:pt>
                <c:pt idx="155">
                  <c:v>42957</c:v>
                </c:pt>
                <c:pt idx="156">
                  <c:v>42958</c:v>
                </c:pt>
                <c:pt idx="157">
                  <c:v>42961</c:v>
                </c:pt>
                <c:pt idx="158">
                  <c:v>42962</c:v>
                </c:pt>
                <c:pt idx="159">
                  <c:v>42963</c:v>
                </c:pt>
                <c:pt idx="160">
                  <c:v>42964</c:v>
                </c:pt>
                <c:pt idx="161">
                  <c:v>42965</c:v>
                </c:pt>
                <c:pt idx="162">
                  <c:v>42968</c:v>
                </c:pt>
                <c:pt idx="163">
                  <c:v>42969</c:v>
                </c:pt>
                <c:pt idx="164">
                  <c:v>42970</c:v>
                </c:pt>
                <c:pt idx="165">
                  <c:v>42971</c:v>
                </c:pt>
                <c:pt idx="166">
                  <c:v>42972</c:v>
                </c:pt>
                <c:pt idx="167">
                  <c:v>42975</c:v>
                </c:pt>
                <c:pt idx="168">
                  <c:v>42976</c:v>
                </c:pt>
                <c:pt idx="169">
                  <c:v>42977</c:v>
                </c:pt>
                <c:pt idx="170">
                  <c:v>42978</c:v>
                </c:pt>
                <c:pt idx="171">
                  <c:v>42979</c:v>
                </c:pt>
                <c:pt idx="172">
                  <c:v>42982</c:v>
                </c:pt>
                <c:pt idx="173">
                  <c:v>42983</c:v>
                </c:pt>
                <c:pt idx="174">
                  <c:v>42984</c:v>
                </c:pt>
                <c:pt idx="175">
                  <c:v>42985</c:v>
                </c:pt>
                <c:pt idx="176">
                  <c:v>42986</c:v>
                </c:pt>
                <c:pt idx="177">
                  <c:v>42989</c:v>
                </c:pt>
                <c:pt idx="178">
                  <c:v>42990</c:v>
                </c:pt>
                <c:pt idx="179">
                  <c:v>42991</c:v>
                </c:pt>
                <c:pt idx="180">
                  <c:v>42992</c:v>
                </c:pt>
                <c:pt idx="181">
                  <c:v>42993</c:v>
                </c:pt>
                <c:pt idx="182">
                  <c:v>42996</c:v>
                </c:pt>
                <c:pt idx="183">
                  <c:v>42997</c:v>
                </c:pt>
                <c:pt idx="184">
                  <c:v>42998</c:v>
                </c:pt>
                <c:pt idx="185">
                  <c:v>42999</c:v>
                </c:pt>
                <c:pt idx="186">
                  <c:v>43000</c:v>
                </c:pt>
                <c:pt idx="187">
                  <c:v>43003</c:v>
                </c:pt>
                <c:pt idx="188">
                  <c:v>43004</c:v>
                </c:pt>
                <c:pt idx="189">
                  <c:v>43005</c:v>
                </c:pt>
                <c:pt idx="190">
                  <c:v>43006</c:v>
                </c:pt>
                <c:pt idx="191">
                  <c:v>43007</c:v>
                </c:pt>
                <c:pt idx="192">
                  <c:v>43010</c:v>
                </c:pt>
                <c:pt idx="193">
                  <c:v>43011</c:v>
                </c:pt>
                <c:pt idx="194">
                  <c:v>43012</c:v>
                </c:pt>
                <c:pt idx="195">
                  <c:v>43013</c:v>
                </c:pt>
                <c:pt idx="196">
                  <c:v>43014</c:v>
                </c:pt>
                <c:pt idx="197">
                  <c:v>43017</c:v>
                </c:pt>
                <c:pt idx="198">
                  <c:v>43018</c:v>
                </c:pt>
                <c:pt idx="199">
                  <c:v>43019</c:v>
                </c:pt>
                <c:pt idx="200">
                  <c:v>43020</c:v>
                </c:pt>
                <c:pt idx="201">
                  <c:v>43021</c:v>
                </c:pt>
                <c:pt idx="202">
                  <c:v>43024</c:v>
                </c:pt>
                <c:pt idx="203">
                  <c:v>43025</c:v>
                </c:pt>
                <c:pt idx="204">
                  <c:v>43026</c:v>
                </c:pt>
                <c:pt idx="205">
                  <c:v>43027</c:v>
                </c:pt>
                <c:pt idx="206">
                  <c:v>43028</c:v>
                </c:pt>
                <c:pt idx="207">
                  <c:v>43031</c:v>
                </c:pt>
                <c:pt idx="208">
                  <c:v>43032</c:v>
                </c:pt>
                <c:pt idx="209">
                  <c:v>43033</c:v>
                </c:pt>
                <c:pt idx="210">
                  <c:v>43034</c:v>
                </c:pt>
                <c:pt idx="211">
                  <c:v>43035</c:v>
                </c:pt>
                <c:pt idx="212">
                  <c:v>43038</c:v>
                </c:pt>
                <c:pt idx="213">
                  <c:v>43039</c:v>
                </c:pt>
                <c:pt idx="214">
                  <c:v>43040</c:v>
                </c:pt>
                <c:pt idx="215">
                  <c:v>43041</c:v>
                </c:pt>
                <c:pt idx="216">
                  <c:v>43042</c:v>
                </c:pt>
                <c:pt idx="217">
                  <c:v>43045</c:v>
                </c:pt>
                <c:pt idx="218">
                  <c:v>43046</c:v>
                </c:pt>
                <c:pt idx="219">
                  <c:v>43047</c:v>
                </c:pt>
                <c:pt idx="220">
                  <c:v>43048</c:v>
                </c:pt>
                <c:pt idx="221">
                  <c:v>43049</c:v>
                </c:pt>
                <c:pt idx="222">
                  <c:v>43052</c:v>
                </c:pt>
                <c:pt idx="223">
                  <c:v>43053</c:v>
                </c:pt>
                <c:pt idx="224">
                  <c:v>43054</c:v>
                </c:pt>
                <c:pt idx="225">
                  <c:v>43055</c:v>
                </c:pt>
                <c:pt idx="226">
                  <c:v>43056</c:v>
                </c:pt>
                <c:pt idx="227">
                  <c:v>43059</c:v>
                </c:pt>
                <c:pt idx="228">
                  <c:v>43060</c:v>
                </c:pt>
                <c:pt idx="229">
                  <c:v>43061</c:v>
                </c:pt>
                <c:pt idx="230">
                  <c:v>43062</c:v>
                </c:pt>
                <c:pt idx="231">
                  <c:v>43063</c:v>
                </c:pt>
                <c:pt idx="232">
                  <c:v>43066</c:v>
                </c:pt>
                <c:pt idx="233">
                  <c:v>43067</c:v>
                </c:pt>
                <c:pt idx="234">
                  <c:v>43068</c:v>
                </c:pt>
                <c:pt idx="235">
                  <c:v>43069</c:v>
                </c:pt>
                <c:pt idx="236">
                  <c:v>43070</c:v>
                </c:pt>
                <c:pt idx="237">
                  <c:v>43073</c:v>
                </c:pt>
                <c:pt idx="238">
                  <c:v>43074</c:v>
                </c:pt>
                <c:pt idx="239">
                  <c:v>43075</c:v>
                </c:pt>
                <c:pt idx="240">
                  <c:v>43076</c:v>
                </c:pt>
                <c:pt idx="241">
                  <c:v>43077</c:v>
                </c:pt>
                <c:pt idx="242">
                  <c:v>43080</c:v>
                </c:pt>
                <c:pt idx="243">
                  <c:v>43081</c:v>
                </c:pt>
                <c:pt idx="244">
                  <c:v>43082</c:v>
                </c:pt>
                <c:pt idx="245">
                  <c:v>43083</c:v>
                </c:pt>
                <c:pt idx="246">
                  <c:v>43084</c:v>
                </c:pt>
                <c:pt idx="247">
                  <c:v>43087</c:v>
                </c:pt>
                <c:pt idx="248">
                  <c:v>43088</c:v>
                </c:pt>
                <c:pt idx="249">
                  <c:v>43089</c:v>
                </c:pt>
                <c:pt idx="250">
                  <c:v>43090</c:v>
                </c:pt>
                <c:pt idx="251">
                  <c:v>43091</c:v>
                </c:pt>
                <c:pt idx="252">
                  <c:v>43096</c:v>
                </c:pt>
                <c:pt idx="253">
                  <c:v>43097</c:v>
                </c:pt>
                <c:pt idx="254">
                  <c:v>43098</c:v>
                </c:pt>
                <c:pt idx="255">
                  <c:v>43102</c:v>
                </c:pt>
                <c:pt idx="256">
                  <c:v>43103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2.1236201337459862E-3</c:v>
                </c:pt>
                <c:pt idx="1">
                  <c:v>2.1260325479262963E-3</c:v>
                </c:pt>
                <c:pt idx="2">
                  <c:v>2.1284451144814947E-3</c:v>
                </c:pt>
                <c:pt idx="3">
                  <c:v>2.1308578334115814E-3</c:v>
                </c:pt>
                <c:pt idx="4">
                  <c:v>2.1332707047165564E-3</c:v>
                </c:pt>
                <c:pt idx="5">
                  <c:v>2.1405102328808101E-3</c:v>
                </c:pt>
                <c:pt idx="6">
                  <c:v>2.142923713685338E-3</c:v>
                </c:pt>
                <c:pt idx="7">
                  <c:v>2.1453373468647533E-3</c:v>
                </c:pt>
                <c:pt idx="8">
                  <c:v>2.1477511324190573E-3</c:v>
                </c:pt>
                <c:pt idx="9">
                  <c:v>2.1501650703482497E-3</c:v>
                </c:pt>
                <c:pt idx="10">
                  <c:v>2.1574077983851554E-3</c:v>
                </c:pt>
                <c:pt idx="11">
                  <c:v>2.1598223458139001E-3</c:v>
                </c:pt>
                <c:pt idx="12">
                  <c:v>2.1622370456175332E-3</c:v>
                </c:pt>
                <c:pt idx="13">
                  <c:v>2.1646518977960546E-3</c:v>
                </c:pt>
                <c:pt idx="14">
                  <c:v>2.1670669023494639E-3</c:v>
                </c:pt>
                <c:pt idx="15">
                  <c:v>2.1743128302590211E-3</c:v>
                </c:pt>
                <c:pt idx="16">
                  <c:v>2.1767284443119832E-3</c:v>
                </c:pt>
                <c:pt idx="17">
                  <c:v>2.179144210739834E-3</c:v>
                </c:pt>
                <c:pt idx="18">
                  <c:v>2.1815601295425728E-3</c:v>
                </c:pt>
                <c:pt idx="19">
                  <c:v>2.1839762007201994E-3</c:v>
                </c:pt>
                <c:pt idx="20">
                  <c:v>2.1912253285024086E-3</c:v>
                </c:pt>
                <c:pt idx="21">
                  <c:v>2.1936420091795881E-3</c:v>
                </c:pt>
                <c:pt idx="22">
                  <c:v>2.1960588422316554E-3</c:v>
                </c:pt>
                <c:pt idx="23">
                  <c:v>2.1984758276586114E-3</c:v>
                </c:pt>
                <c:pt idx="24">
                  <c:v>2.2008929654604558E-3</c:v>
                </c:pt>
                <c:pt idx="25">
                  <c:v>2.2081452931153171E-3</c:v>
                </c:pt>
                <c:pt idx="26">
                  <c:v>2.2105630404167138E-3</c:v>
                </c:pt>
                <c:pt idx="27">
                  <c:v>2.2129809400929985E-3</c:v>
                </c:pt>
                <c:pt idx="28">
                  <c:v>2.2153989921441719E-3</c:v>
                </c:pt>
                <c:pt idx="29">
                  <c:v>2.2178171965702331E-3</c:v>
                </c:pt>
                <c:pt idx="30">
                  <c:v>2.2250727240977464E-3</c:v>
                </c:pt>
                <c:pt idx="31">
                  <c:v>2.2274915380233605E-3</c:v>
                </c:pt>
                <c:pt idx="32">
                  <c:v>2.2299105043238629E-3</c:v>
                </c:pt>
                <c:pt idx="33">
                  <c:v>2.2323296229992532E-3</c:v>
                </c:pt>
                <c:pt idx="34">
                  <c:v>2.2347488940495318E-3</c:v>
                </c:pt>
                <c:pt idx="35">
                  <c:v>2.2420076214496967E-3</c:v>
                </c:pt>
                <c:pt idx="36">
                  <c:v>2.2444275019995285E-3</c:v>
                </c:pt>
                <c:pt idx="37">
                  <c:v>2.2468475349242483E-3</c:v>
                </c:pt>
                <c:pt idx="38">
                  <c:v>2.2492677202238559E-3</c:v>
                </c:pt>
                <c:pt idx="39">
                  <c:v>2.2516880578983519E-3</c:v>
                </c:pt>
                <c:pt idx="40">
                  <c:v>2.2589499851711687E-3</c:v>
                </c:pt>
                <c:pt idx="41">
                  <c:v>2.261370932345217E-3</c:v>
                </c:pt>
                <c:pt idx="42">
                  <c:v>2.2637920318941541E-3</c:v>
                </c:pt>
                <c:pt idx="43">
                  <c:v>2.2662132838179795E-3</c:v>
                </c:pt>
                <c:pt idx="44">
                  <c:v>2.2686346881166928E-3</c:v>
                </c:pt>
                <c:pt idx="45">
                  <c:v>2.2758998152621617E-3</c:v>
                </c:pt>
                <c:pt idx="46">
                  <c:v>2.2783218290604273E-3</c:v>
                </c:pt>
                <c:pt idx="47">
                  <c:v>2.2807439952335818E-3</c:v>
                </c:pt>
                <c:pt idx="48">
                  <c:v>2.283166313781624E-3</c:v>
                </c:pt>
                <c:pt idx="49">
                  <c:v>2.2855887847045542E-3</c:v>
                </c:pt>
                <c:pt idx="50">
                  <c:v>2.2928571117226755E-3</c:v>
                </c:pt>
                <c:pt idx="51">
                  <c:v>2.2952801921451585E-3</c:v>
                </c:pt>
                <c:pt idx="52">
                  <c:v>2.2977034249425303E-3</c:v>
                </c:pt>
                <c:pt idx="53">
                  <c:v>2.3001268101147899E-3</c:v>
                </c:pt>
                <c:pt idx="54">
                  <c:v>2.3025503476619374E-3</c:v>
                </c:pt>
                <c:pt idx="55">
                  <c:v>2.3098218745527107E-3</c:v>
                </c:pt>
                <c:pt idx="56">
                  <c:v>2.3122460215994111E-3</c:v>
                </c:pt>
                <c:pt idx="57">
                  <c:v>2.3146703210209997E-3</c:v>
                </c:pt>
                <c:pt idx="58">
                  <c:v>2.3170947728174767E-3</c:v>
                </c:pt>
                <c:pt idx="59">
                  <c:v>2.319519376988842E-3</c:v>
                </c:pt>
                <c:pt idx="60">
                  <c:v>2.3267941037522664E-3</c:v>
                </c:pt>
                <c:pt idx="61">
                  <c:v>2.3292193174231841E-3</c:v>
                </c:pt>
                <c:pt idx="62">
                  <c:v>2.3316446834689905E-3</c:v>
                </c:pt>
                <c:pt idx="63">
                  <c:v>2.3340702018896848E-3</c:v>
                </c:pt>
                <c:pt idx="64">
                  <c:v>2.3364958726852674E-3</c:v>
                </c:pt>
                <c:pt idx="65">
                  <c:v>2.3437737993213439E-3</c:v>
                </c:pt>
                <c:pt idx="66">
                  <c:v>2.3462000796164789E-3</c:v>
                </c:pt>
                <c:pt idx="67">
                  <c:v>2.3486265122865022E-3</c:v>
                </c:pt>
                <c:pt idx="68">
                  <c:v>2.3510530973314138E-3</c:v>
                </c:pt>
                <c:pt idx="69">
                  <c:v>2.3534798347512138E-3</c:v>
                </c:pt>
                <c:pt idx="70">
                  <c:v>2.3607609612599422E-3</c:v>
                </c:pt>
                <c:pt idx="71">
                  <c:v>2.3631883081792946E-3</c:v>
                </c:pt>
                <c:pt idx="72">
                  <c:v>2.3656158074735353E-3</c:v>
                </c:pt>
                <c:pt idx="73">
                  <c:v>2.3680434591426642E-3</c:v>
                </c:pt>
                <c:pt idx="74">
                  <c:v>2.3801840031116316E-3</c:v>
                </c:pt>
                <c:pt idx="75">
                  <c:v>2.3826125690300896E-3</c:v>
                </c:pt>
                <c:pt idx="76">
                  <c:v>2.3850412873234355E-3</c:v>
                </c:pt>
                <c:pt idx="77">
                  <c:v>2.3874701579916697E-3</c:v>
                </c:pt>
                <c:pt idx="78">
                  <c:v>2.3947576842457022E-3</c:v>
                </c:pt>
                <c:pt idx="79">
                  <c:v>2.3971871644134896E-3</c:v>
                </c:pt>
                <c:pt idx="80">
                  <c:v>2.3996167969561645E-3</c:v>
                </c:pt>
                <c:pt idx="81">
                  <c:v>2.4020465818737281E-3</c:v>
                </c:pt>
                <c:pt idx="82">
                  <c:v>2.4044765191661797E-3</c:v>
                </c:pt>
                <c:pt idx="83">
                  <c:v>2.4141977920848681E-3</c:v>
                </c:pt>
                <c:pt idx="84">
                  <c:v>2.4166284912517607E-3</c:v>
                </c:pt>
                <c:pt idx="85">
                  <c:v>2.4190593427935417E-3</c:v>
                </c:pt>
                <c:pt idx="86">
                  <c:v>2.4214903467102106E-3</c:v>
                </c:pt>
                <c:pt idx="87">
                  <c:v>2.4287842727095466E-3</c:v>
                </c:pt>
                <c:pt idx="88">
                  <c:v>2.4312158861257683E-3</c:v>
                </c:pt>
                <c:pt idx="89">
                  <c:v>2.4336476519168783E-3</c:v>
                </c:pt>
                <c:pt idx="90">
                  <c:v>2.4360795700828762E-3</c:v>
                </c:pt>
                <c:pt idx="91">
                  <c:v>2.4385116406237623E-3</c:v>
                </c:pt>
                <c:pt idx="92">
                  <c:v>2.4458087664957508E-3</c:v>
                </c:pt>
                <c:pt idx="93">
                  <c:v>2.4482414465361894E-3</c:v>
                </c:pt>
                <c:pt idx="94">
                  <c:v>2.4506742789515167E-3</c:v>
                </c:pt>
                <c:pt idx="95">
                  <c:v>2.453107263741732E-3</c:v>
                </c:pt>
                <c:pt idx="96">
                  <c:v>2.4555404009068355E-3</c:v>
                </c:pt>
                <c:pt idx="97">
                  <c:v>2.4628407266514755E-3</c:v>
                </c:pt>
                <c:pt idx="98">
                  <c:v>2.4652744733161319E-3</c:v>
                </c:pt>
                <c:pt idx="99">
                  <c:v>2.4677083723556766E-3</c:v>
                </c:pt>
                <c:pt idx="100">
                  <c:v>2.4701424237701091E-3</c:v>
                </c:pt>
                <c:pt idx="101">
                  <c:v>2.47257662755943E-3</c:v>
                </c:pt>
                <c:pt idx="102">
                  <c:v>2.4798801531767216E-3</c:v>
                </c:pt>
                <c:pt idx="103">
                  <c:v>2.4823149664655953E-3</c:v>
                </c:pt>
                <c:pt idx="104">
                  <c:v>2.4847499321293573E-3</c:v>
                </c:pt>
                <c:pt idx="105">
                  <c:v>2.4871850501680072E-3</c:v>
                </c:pt>
                <c:pt idx="106">
                  <c:v>2.4896203205815454E-3</c:v>
                </c:pt>
                <c:pt idx="107">
                  <c:v>2.496927046071489E-3</c:v>
                </c:pt>
                <c:pt idx="108">
                  <c:v>2.4993629259845796E-3</c:v>
                </c:pt>
                <c:pt idx="109">
                  <c:v>2.5017989582725589E-3</c:v>
                </c:pt>
                <c:pt idx="110">
                  <c:v>2.5042351429354261E-3</c:v>
                </c:pt>
                <c:pt idx="111">
                  <c:v>2.5066714799731817E-3</c:v>
                </c:pt>
                <c:pt idx="112">
                  <c:v>2.5139814053357773E-3</c:v>
                </c:pt>
                <c:pt idx="113">
                  <c:v>2.5164183518730857E-3</c:v>
                </c:pt>
                <c:pt idx="114">
                  <c:v>2.5188554507852819E-3</c:v>
                </c:pt>
                <c:pt idx="115">
                  <c:v>2.5212927020723665E-3</c:v>
                </c:pt>
                <c:pt idx="116">
                  <c:v>2.5237301057343389E-3</c:v>
                </c:pt>
                <c:pt idx="117">
                  <c:v>2.531043230969587E-3</c:v>
                </c:pt>
                <c:pt idx="118">
                  <c:v>2.5334812441311122E-3</c:v>
                </c:pt>
                <c:pt idx="119">
                  <c:v>2.5359194096675258E-3</c:v>
                </c:pt>
                <c:pt idx="120">
                  <c:v>2.5383577275788277E-3</c:v>
                </c:pt>
                <c:pt idx="121">
                  <c:v>2.5407961978650179E-3</c:v>
                </c:pt>
                <c:pt idx="122">
                  <c:v>2.5481125229729171E-3</c:v>
                </c:pt>
                <c:pt idx="123">
                  <c:v>2.5505516027586601E-3</c:v>
                </c:pt>
                <c:pt idx="124">
                  <c:v>2.552990834919291E-3</c:v>
                </c:pt>
                <c:pt idx="125">
                  <c:v>2.5554302194548103E-3</c:v>
                </c:pt>
                <c:pt idx="126">
                  <c:v>2.5578697563652178E-3</c:v>
                </c:pt>
                <c:pt idx="127">
                  <c:v>2.565189281345769E-3</c:v>
                </c:pt>
                <c:pt idx="128">
                  <c:v>2.5676294277557289E-3</c:v>
                </c:pt>
                <c:pt idx="129">
                  <c:v>2.5700697265405772E-3</c:v>
                </c:pt>
                <c:pt idx="130">
                  <c:v>2.5725101777003142E-3</c:v>
                </c:pt>
                <c:pt idx="131">
                  <c:v>2.5749507812349386E-3</c:v>
                </c:pt>
                <c:pt idx="132">
                  <c:v>2.5822735060881418E-3</c:v>
                </c:pt>
                <c:pt idx="133">
                  <c:v>2.5847147191223191E-3</c:v>
                </c:pt>
                <c:pt idx="134">
                  <c:v>2.5871560845313847E-3</c:v>
                </c:pt>
                <c:pt idx="135">
                  <c:v>2.5895976023153386E-3</c:v>
                </c:pt>
                <c:pt idx="136">
                  <c:v>2.5920392724741803E-3</c:v>
                </c:pt>
                <c:pt idx="137">
                  <c:v>2.5993651972000356E-3</c:v>
                </c:pt>
                <c:pt idx="138">
                  <c:v>2.6018074768584302E-3</c:v>
                </c:pt>
                <c:pt idx="139">
                  <c:v>2.6042499088917131E-3</c:v>
                </c:pt>
                <c:pt idx="140">
                  <c:v>2.6066924932998843E-3</c:v>
                </c:pt>
                <c:pt idx="141">
                  <c:v>2.6091352300829434E-3</c:v>
                </c:pt>
                <c:pt idx="142">
                  <c:v>2.6164643546814506E-3</c:v>
                </c:pt>
                <c:pt idx="143">
                  <c:v>2.6189077009640626E-3</c:v>
                </c:pt>
                <c:pt idx="144">
                  <c:v>2.6213511996215628E-3</c:v>
                </c:pt>
                <c:pt idx="145">
                  <c:v>2.6237948506539514E-3</c:v>
                </c:pt>
                <c:pt idx="146">
                  <c:v>2.6262386540612278E-3</c:v>
                </c:pt>
                <c:pt idx="147">
                  <c:v>2.6335709785323871E-3</c:v>
                </c:pt>
                <c:pt idx="148">
                  <c:v>2.6360153914392159E-3</c:v>
                </c:pt>
                <c:pt idx="149">
                  <c:v>2.6384599567209339E-3</c:v>
                </c:pt>
                <c:pt idx="150">
                  <c:v>2.6409046743775394E-3</c:v>
                </c:pt>
                <c:pt idx="151">
                  <c:v>2.6433495444090332E-3</c:v>
                </c:pt>
                <c:pt idx="152">
                  <c:v>2.650685068752844E-3</c:v>
                </c:pt>
                <c:pt idx="153">
                  <c:v>2.6531305482838906E-3</c:v>
                </c:pt>
                <c:pt idx="154">
                  <c:v>2.6555761801898251E-3</c:v>
                </c:pt>
                <c:pt idx="155">
                  <c:v>2.6580219644706483E-3</c:v>
                </c:pt>
                <c:pt idx="156">
                  <c:v>2.6604679011263599E-3</c:v>
                </c:pt>
                <c:pt idx="157">
                  <c:v>2.6678066253428222E-3</c:v>
                </c:pt>
                <c:pt idx="158">
                  <c:v>2.6702531714980862E-3</c:v>
                </c:pt>
                <c:pt idx="159">
                  <c:v>2.6726998700282384E-3</c:v>
                </c:pt>
                <c:pt idx="160">
                  <c:v>2.6751467209332786E-3</c:v>
                </c:pt>
                <c:pt idx="161">
                  <c:v>2.677593724213207E-3</c:v>
                </c:pt>
                <c:pt idx="162">
                  <c:v>2.6849356483023218E-3</c:v>
                </c:pt>
                <c:pt idx="163">
                  <c:v>2.6873832610818031E-3</c:v>
                </c:pt>
                <c:pt idx="164">
                  <c:v>2.6898310262361723E-3</c:v>
                </c:pt>
                <c:pt idx="165">
                  <c:v>2.6922789437654297E-3</c:v>
                </c:pt>
                <c:pt idx="166">
                  <c:v>2.6947270136695755E-3</c:v>
                </c:pt>
                <c:pt idx="167">
                  <c:v>2.7020721376313419E-3</c:v>
                </c:pt>
                <c:pt idx="168">
                  <c:v>2.7045208170350409E-3</c:v>
                </c:pt>
                <c:pt idx="169">
                  <c:v>2.706969648813627E-3</c:v>
                </c:pt>
                <c:pt idx="170">
                  <c:v>2.7094186329671027E-3</c:v>
                </c:pt>
                <c:pt idx="171">
                  <c:v>2.7118677694954654E-3</c:v>
                </c:pt>
                <c:pt idx="172">
                  <c:v>2.7192160933298837E-3</c:v>
                </c:pt>
                <c:pt idx="173">
                  <c:v>2.7216658393577997E-3</c:v>
                </c:pt>
                <c:pt idx="174">
                  <c:v>2.7241157377606035E-3</c:v>
                </c:pt>
                <c:pt idx="175">
                  <c:v>2.7265657885382961E-3</c:v>
                </c:pt>
                <c:pt idx="176">
                  <c:v>2.7290159916908766E-3</c:v>
                </c:pt>
                <c:pt idx="177">
                  <c:v>2.7363675153979465E-3</c:v>
                </c:pt>
                <c:pt idx="178">
                  <c:v>2.7388183280500798E-3</c:v>
                </c:pt>
                <c:pt idx="179">
                  <c:v>2.741269293077101E-3</c:v>
                </c:pt>
                <c:pt idx="180">
                  <c:v>2.7437204104790109E-3</c:v>
                </c:pt>
                <c:pt idx="181">
                  <c:v>2.7461716802558082E-3</c:v>
                </c:pt>
                <c:pt idx="182">
                  <c:v>2.7535264038355306E-3</c:v>
                </c:pt>
                <c:pt idx="183">
                  <c:v>2.7559782831118808E-3</c:v>
                </c:pt>
                <c:pt idx="184">
                  <c:v>2.7584303147631197E-3</c:v>
                </c:pt>
                <c:pt idx="185">
                  <c:v>2.7608824987892465E-3</c:v>
                </c:pt>
                <c:pt idx="186">
                  <c:v>2.7633348351902612E-3</c:v>
                </c:pt>
                <c:pt idx="187">
                  <c:v>2.7706927586426356E-3</c:v>
                </c:pt>
                <c:pt idx="188">
                  <c:v>2.7731457045432036E-3</c:v>
                </c:pt>
                <c:pt idx="189">
                  <c:v>2.7755988028186594E-3</c:v>
                </c:pt>
                <c:pt idx="190">
                  <c:v>2.7780520534690031E-3</c:v>
                </c:pt>
                <c:pt idx="191">
                  <c:v>2.7805054564942356E-3</c:v>
                </c:pt>
                <c:pt idx="192">
                  <c:v>2.7878665798192616E-3</c:v>
                </c:pt>
                <c:pt idx="193">
                  <c:v>2.7903205923440464E-3</c:v>
                </c:pt>
                <c:pt idx="194">
                  <c:v>2.79277475724372E-3</c:v>
                </c:pt>
                <c:pt idx="195">
                  <c:v>2.7952290745182815E-3</c:v>
                </c:pt>
                <c:pt idx="196">
                  <c:v>2.7976835441677309E-3</c:v>
                </c:pt>
                <c:pt idx="197">
                  <c:v>2.8050478673654088E-3</c:v>
                </c:pt>
                <c:pt idx="198">
                  <c:v>2.807502946514411E-3</c:v>
                </c:pt>
                <c:pt idx="199">
                  <c:v>2.8099581780383015E-3</c:v>
                </c:pt>
                <c:pt idx="200">
                  <c:v>2.8124135619370804E-3</c:v>
                </c:pt>
                <c:pt idx="201">
                  <c:v>2.8148690982107475E-3</c:v>
                </c:pt>
                <c:pt idx="202">
                  <c:v>2.822236621281077E-3</c:v>
                </c:pt>
                <c:pt idx="203">
                  <c:v>2.824692767054297E-3</c:v>
                </c:pt>
                <c:pt idx="204">
                  <c:v>2.8271490652024044E-3</c:v>
                </c:pt>
                <c:pt idx="205">
                  <c:v>2.8296055157254005E-3</c:v>
                </c:pt>
                <c:pt idx="206">
                  <c:v>2.8320621186232846E-3</c:v>
                </c:pt>
                <c:pt idx="207">
                  <c:v>2.8394328415662666E-3</c:v>
                </c:pt>
                <c:pt idx="208">
                  <c:v>2.8418900539637034E-3</c:v>
                </c:pt>
                <c:pt idx="209">
                  <c:v>2.8443474187360286E-3</c:v>
                </c:pt>
                <c:pt idx="210">
                  <c:v>2.8468049358832421E-3</c:v>
                </c:pt>
                <c:pt idx="211">
                  <c:v>2.8492626054053435E-3</c:v>
                </c:pt>
                <c:pt idx="212">
                  <c:v>2.856636528220977E-3</c:v>
                </c:pt>
                <c:pt idx="213">
                  <c:v>2.8590948072426316E-3</c:v>
                </c:pt>
                <c:pt idx="214">
                  <c:v>2.8615532386391737E-3</c:v>
                </c:pt>
                <c:pt idx="215">
                  <c:v>2.8640118224106045E-3</c:v>
                </c:pt>
                <c:pt idx="216">
                  <c:v>2.8664705585569232E-3</c:v>
                </c:pt>
                <c:pt idx="217">
                  <c:v>2.8738476812452088E-3</c:v>
                </c:pt>
                <c:pt idx="218">
                  <c:v>2.8763070268910803E-3</c:v>
                </c:pt>
                <c:pt idx="219">
                  <c:v>2.8787665249118397E-3</c:v>
                </c:pt>
                <c:pt idx="220">
                  <c:v>2.8812261753074883E-3</c:v>
                </c:pt>
                <c:pt idx="221">
                  <c:v>2.8836859780780244E-3</c:v>
                </c:pt>
                <c:pt idx="222">
                  <c:v>2.8910663006389615E-3</c:v>
                </c:pt>
                <c:pt idx="223">
                  <c:v>2.8935267129090504E-3</c:v>
                </c:pt>
                <c:pt idx="224">
                  <c:v>2.8959872775540271E-3</c:v>
                </c:pt>
                <c:pt idx="225">
                  <c:v>2.8984479945738926E-3</c:v>
                </c:pt>
                <c:pt idx="226">
                  <c:v>2.900908863968646E-3</c:v>
                </c:pt>
                <c:pt idx="227">
                  <c:v>2.9082923864022356E-3</c:v>
                </c:pt>
                <c:pt idx="228">
                  <c:v>2.9107538652965417E-3</c:v>
                </c:pt>
                <c:pt idx="229">
                  <c:v>2.9132154965657358E-3</c:v>
                </c:pt>
                <c:pt idx="230">
                  <c:v>2.9156772802098182E-3</c:v>
                </c:pt>
                <c:pt idx="231">
                  <c:v>2.9181392162287889E-3</c:v>
                </c:pt>
                <c:pt idx="232">
                  <c:v>2.9255259385350305E-3</c:v>
                </c:pt>
                <c:pt idx="233">
                  <c:v>2.9279884840535536E-3</c:v>
                </c:pt>
                <c:pt idx="234">
                  <c:v>2.9304511819469655E-3</c:v>
                </c:pt>
                <c:pt idx="235">
                  <c:v>2.9329140322152652E-3</c:v>
                </c:pt>
                <c:pt idx="236">
                  <c:v>2.9353770348584532E-3</c:v>
                </c:pt>
                <c:pt idx="237">
                  <c:v>2.9427669570373464E-3</c:v>
                </c:pt>
                <c:pt idx="238">
                  <c:v>2.9452305691800868E-3</c:v>
                </c:pt>
                <c:pt idx="239">
                  <c:v>2.9476943336977164E-3</c:v>
                </c:pt>
                <c:pt idx="240">
                  <c:v>2.9501582505902335E-3</c:v>
                </c:pt>
                <c:pt idx="241">
                  <c:v>2.9526223198576389E-3</c:v>
                </c:pt>
                <c:pt idx="242">
                  <c:v>2.9600154419091836E-3</c:v>
                </c:pt>
                <c:pt idx="243">
                  <c:v>2.9624801206761418E-3</c:v>
                </c:pt>
                <c:pt idx="244">
                  <c:v>2.9649449518179883E-3</c:v>
                </c:pt>
                <c:pt idx="245">
                  <c:v>2.9674099353347223E-3</c:v>
                </c:pt>
                <c:pt idx="246">
                  <c:v>2.969875071226345E-3</c:v>
                </c:pt>
                <c:pt idx="247">
                  <c:v>2.9772713931505422E-3</c:v>
                </c:pt>
                <c:pt idx="248">
                  <c:v>2.9797371385417173E-3</c:v>
                </c:pt>
                <c:pt idx="249">
                  <c:v>2.9822030363077807E-3</c:v>
                </c:pt>
                <c:pt idx="250">
                  <c:v>2.9846690864487324E-3</c:v>
                </c:pt>
                <c:pt idx="251">
                  <c:v>2.9871352889645725E-3</c:v>
                </c:pt>
                <c:pt idx="252">
                  <c:v>2.9994685871670948E-3</c:v>
                </c:pt>
                <c:pt idx="253">
                  <c:v>3.0019357039322639E-3</c:v>
                </c:pt>
                <c:pt idx="254">
                  <c:v>3.0044029730723213E-3</c:v>
                </c:pt>
                <c:pt idx="255">
                  <c:v>3.0142735733814322E-3</c:v>
                </c:pt>
                <c:pt idx="256">
                  <c:v>3.0167416043959299E-3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708800"/>
        <c:axId val="513710336"/>
      </c:lineChart>
      <c:dateAx>
        <c:axId val="5137088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3710336"/>
        <c:crosses val="autoZero"/>
        <c:auto val="1"/>
        <c:lblOffset val="100"/>
        <c:baseTimeUnit val="days"/>
      </c:dateAx>
      <c:valAx>
        <c:axId val="513710336"/>
        <c:scaling>
          <c:orientation val="minMax"/>
          <c:max val="4.000000000000001E-3"/>
          <c:min val="2.0000000000000006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3708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315635659007077"/>
          <c:y val="0.51657195152479785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42737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2.8828892287847355E-4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42768</c:v>
                </c:pt>
                <c:pt idx="1">
                  <c:v>42796</c:v>
                </c:pt>
                <c:pt idx="2">
                  <c:v>42828</c:v>
                </c:pt>
                <c:pt idx="3">
                  <c:v>42857</c:v>
                </c:pt>
                <c:pt idx="4">
                  <c:v>42888</c:v>
                </c:pt>
                <c:pt idx="5">
                  <c:v>42919</c:v>
                </c:pt>
                <c:pt idx="6">
                  <c:v>42949</c:v>
                </c:pt>
                <c:pt idx="7">
                  <c:v>42982</c:v>
                </c:pt>
                <c:pt idx="8">
                  <c:v>43010</c:v>
                </c:pt>
                <c:pt idx="9">
                  <c:v>43041</c:v>
                </c:pt>
                <c:pt idx="10">
                  <c:v>43073</c:v>
                </c:pt>
                <c:pt idx="11">
                  <c:v>43102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3.2166255162992393E-4</c:v>
                </c:pt>
                <c:pt idx="1">
                  <c:v>3.4813703088393006E-4</c:v>
                </c:pt>
                <c:pt idx="2">
                  <c:v>3.9163604820972387E-4</c:v>
                </c:pt>
                <c:pt idx="3">
                  <c:v>4.1909014394559936E-4</c:v>
                </c:pt>
                <c:pt idx="4">
                  <c:v>4.6743495204944717E-4</c:v>
                </c:pt>
                <c:pt idx="5">
                  <c:v>5.1025388921981021E-4</c:v>
                </c:pt>
                <c:pt idx="6">
                  <c:v>5.6038490221263374E-4</c:v>
                </c:pt>
                <c:pt idx="7">
                  <c:v>6.1038077495919598E-4</c:v>
                </c:pt>
                <c:pt idx="8">
                  <c:v>6.4812261519613069E-4</c:v>
                </c:pt>
                <c:pt idx="9">
                  <c:v>6.6800074785595444E-4</c:v>
                </c:pt>
                <c:pt idx="10">
                  <c:v>6.9074520070587682E-4</c:v>
                </c:pt>
                <c:pt idx="11">
                  <c:v>7.3962852475900143E-4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42753</c:v>
                </c:pt>
                <c:pt idx="1">
                  <c:v>42809</c:v>
                </c:pt>
                <c:pt idx="2">
                  <c:v>42907</c:v>
                </c:pt>
                <c:pt idx="3">
                  <c:v>42998</c:v>
                </c:pt>
                <c:pt idx="4">
                  <c:v>43089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3.0328082217301322E-4</c:v>
                </c:pt>
                <c:pt idx="1">
                  <c:v>3.5465665172652481E-4</c:v>
                </c:pt>
                <c:pt idx="2">
                  <c:v>5.0305959872502543E-4</c:v>
                </c:pt>
                <c:pt idx="3">
                  <c:v>6.0905614769511717E-4</c:v>
                </c:pt>
                <c:pt idx="4">
                  <c:v>6.9693924505243032E-4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3M'!$R$3:$R$260</c:f>
              <c:numCache>
                <c:formatCode>ddd\,\ dd\-mmm\-yyyy</c:formatCode>
                <c:ptCount val="258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  <c:pt idx="130">
                  <c:v>42922</c:v>
                </c:pt>
                <c:pt idx="131">
                  <c:v>42923</c:v>
                </c:pt>
                <c:pt idx="132">
                  <c:v>42926</c:v>
                </c:pt>
                <c:pt idx="133">
                  <c:v>42927</c:v>
                </c:pt>
                <c:pt idx="134">
                  <c:v>42928</c:v>
                </c:pt>
                <c:pt idx="135">
                  <c:v>42929</c:v>
                </c:pt>
                <c:pt idx="136">
                  <c:v>42930</c:v>
                </c:pt>
                <c:pt idx="137">
                  <c:v>42933</c:v>
                </c:pt>
                <c:pt idx="138">
                  <c:v>42934</c:v>
                </c:pt>
                <c:pt idx="139">
                  <c:v>42935</c:v>
                </c:pt>
                <c:pt idx="140">
                  <c:v>42936</c:v>
                </c:pt>
                <c:pt idx="141">
                  <c:v>42937</c:v>
                </c:pt>
                <c:pt idx="142">
                  <c:v>42940</c:v>
                </c:pt>
                <c:pt idx="143">
                  <c:v>42941</c:v>
                </c:pt>
                <c:pt idx="144">
                  <c:v>42942</c:v>
                </c:pt>
                <c:pt idx="145">
                  <c:v>42943</c:v>
                </c:pt>
                <c:pt idx="146">
                  <c:v>42944</c:v>
                </c:pt>
                <c:pt idx="147">
                  <c:v>42947</c:v>
                </c:pt>
                <c:pt idx="148">
                  <c:v>42948</c:v>
                </c:pt>
                <c:pt idx="149">
                  <c:v>42949</c:v>
                </c:pt>
                <c:pt idx="150">
                  <c:v>42950</c:v>
                </c:pt>
                <c:pt idx="151">
                  <c:v>42951</c:v>
                </c:pt>
                <c:pt idx="152">
                  <c:v>42954</c:v>
                </c:pt>
                <c:pt idx="153">
                  <c:v>42955</c:v>
                </c:pt>
                <c:pt idx="154">
                  <c:v>42956</c:v>
                </c:pt>
                <c:pt idx="155">
                  <c:v>42957</c:v>
                </c:pt>
                <c:pt idx="156">
                  <c:v>42958</c:v>
                </c:pt>
                <c:pt idx="157">
                  <c:v>42961</c:v>
                </c:pt>
                <c:pt idx="158">
                  <c:v>42962</c:v>
                </c:pt>
                <c:pt idx="159">
                  <c:v>42963</c:v>
                </c:pt>
                <c:pt idx="160">
                  <c:v>42964</c:v>
                </c:pt>
                <c:pt idx="161">
                  <c:v>42965</c:v>
                </c:pt>
                <c:pt idx="162">
                  <c:v>42968</c:v>
                </c:pt>
                <c:pt idx="163">
                  <c:v>42969</c:v>
                </c:pt>
                <c:pt idx="164">
                  <c:v>42970</c:v>
                </c:pt>
                <c:pt idx="165">
                  <c:v>42971</c:v>
                </c:pt>
                <c:pt idx="166">
                  <c:v>42972</c:v>
                </c:pt>
                <c:pt idx="167">
                  <c:v>42975</c:v>
                </c:pt>
                <c:pt idx="168">
                  <c:v>42976</c:v>
                </c:pt>
                <c:pt idx="169">
                  <c:v>42977</c:v>
                </c:pt>
                <c:pt idx="170">
                  <c:v>42978</c:v>
                </c:pt>
                <c:pt idx="171">
                  <c:v>42979</c:v>
                </c:pt>
                <c:pt idx="172">
                  <c:v>42982</c:v>
                </c:pt>
                <c:pt idx="173">
                  <c:v>42983</c:v>
                </c:pt>
                <c:pt idx="174">
                  <c:v>42984</c:v>
                </c:pt>
                <c:pt idx="175">
                  <c:v>42985</c:v>
                </c:pt>
                <c:pt idx="176">
                  <c:v>42986</c:v>
                </c:pt>
                <c:pt idx="177">
                  <c:v>42989</c:v>
                </c:pt>
                <c:pt idx="178">
                  <c:v>42990</c:v>
                </c:pt>
                <c:pt idx="179">
                  <c:v>42991</c:v>
                </c:pt>
                <c:pt idx="180">
                  <c:v>42992</c:v>
                </c:pt>
                <c:pt idx="181">
                  <c:v>42993</c:v>
                </c:pt>
                <c:pt idx="182">
                  <c:v>42996</c:v>
                </c:pt>
                <c:pt idx="183">
                  <c:v>42997</c:v>
                </c:pt>
                <c:pt idx="184">
                  <c:v>42998</c:v>
                </c:pt>
                <c:pt idx="185">
                  <c:v>42999</c:v>
                </c:pt>
                <c:pt idx="186">
                  <c:v>43000</c:v>
                </c:pt>
                <c:pt idx="187">
                  <c:v>43003</c:v>
                </c:pt>
                <c:pt idx="188">
                  <c:v>43004</c:v>
                </c:pt>
                <c:pt idx="189">
                  <c:v>43005</c:v>
                </c:pt>
                <c:pt idx="190">
                  <c:v>43006</c:v>
                </c:pt>
                <c:pt idx="191">
                  <c:v>43007</c:v>
                </c:pt>
                <c:pt idx="192">
                  <c:v>43010</c:v>
                </c:pt>
                <c:pt idx="193">
                  <c:v>43011</c:v>
                </c:pt>
                <c:pt idx="194">
                  <c:v>43012</c:v>
                </c:pt>
                <c:pt idx="195">
                  <c:v>43013</c:v>
                </c:pt>
                <c:pt idx="196">
                  <c:v>43014</c:v>
                </c:pt>
                <c:pt idx="197">
                  <c:v>43017</c:v>
                </c:pt>
                <c:pt idx="198">
                  <c:v>43018</c:v>
                </c:pt>
                <c:pt idx="199">
                  <c:v>43019</c:v>
                </c:pt>
                <c:pt idx="200">
                  <c:v>43020</c:v>
                </c:pt>
                <c:pt idx="201">
                  <c:v>43021</c:v>
                </c:pt>
                <c:pt idx="202">
                  <c:v>43024</c:v>
                </c:pt>
                <c:pt idx="203">
                  <c:v>43025</c:v>
                </c:pt>
                <c:pt idx="204">
                  <c:v>43026</c:v>
                </c:pt>
                <c:pt idx="205">
                  <c:v>43027</c:v>
                </c:pt>
                <c:pt idx="206">
                  <c:v>43028</c:v>
                </c:pt>
                <c:pt idx="207">
                  <c:v>43031</c:v>
                </c:pt>
                <c:pt idx="208">
                  <c:v>43032</c:v>
                </c:pt>
                <c:pt idx="209">
                  <c:v>43033</c:v>
                </c:pt>
                <c:pt idx="210">
                  <c:v>43034</c:v>
                </c:pt>
                <c:pt idx="211">
                  <c:v>43035</c:v>
                </c:pt>
                <c:pt idx="212">
                  <c:v>43038</c:v>
                </c:pt>
                <c:pt idx="213">
                  <c:v>43039</c:v>
                </c:pt>
                <c:pt idx="214">
                  <c:v>43040</c:v>
                </c:pt>
                <c:pt idx="215">
                  <c:v>43041</c:v>
                </c:pt>
                <c:pt idx="216">
                  <c:v>43042</c:v>
                </c:pt>
                <c:pt idx="217">
                  <c:v>43045</c:v>
                </c:pt>
                <c:pt idx="218">
                  <c:v>43046</c:v>
                </c:pt>
                <c:pt idx="219">
                  <c:v>43047</c:v>
                </c:pt>
                <c:pt idx="220">
                  <c:v>43048</c:v>
                </c:pt>
                <c:pt idx="221">
                  <c:v>43049</c:v>
                </c:pt>
                <c:pt idx="222">
                  <c:v>43052</c:v>
                </c:pt>
                <c:pt idx="223">
                  <c:v>43053</c:v>
                </c:pt>
                <c:pt idx="224">
                  <c:v>43054</c:v>
                </c:pt>
                <c:pt idx="225">
                  <c:v>43055</c:v>
                </c:pt>
                <c:pt idx="226">
                  <c:v>43056</c:v>
                </c:pt>
                <c:pt idx="227">
                  <c:v>43059</c:v>
                </c:pt>
                <c:pt idx="228">
                  <c:v>43060</c:v>
                </c:pt>
                <c:pt idx="229">
                  <c:v>43061</c:v>
                </c:pt>
                <c:pt idx="230">
                  <c:v>43062</c:v>
                </c:pt>
                <c:pt idx="231">
                  <c:v>43063</c:v>
                </c:pt>
                <c:pt idx="232">
                  <c:v>43066</c:v>
                </c:pt>
                <c:pt idx="233">
                  <c:v>43067</c:v>
                </c:pt>
                <c:pt idx="234">
                  <c:v>43068</c:v>
                </c:pt>
                <c:pt idx="235">
                  <c:v>43069</c:v>
                </c:pt>
                <c:pt idx="236">
                  <c:v>43070</c:v>
                </c:pt>
                <c:pt idx="237">
                  <c:v>43073</c:v>
                </c:pt>
                <c:pt idx="238">
                  <c:v>43074</c:v>
                </c:pt>
                <c:pt idx="239">
                  <c:v>43075</c:v>
                </c:pt>
                <c:pt idx="240">
                  <c:v>43076</c:v>
                </c:pt>
                <c:pt idx="241">
                  <c:v>43077</c:v>
                </c:pt>
                <c:pt idx="242">
                  <c:v>43080</c:v>
                </c:pt>
                <c:pt idx="243">
                  <c:v>43081</c:v>
                </c:pt>
                <c:pt idx="244">
                  <c:v>43082</c:v>
                </c:pt>
                <c:pt idx="245">
                  <c:v>43083</c:v>
                </c:pt>
                <c:pt idx="246">
                  <c:v>43084</c:v>
                </c:pt>
                <c:pt idx="247">
                  <c:v>43087</c:v>
                </c:pt>
                <c:pt idx="248">
                  <c:v>43088</c:v>
                </c:pt>
                <c:pt idx="249">
                  <c:v>43089</c:v>
                </c:pt>
                <c:pt idx="250">
                  <c:v>43090</c:v>
                </c:pt>
                <c:pt idx="251">
                  <c:v>43091</c:v>
                </c:pt>
                <c:pt idx="252">
                  <c:v>43096</c:v>
                </c:pt>
                <c:pt idx="253">
                  <c:v>43097</c:v>
                </c:pt>
                <c:pt idx="254">
                  <c:v>43098</c:v>
                </c:pt>
                <c:pt idx="255">
                  <c:v>43102</c:v>
                </c:pt>
                <c:pt idx="256">
                  <c:v>43103</c:v>
                </c:pt>
                <c:pt idx="257">
                  <c:v>43104</c:v>
                </c:pt>
              </c:numCache>
            </c:numRef>
          </c:xVal>
          <c:yVal>
            <c:numRef>
              <c:f>'Delta 3M'!$S$3:$S$260</c:f>
              <c:numCache>
                <c:formatCode>0.0000%</c:formatCode>
                <c:ptCount val="258"/>
                <c:pt idx="0">
                  <c:v>2.9133004381063895E-4</c:v>
                </c:pt>
                <c:pt idx="1">
                  <c:v>2.9264919037350686E-4</c:v>
                </c:pt>
                <c:pt idx="2">
                  <c:v>2.9393482756896185E-4</c:v>
                </c:pt>
                <c:pt idx="3">
                  <c:v>2.9518807237591781E-4</c:v>
                </c:pt>
                <c:pt idx="4">
                  <c:v>2.9641004177328843E-4</c:v>
                </c:pt>
                <c:pt idx="5">
                  <c:v>2.9989946729702579E-4</c:v>
                </c:pt>
                <c:pt idx="6">
                  <c:v>3.0100750484519267E-4</c:v>
                </c:pt>
                <c:pt idx="7">
                  <c:v>3.0208985187834305E-4</c:v>
                </c:pt>
                <c:pt idx="8">
                  <c:v>3.0314762537539061E-4</c:v>
                </c:pt>
                <c:pt idx="9">
                  <c:v>3.0418194231524921E-4</c:v>
                </c:pt>
                <c:pt idx="10">
                  <c:v>3.0715532358082856E-4</c:v>
                </c:pt>
                <c:pt idx="11">
                  <c:v>3.0810698408106874E-4</c:v>
                </c:pt>
                <c:pt idx="12">
                  <c:v>3.0904077291868875E-4</c:v>
                </c:pt>
                <c:pt idx="13">
                  <c:v>3.0995780707260235E-4</c:v>
                </c:pt>
                <c:pt idx="14">
                  <c:v>3.1085920352172326E-4</c:v>
                </c:pt>
                <c:pt idx="15">
                  <c:v>3.1348073642946758E-4</c:v>
                </c:pt>
                <c:pt idx="16">
                  <c:v>3.1433075184855545E-4</c:v>
                </c:pt>
                <c:pt idx="17">
                  <c:v>3.1517071445741942E-4</c:v>
                </c:pt>
                <c:pt idx="18">
                  <c:v>3.160017412349733E-4</c:v>
                </c:pt>
                <c:pt idx="19">
                  <c:v>3.1682494916013086E-4</c:v>
                </c:pt>
                <c:pt idx="20">
                  <c:v>3.1925882961036321E-4</c:v>
                </c:pt>
                <c:pt idx="21">
                  <c:v>3.2006193191507306E-4</c:v>
                </c:pt>
                <c:pt idx="22">
                  <c:v>3.2086280026195538E-4</c:v>
                </c:pt>
                <c:pt idx="23">
                  <c:v>3.2166255162992393E-4</c:v>
                </c:pt>
                <c:pt idx="24">
                  <c:v>3.2246230299789249E-4</c:v>
                </c:pt>
                <c:pt idx="25">
                  <c:v>3.2487272689093582E-4</c:v>
                </c:pt>
                <c:pt idx="26">
                  <c:v>3.2568364804804199E-4</c:v>
                </c:pt>
                <c:pt idx="27">
                  <c:v>3.26500154099717E-4</c:v>
                </c:pt>
                <c:pt idx="28">
                  <c:v>3.2732336202487457E-4</c:v>
                </c:pt>
                <c:pt idx="29">
                  <c:v>3.2815438880242845E-4</c:v>
                </c:pt>
                <c:pt idx="30">
                  <c:v>3.3070555203860579E-4</c:v>
                </c:pt>
                <c:pt idx="31">
                  <c:v>3.3157902401488262E-4</c:v>
                </c:pt>
                <c:pt idx="32">
                  <c:v>3.324658997381246E-4</c:v>
                </c:pt>
                <c:pt idx="33">
                  <c:v>3.3336729618724551E-4</c:v>
                </c:pt>
                <c:pt idx="34">
                  <c:v>3.3428433034115912E-4</c:v>
                </c:pt>
                <c:pt idx="35">
                  <c:v>3.3714042882079342E-4</c:v>
                </c:pt>
                <c:pt idx="36">
                  <c:v>3.381311835830153E-4</c:v>
                </c:pt>
                <c:pt idx="37">
                  <c:v>3.3914316094459866E-4</c:v>
                </c:pt>
                <c:pt idx="38">
                  <c:v>3.4017747788445726E-4</c:v>
                </c:pt>
                <c:pt idx="39">
                  <c:v>3.4123525138150481E-4</c:v>
                </c:pt>
                <c:pt idx="40">
                  <c:v>3.4456048100491921E-4</c:v>
                </c:pt>
                <c:pt idx="41">
                  <c:v>3.4572325051986043E-4</c:v>
                </c:pt>
                <c:pt idx="42">
                  <c:v>3.4691506148655944E-4</c:v>
                </c:pt>
                <c:pt idx="43">
                  <c:v>3.4813703088393006E-4</c:v>
                </c:pt>
                <c:pt idx="44">
                  <c:v>3.4938971991523276E-4</c:v>
                </c:pt>
                <c:pt idx="45">
                  <c:v>3.5331326271659756E-4</c:v>
                </c:pt>
                <c:pt idx="46">
                  <c:v>3.5466887663618626E-4</c:v>
                </c:pt>
                <c:pt idx="47">
                  <c:v>3.5604467759033255E-4</c:v>
                </c:pt>
                <c:pt idx="48">
                  <c:v>3.5743844790403099E-4</c:v>
                </c:pt>
                <c:pt idx="49">
                  <c:v>3.5884796990227598E-4</c:v>
                </c:pt>
                <c:pt idx="50">
                  <c:v>3.6314886925423493E-4</c:v>
                </c:pt>
                <c:pt idx="51">
                  <c:v>3.6459922124061075E-4</c:v>
                </c:pt>
                <c:pt idx="52">
                  <c:v>3.6605423653650549E-4</c:v>
                </c:pt>
                <c:pt idx="53">
                  <c:v>3.6751169746691354E-4</c:v>
                </c:pt>
                <c:pt idx="54">
                  <c:v>3.6896938635682942E-4</c:v>
                </c:pt>
                <c:pt idx="55">
                  <c:v>3.7332164403356831E-4</c:v>
                </c:pt>
                <c:pt idx="56">
                  <c:v>3.7475806801145995E-4</c:v>
                </c:pt>
                <c:pt idx="57">
                  <c:v>3.7618363157383168E-4</c:v>
                </c:pt>
                <c:pt idx="58">
                  <c:v>3.7759611704567795E-4</c:v>
                </c:pt>
                <c:pt idx="59">
                  <c:v>3.7899330675199327E-4</c:v>
                </c:pt>
                <c:pt idx="60">
                  <c:v>3.8307092452769789E-4</c:v>
                </c:pt>
                <c:pt idx="61">
                  <c:v>3.8438475442183391E-4</c:v>
                </c:pt>
                <c:pt idx="62">
                  <c:v>3.8567220017541123E-4</c:v>
                </c:pt>
                <c:pt idx="63">
                  <c:v>3.8693104411342437E-4</c:v>
                </c:pt>
                <c:pt idx="64">
                  <c:v>3.8815906856086771E-4</c:v>
                </c:pt>
                <c:pt idx="65">
                  <c:v>3.9163604820972387E-4</c:v>
                </c:pt>
                <c:pt idx="66">
                  <c:v>3.927194862687215E-4</c:v>
                </c:pt>
                <c:pt idx="67">
                  <c:v>3.9376622640545361E-4</c:v>
                </c:pt>
                <c:pt idx="68">
                  <c:v>3.9477926088824671E-4</c:v>
                </c:pt>
                <c:pt idx="69">
                  <c:v>3.9576158198542709E-4</c:v>
                </c:pt>
                <c:pt idx="70">
                  <c:v>3.9855418764655662E-4</c:v>
                </c:pt>
                <c:pt idx="71">
                  <c:v>3.9944357788455063E-4</c:v>
                </c:pt>
                <c:pt idx="72">
                  <c:v>4.0031721607856403E-4</c:v>
                </c:pt>
                <c:pt idx="73">
                  <c:v>4.0117809449692333E-4</c:v>
                </c:pt>
                <c:pt idx="74">
                  <c:v>4.0539581934533227E-4</c:v>
                </c:pt>
                <c:pt idx="75">
                  <c:v>4.0624297674462151E-4</c:v>
                </c:pt>
                <c:pt idx="76">
                  <c:v>4.0709832024654152E-4</c:v>
                </c:pt>
                <c:pt idx="77">
                  <c:v>4.0796484211941871E-4</c:v>
                </c:pt>
                <c:pt idx="78">
                  <c:v>4.1066140064705778E-4</c:v>
                </c:pt>
                <c:pt idx="79">
                  <c:v>4.1160255868702802E-4</c:v>
                </c:pt>
                <c:pt idx="80">
                  <c:v>4.1256985643958754E-4</c:v>
                </c:pt>
                <c:pt idx="81">
                  <c:v>4.1356628617306282E-4</c:v>
                </c:pt>
                <c:pt idx="82">
                  <c:v>4.1459484015578019E-4</c:v>
                </c:pt>
                <c:pt idx="83">
                  <c:v>4.1909014394559936E-4</c:v>
                </c:pt>
                <c:pt idx="84">
                  <c:v>4.2032330871855968E-4</c:v>
                </c:pt>
                <c:pt idx="85">
                  <c:v>4.2160118446553645E-4</c:v>
                </c:pt>
                <c:pt idx="86">
                  <c:v>4.2292139656967194E-4</c:v>
                </c:pt>
                <c:pt idx="87">
                  <c:v>4.2711230485645329E-4</c:v>
                </c:pt>
                <c:pt idx="88">
                  <c:v>4.2857811622064621E-4</c:v>
                </c:pt>
                <c:pt idx="89">
                  <c:v>4.3007439085770912E-4</c:v>
                </c:pt>
                <c:pt idx="90">
                  <c:v>4.3159875415078424E-4</c:v>
                </c:pt>
                <c:pt idx="91">
                  <c:v>4.3314883148301385E-4</c:v>
                </c:pt>
                <c:pt idx="92">
                  <c:v>4.3792960154605205E-4</c:v>
                </c:pt>
                <c:pt idx="93">
                  <c:v>4.3955878886632214E-4</c:v>
                </c:pt>
                <c:pt idx="94">
                  <c:v>4.4120181714145791E-4</c:v>
                </c:pt>
                <c:pt idx="95">
                  <c:v>4.4285631175460167E-4</c:v>
                </c:pt>
                <c:pt idx="96">
                  <c:v>4.4451989808889567E-4</c:v>
                </c:pt>
                <c:pt idx="97">
                  <c:v>4.4954146125010161E-4</c:v>
                </c:pt>
                <c:pt idx="98">
                  <c:v>4.5121766830041909E-4</c:v>
                </c:pt>
                <c:pt idx="99">
                  <c:v>4.5289109398759806E-4</c:v>
                </c:pt>
                <c:pt idx="100">
                  <c:v>4.5455936369478078E-4</c:v>
                </c:pt>
                <c:pt idx="101">
                  <c:v>4.5622010280510944E-4</c:v>
                </c:pt>
                <c:pt idx="102">
                  <c:v>4.6113339038639402E-4</c:v>
                </c:pt>
                <c:pt idx="103">
                  <c:v>4.6274026094072915E-4</c:v>
                </c:pt>
                <c:pt idx="104">
                  <c:v>4.643277278139216E-4</c:v>
                </c:pt>
                <c:pt idx="105">
                  <c:v>4.658934163891135E-4</c:v>
                </c:pt>
                <c:pt idx="106">
                  <c:v>4.6743495204944717E-4</c:v>
                </c:pt>
                <c:pt idx="107">
                  <c:v>4.7190899182299911E-4</c:v>
                </c:pt>
                <c:pt idx="108">
                  <c:v>4.7335496849459208E-4</c:v>
                </c:pt>
                <c:pt idx="109">
                  <c:v>4.7478100490061851E-4</c:v>
                </c:pt>
                <c:pt idx="110">
                  <c:v>4.7618874785761563E-4</c:v>
                </c:pt>
                <c:pt idx="111">
                  <c:v>4.7757984418212097E-4</c:v>
                </c:pt>
                <c:pt idx="112">
                  <c:v>4.8166972152605917E-4</c:v>
                </c:pt>
                <c:pt idx="113">
                  <c:v>4.8301069948597053E-4</c:v>
                </c:pt>
                <c:pt idx="114">
                  <c:v>4.8434326489607679E-4</c:v>
                </c:pt>
                <c:pt idx="115">
                  <c:v>4.8566906457291531E-4</c:v>
                </c:pt>
                <c:pt idx="116">
                  <c:v>4.8698974533302344E-4</c:v>
                </c:pt>
                <c:pt idx="117">
                  <c:v>4.9093754227833909E-4</c:v>
                </c:pt>
                <c:pt idx="118">
                  <c:v>4.9225421553689933E-4</c:v>
                </c:pt>
                <c:pt idx="119">
                  <c:v>4.9357400396141582E-4</c:v>
                </c:pt>
                <c:pt idx="120">
                  <c:v>4.9489855436842618E-4</c:v>
                </c:pt>
                <c:pt idx="121">
                  <c:v>4.9622951357446751E-4</c:v>
                </c:pt>
                <c:pt idx="122">
                  <c:v>5.0027731215215193E-4</c:v>
                </c:pt>
                <c:pt idx="123">
                  <c:v>5.0165037471969123E-4</c:v>
                </c:pt>
                <c:pt idx="124">
                  <c:v>5.0303808016894844E-4</c:v>
                </c:pt>
                <c:pt idx="125">
                  <c:v>5.0444207531646088E-4</c:v>
                </c:pt>
                <c:pt idx="126">
                  <c:v>5.0586400697876595E-4</c:v>
                </c:pt>
                <c:pt idx="127">
                  <c:v>5.1025388921981021E-4</c:v>
                </c:pt>
                <c:pt idx="128">
                  <c:v>5.1176354460115328E-4</c:v>
                </c:pt>
                <c:pt idx="129">
                  <c:v>5.1329642754694067E-4</c:v>
                </c:pt>
                <c:pt idx="130">
                  <c:v>5.1485124184067464E-4</c:v>
                </c:pt>
                <c:pt idx="131">
                  <c:v>5.1642669126585755E-4</c:v>
                </c:pt>
                <c:pt idx="132">
                  <c:v>5.2126388816512196E-4</c:v>
                </c:pt>
                <c:pt idx="133">
                  <c:v>5.2290891595112299E-4</c:v>
                </c:pt>
                <c:pt idx="134">
                  <c:v>5.2456809778608435E-4</c:v>
                </c:pt>
                <c:pt idx="135">
                  <c:v>5.2624013745350819E-4</c:v>
                </c:pt>
                <c:pt idx="136">
                  <c:v>5.2792373873689687E-4</c:v>
                </c:pt>
                <c:pt idx="137">
                  <c:v>5.3303095011787466E-4</c:v>
                </c:pt>
                <c:pt idx="138">
                  <c:v>5.347478357001455E-4</c:v>
                </c:pt>
                <c:pt idx="139">
                  <c:v>5.3646980181589257E-4</c:v>
                </c:pt>
                <c:pt idx="140">
                  <c:v>5.3819555224861814E-4</c:v>
                </c:pt>
                <c:pt idx="141">
                  <c:v>5.3992379078182445E-4</c:v>
                </c:pt>
                <c:pt idx="142">
                  <c:v>5.4511047281935118E-4</c:v>
                </c:pt>
                <c:pt idx="143">
                  <c:v>5.4683570158950358E-4</c:v>
                </c:pt>
                <c:pt idx="144">
                  <c:v>5.4855693737764812E-4</c:v>
                </c:pt>
                <c:pt idx="145">
                  <c:v>5.5027288396728726E-4</c:v>
                </c:pt>
                <c:pt idx="146">
                  <c:v>5.5198224514192305E-4</c:v>
                </c:pt>
                <c:pt idx="147">
                  <c:v>5.5705785401083407E-4</c:v>
                </c:pt>
                <c:pt idx="148">
                  <c:v>5.5872791136047978E-4</c:v>
                </c:pt>
                <c:pt idx="149">
                  <c:v>5.6038490221263374E-4</c:v>
                </c:pt>
                <c:pt idx="150">
                  <c:v>5.6202784003765835E-4</c:v>
                </c:pt>
                <c:pt idx="151">
                  <c:v>5.6365697705335711E-4</c:v>
                </c:pt>
                <c:pt idx="152">
                  <c:v>5.6846720229113427E-4</c:v>
                </c:pt>
                <c:pt idx="153">
                  <c:v>5.7004675511616583E-4</c:v>
                </c:pt>
                <c:pt idx="154">
                  <c:v>5.7161531665518963E-4</c:v>
                </c:pt>
                <c:pt idx="155">
                  <c:v>5.7317344881286942E-4</c:v>
                </c:pt>
                <c:pt idx="156">
                  <c:v>5.7472171349386885E-4</c:v>
                </c:pt>
                <c:pt idx="157">
                  <c:v>5.7931292172342091E-4</c:v>
                </c:pt>
                <c:pt idx="158">
                  <c:v>5.8082733554433506E-4</c:v>
                </c:pt>
                <c:pt idx="159">
                  <c:v>5.8233469141188694E-4</c:v>
                </c:pt>
                <c:pt idx="160">
                  <c:v>5.838355512307403E-4</c:v>
                </c:pt>
                <c:pt idx="161">
                  <c:v>5.8533047690555878E-4</c:v>
                </c:pt>
                <c:pt idx="162">
                  <c:v>5.8978526811244089E-4</c:v>
                </c:pt>
                <c:pt idx="163">
                  <c:v>5.9126207625775603E-4</c:v>
                </c:pt>
                <c:pt idx="164">
                  <c:v>5.9273575978235449E-4</c:v>
                </c:pt>
                <c:pt idx="165">
                  <c:v>5.942068805908998E-4</c:v>
                </c:pt>
                <c:pt idx="166">
                  <c:v>5.956760005880556E-4</c:v>
                </c:pt>
                <c:pt idx="167">
                  <c:v>6.0007697475782302E-4</c:v>
                </c:pt>
                <c:pt idx="168">
                  <c:v>6.0154371055605753E-4</c:v>
                </c:pt>
                <c:pt idx="169">
                  <c:v>6.0301125506622083E-4</c:v>
                </c:pt>
                <c:pt idx="170">
                  <c:v>6.0448017019297648E-4</c:v>
                </c:pt>
                <c:pt idx="171">
                  <c:v>6.0595101784098821E-4</c:v>
                </c:pt>
                <c:pt idx="172">
                  <c:v>6.1038077495919598E-4</c:v>
                </c:pt>
                <c:pt idx="173">
                  <c:v>6.1186463240932559E-4</c:v>
                </c:pt>
                <c:pt idx="174">
                  <c:v>6.1335119592677333E-4</c:v>
                </c:pt>
                <c:pt idx="175">
                  <c:v>6.1483899143894671E-4</c:v>
                </c:pt>
                <c:pt idx="176">
                  <c:v>6.1632654487325323E-4</c:v>
                </c:pt>
                <c:pt idx="177">
                  <c:v>6.2077301198304729E-4</c:v>
                </c:pt>
                <c:pt idx="178">
                  <c:v>6.2224485637996183E-4</c:v>
                </c:pt>
                <c:pt idx="179">
                  <c:v>6.237090883360472E-4</c:v>
                </c:pt>
                <c:pt idx="180">
                  <c:v>6.2516423377871079E-4</c:v>
                </c:pt>
                <c:pt idx="181">
                  <c:v>6.2660881863536042E-4</c:v>
                </c:pt>
                <c:pt idx="182">
                  <c:v>6.3086446896329937E-4</c:v>
                </c:pt>
                <c:pt idx="183">
                  <c:v>6.3225207074996755E-4</c:v>
                </c:pt>
                <c:pt idx="184">
                  <c:v>6.3362174158765935E-4</c:v>
                </c:pt>
                <c:pt idx="185">
                  <c:v>6.3497200740378205E-4</c:v>
                </c:pt>
                <c:pt idx="186">
                  <c:v>6.3630139412574325E-4</c:v>
                </c:pt>
                <c:pt idx="187">
                  <c:v>6.4014953900073349E-4</c:v>
                </c:pt>
                <c:pt idx="188">
                  <c:v>6.413806686201241E-4</c:v>
                </c:pt>
                <c:pt idx="189">
                  <c:v>6.4258354878239091E-4</c:v>
                </c:pt>
                <c:pt idx="190">
                  <c:v>6.4375670541494141E-4</c:v>
                </c:pt>
                <c:pt idx="191">
                  <c:v>6.448986644451831E-4</c:v>
                </c:pt>
                <c:pt idx="192">
                  <c:v>6.4812261519613069E-4</c:v>
                </c:pt>
                <c:pt idx="193">
                  <c:v>6.4912549164708726E-4</c:v>
                </c:pt>
                <c:pt idx="194">
                  <c:v>6.5009249146802167E-4</c:v>
                </c:pt>
                <c:pt idx="195">
                  <c:v>6.5102483192159004E-4</c:v>
                </c:pt>
                <c:pt idx="196">
                  <c:v>6.5192373027044904E-4</c:v>
                </c:pt>
                <c:pt idx="197">
                  <c:v>6.5443194531533309E-4</c:v>
                </c:pt>
                <c:pt idx="198">
                  <c:v>6.5520924787191822E-4</c:v>
                </c:pt>
                <c:pt idx="199">
                  <c:v>6.5595919463707578E-4</c:v>
                </c:pt>
                <c:pt idx="200">
                  <c:v>6.5668300287346235E-4</c:v>
                </c:pt>
                <c:pt idx="201">
                  <c:v>6.5738188984373425E-4</c:v>
                </c:pt>
                <c:pt idx="202">
                  <c:v>6.5934119578442613E-4</c:v>
                </c:pt>
                <c:pt idx="203">
                  <c:v>6.5995257031680333E-4</c:v>
                </c:pt>
                <c:pt idx="204">
                  <c:v>6.60545109896348E-4</c:v>
                </c:pt>
                <c:pt idx="205">
                  <c:v>6.6112003178571649E-4</c:v>
                </c:pt>
                <c:pt idx="206">
                  <c:v>6.6167855324756502E-4</c:v>
                </c:pt>
                <c:pt idx="207">
                  <c:v>6.6326788769455571E-4</c:v>
                </c:pt>
                <c:pt idx="208">
                  <c:v>6.6377298007288903E-4</c:v>
                </c:pt>
                <c:pt idx="209">
                  <c:v>6.6426775833698442E-4</c:v>
                </c:pt>
                <c:pt idx="210">
                  <c:v>6.6475343974949845E-4</c:v>
                </c:pt>
                <c:pt idx="211">
                  <c:v>6.6523124157308734E-4</c:v>
                </c:pt>
                <c:pt idx="212">
                  <c:v>6.6662954213686824E-4</c:v>
                </c:pt>
                <c:pt idx="213">
                  <c:v>6.6708799823132119E-4</c:v>
                </c:pt>
                <c:pt idx="214">
                  <c:v>6.6754466105013114E-4</c:v>
                </c:pt>
                <c:pt idx="215">
                  <c:v>6.6800074785595444E-4</c:v>
                </c:pt>
                <c:pt idx="216">
                  <c:v>6.6845751160816947E-4</c:v>
                </c:pt>
                <c:pt idx="217">
                  <c:v>6.69845964792714E-4</c:v>
                </c:pt>
                <c:pt idx="218">
                  <c:v>6.7031960797348889E-4</c:v>
                </c:pt>
                <c:pt idx="219">
                  <c:v>6.7080104961887374E-4</c:v>
                </c:pt>
                <c:pt idx="220">
                  <c:v>6.7129172117185668E-4</c:v>
                </c:pt>
                <c:pt idx="221">
                  <c:v>6.7179305407542595E-4</c:v>
                </c:pt>
                <c:pt idx="222">
                  <c:v>6.7337533531953097E-4</c:v>
                </c:pt>
                <c:pt idx="223">
                  <c:v>6.7393362805532534E-4</c:v>
                </c:pt>
                <c:pt idx="224">
                  <c:v>6.7450973935664622E-4</c:v>
                </c:pt>
                <c:pt idx="225">
                  <c:v>6.7510510066648151E-4</c:v>
                </c:pt>
                <c:pt idx="226">
                  <c:v>6.7572114342781943E-4</c:v>
                </c:pt>
                <c:pt idx="227">
                  <c:v>6.7770767485072884E-4</c:v>
                </c:pt>
                <c:pt idx="228">
                  <c:v>6.7842075784795746E-4</c:v>
                </c:pt>
                <c:pt idx="229">
                  <c:v>6.7916167951162889E-4</c:v>
                </c:pt>
                <c:pt idx="230">
                  <c:v>6.7993187128473115E-4</c:v>
                </c:pt>
                <c:pt idx="231">
                  <c:v>6.8073276461025236E-4</c:v>
                </c:pt>
                <c:pt idx="232">
                  <c:v>6.8333396833121008E-4</c:v>
                </c:pt>
                <c:pt idx="233">
                  <c:v>6.8427198229628746E-4</c:v>
                </c:pt>
                <c:pt idx="234">
                  <c:v>6.8524785502872409E-4</c:v>
                </c:pt>
                <c:pt idx="235">
                  <c:v>6.8626301797150796E-4</c:v>
                </c:pt>
                <c:pt idx="236">
                  <c:v>6.873189025676271E-4</c:v>
                </c:pt>
                <c:pt idx="237">
                  <c:v>6.9074520070587682E-4</c:v>
                </c:pt>
                <c:pt idx="238">
                  <c:v>6.9197781295669478E-4</c:v>
                </c:pt>
                <c:pt idx="239">
                  <c:v>6.9325546374465058E-4</c:v>
                </c:pt>
                <c:pt idx="240">
                  <c:v>6.9457674418159474E-4</c:v>
                </c:pt>
                <c:pt idx="241">
                  <c:v>6.9594024537937766E-4</c:v>
                </c:pt>
                <c:pt idx="242">
                  <c:v>7.0026998465626299E-4</c:v>
                </c:pt>
                <c:pt idx="243">
                  <c:v>7.0178828001590506E-4</c:v>
                </c:pt>
                <c:pt idx="244">
                  <c:v>7.0334175169563782E-4</c:v>
                </c:pt>
                <c:pt idx="245">
                  <c:v>7.0492899080731191E-4</c:v>
                </c:pt>
                <c:pt idx="246">
                  <c:v>7.0654858846277762E-4</c:v>
                </c:pt>
                <c:pt idx="247">
                  <c:v>7.1158744381042869E-4</c:v>
                </c:pt>
                <c:pt idx="248">
                  <c:v>7.1332238675956509E-4</c:v>
                </c:pt>
                <c:pt idx="249">
                  <c:v>7.1508264381174515E-4</c:v>
                </c:pt>
                <c:pt idx="250">
                  <c:v>7.1686680607881939E-4</c:v>
                </c:pt>
                <c:pt idx="251">
                  <c:v>7.1867346467263812E-4</c:v>
                </c:pt>
                <c:pt idx="252">
                  <c:v>7.2799489145766423E-4</c:v>
                </c:pt>
                <c:pt idx="253">
                  <c:v>7.2990694136080886E-4</c:v>
                </c:pt>
                <c:pt idx="254">
                  <c:v>7.3183162537365082E-4</c:v>
                </c:pt>
                <c:pt idx="255">
                  <c:v>7.3962852475900143E-4</c:v>
                </c:pt>
                <c:pt idx="256">
                  <c:v>7.4159540083205597E-4</c:v>
                </c:pt>
                <c:pt idx="257">
                  <c:v>7.4356738668972559E-4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2608"/>
        <c:axId val="516214144"/>
      </c:scatterChart>
      <c:valAx>
        <c:axId val="5162126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6214144"/>
        <c:crosses val="autoZero"/>
        <c:crossBetween val="midCat"/>
      </c:valAx>
      <c:valAx>
        <c:axId val="51621414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1621260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42737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1.2634362950687821E-3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42768</c:v>
                </c:pt>
                <c:pt idx="1">
                  <c:v>42796</c:v>
                </c:pt>
                <c:pt idx="2">
                  <c:v>42828</c:v>
                </c:pt>
                <c:pt idx="3">
                  <c:v>42857</c:v>
                </c:pt>
                <c:pt idx="4">
                  <c:v>42888</c:v>
                </c:pt>
                <c:pt idx="5">
                  <c:v>42919</c:v>
                </c:pt>
                <c:pt idx="6">
                  <c:v>42949</c:v>
                </c:pt>
                <c:pt idx="7">
                  <c:v>42982</c:v>
                </c:pt>
                <c:pt idx="8">
                  <c:v>43010</c:v>
                </c:pt>
                <c:pt idx="9">
                  <c:v>43041</c:v>
                </c:pt>
                <c:pt idx="10">
                  <c:v>43073</c:v>
                </c:pt>
                <c:pt idx="11">
                  <c:v>43102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1.3035974150857879E-3</c:v>
                </c:pt>
                <c:pt idx="1">
                  <c:v>1.3560230417894404E-3</c:v>
                </c:pt>
                <c:pt idx="2">
                  <c:v>1.4242956535307169E-3</c:v>
                </c:pt>
                <c:pt idx="3">
                  <c:v>1.4782345082239325E-3</c:v>
                </c:pt>
                <c:pt idx="4">
                  <c:v>1.5427925348917386E-3</c:v>
                </c:pt>
                <c:pt idx="5">
                  <c:v>1.6023920115930267E-3</c:v>
                </c:pt>
                <c:pt idx="6">
                  <c:v>1.6577338620471333E-3</c:v>
                </c:pt>
                <c:pt idx="7">
                  <c:v>1.7091357420006871E-3</c:v>
                </c:pt>
                <c:pt idx="8">
                  <c:v>1.7675555992591608E-3</c:v>
                </c:pt>
                <c:pt idx="9">
                  <c:v>1.8214790813731569E-3</c:v>
                </c:pt>
                <c:pt idx="10">
                  <c:v>1.8758109612855955E-3</c:v>
                </c:pt>
                <c:pt idx="11">
                  <c:v>1.9393048954117246E-3</c:v>
                </c:pt>
                <c:pt idx="12">
                  <c:v>1.9850320827690181E-3</c:v>
                </c:pt>
                <c:pt idx="13">
                  <c:v>2.0313929012135828E-3</c:v>
                </c:pt>
                <c:pt idx="14">
                  <c:v>2.0771468889311971E-3</c:v>
                </c:pt>
                <c:pt idx="15">
                  <c:v>2.1312025300452395E-3</c:v>
                </c:pt>
                <c:pt idx="16">
                  <c:v>2.1726666084706889E-3</c:v>
                </c:pt>
                <c:pt idx="17">
                  <c:v>2.237892060648475E-3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  <c:pt idx="130">
                  <c:v>42922</c:v>
                </c:pt>
                <c:pt idx="131">
                  <c:v>42923</c:v>
                </c:pt>
                <c:pt idx="132">
                  <c:v>42926</c:v>
                </c:pt>
                <c:pt idx="133">
                  <c:v>42927</c:v>
                </c:pt>
                <c:pt idx="134">
                  <c:v>42928</c:v>
                </c:pt>
                <c:pt idx="135">
                  <c:v>42929</c:v>
                </c:pt>
                <c:pt idx="136">
                  <c:v>42930</c:v>
                </c:pt>
                <c:pt idx="137">
                  <c:v>42933</c:v>
                </c:pt>
                <c:pt idx="138">
                  <c:v>42934</c:v>
                </c:pt>
                <c:pt idx="139">
                  <c:v>42935</c:v>
                </c:pt>
                <c:pt idx="140">
                  <c:v>42936</c:v>
                </c:pt>
                <c:pt idx="141">
                  <c:v>42937</c:v>
                </c:pt>
                <c:pt idx="142">
                  <c:v>42940</c:v>
                </c:pt>
                <c:pt idx="143">
                  <c:v>42941</c:v>
                </c:pt>
                <c:pt idx="144">
                  <c:v>42942</c:v>
                </c:pt>
                <c:pt idx="145">
                  <c:v>42943</c:v>
                </c:pt>
                <c:pt idx="146">
                  <c:v>42944</c:v>
                </c:pt>
                <c:pt idx="147">
                  <c:v>42947</c:v>
                </c:pt>
                <c:pt idx="148">
                  <c:v>42948</c:v>
                </c:pt>
                <c:pt idx="149">
                  <c:v>42949</c:v>
                </c:pt>
                <c:pt idx="150">
                  <c:v>42950</c:v>
                </c:pt>
                <c:pt idx="151">
                  <c:v>42951</c:v>
                </c:pt>
                <c:pt idx="152">
                  <c:v>42954</c:v>
                </c:pt>
                <c:pt idx="153">
                  <c:v>42955</c:v>
                </c:pt>
                <c:pt idx="154">
                  <c:v>42956</c:v>
                </c:pt>
                <c:pt idx="155">
                  <c:v>42957</c:v>
                </c:pt>
                <c:pt idx="156">
                  <c:v>42958</c:v>
                </c:pt>
                <c:pt idx="157">
                  <c:v>42961</c:v>
                </c:pt>
                <c:pt idx="158">
                  <c:v>42962</c:v>
                </c:pt>
                <c:pt idx="159">
                  <c:v>42963</c:v>
                </c:pt>
                <c:pt idx="160">
                  <c:v>42964</c:v>
                </c:pt>
                <c:pt idx="161">
                  <c:v>42965</c:v>
                </c:pt>
                <c:pt idx="162">
                  <c:v>42968</c:v>
                </c:pt>
                <c:pt idx="163">
                  <c:v>42969</c:v>
                </c:pt>
                <c:pt idx="164">
                  <c:v>42970</c:v>
                </c:pt>
                <c:pt idx="165">
                  <c:v>42971</c:v>
                </c:pt>
                <c:pt idx="166">
                  <c:v>42972</c:v>
                </c:pt>
                <c:pt idx="167">
                  <c:v>42975</c:v>
                </c:pt>
                <c:pt idx="168">
                  <c:v>42976</c:v>
                </c:pt>
                <c:pt idx="169">
                  <c:v>42977</c:v>
                </c:pt>
                <c:pt idx="170">
                  <c:v>42978</c:v>
                </c:pt>
                <c:pt idx="171">
                  <c:v>42979</c:v>
                </c:pt>
                <c:pt idx="172">
                  <c:v>42982</c:v>
                </c:pt>
                <c:pt idx="173">
                  <c:v>42983</c:v>
                </c:pt>
                <c:pt idx="174">
                  <c:v>42984</c:v>
                </c:pt>
                <c:pt idx="175">
                  <c:v>42985</c:v>
                </c:pt>
                <c:pt idx="176">
                  <c:v>42986</c:v>
                </c:pt>
                <c:pt idx="177">
                  <c:v>42989</c:v>
                </c:pt>
                <c:pt idx="178">
                  <c:v>42990</c:v>
                </c:pt>
                <c:pt idx="179">
                  <c:v>42991</c:v>
                </c:pt>
                <c:pt idx="180">
                  <c:v>42992</c:v>
                </c:pt>
                <c:pt idx="181">
                  <c:v>42993</c:v>
                </c:pt>
                <c:pt idx="182">
                  <c:v>42996</c:v>
                </c:pt>
                <c:pt idx="183">
                  <c:v>42997</c:v>
                </c:pt>
                <c:pt idx="184">
                  <c:v>42998</c:v>
                </c:pt>
                <c:pt idx="185">
                  <c:v>42999</c:v>
                </c:pt>
                <c:pt idx="186">
                  <c:v>43000</c:v>
                </c:pt>
                <c:pt idx="187">
                  <c:v>43003</c:v>
                </c:pt>
                <c:pt idx="188">
                  <c:v>43004</c:v>
                </c:pt>
                <c:pt idx="189">
                  <c:v>43005</c:v>
                </c:pt>
                <c:pt idx="190">
                  <c:v>43006</c:v>
                </c:pt>
                <c:pt idx="191">
                  <c:v>43007</c:v>
                </c:pt>
                <c:pt idx="192">
                  <c:v>43010</c:v>
                </c:pt>
                <c:pt idx="193">
                  <c:v>43011</c:v>
                </c:pt>
                <c:pt idx="194">
                  <c:v>43012</c:v>
                </c:pt>
                <c:pt idx="195">
                  <c:v>43013</c:v>
                </c:pt>
                <c:pt idx="196">
                  <c:v>43014</c:v>
                </c:pt>
                <c:pt idx="197">
                  <c:v>43017</c:v>
                </c:pt>
                <c:pt idx="198">
                  <c:v>43018</c:v>
                </c:pt>
                <c:pt idx="199">
                  <c:v>43019</c:v>
                </c:pt>
                <c:pt idx="200">
                  <c:v>43020</c:v>
                </c:pt>
                <c:pt idx="201">
                  <c:v>43021</c:v>
                </c:pt>
                <c:pt idx="202">
                  <c:v>43024</c:v>
                </c:pt>
                <c:pt idx="203">
                  <c:v>43025</c:v>
                </c:pt>
                <c:pt idx="204">
                  <c:v>43026</c:v>
                </c:pt>
                <c:pt idx="205">
                  <c:v>43027</c:v>
                </c:pt>
                <c:pt idx="206">
                  <c:v>43028</c:v>
                </c:pt>
                <c:pt idx="207">
                  <c:v>43031</c:v>
                </c:pt>
                <c:pt idx="208">
                  <c:v>43032</c:v>
                </c:pt>
                <c:pt idx="209">
                  <c:v>43033</c:v>
                </c:pt>
                <c:pt idx="210">
                  <c:v>43034</c:v>
                </c:pt>
                <c:pt idx="211">
                  <c:v>43035</c:v>
                </c:pt>
                <c:pt idx="212">
                  <c:v>43038</c:v>
                </c:pt>
                <c:pt idx="213">
                  <c:v>43039</c:v>
                </c:pt>
                <c:pt idx="214">
                  <c:v>43040</c:v>
                </c:pt>
                <c:pt idx="215">
                  <c:v>43041</c:v>
                </c:pt>
                <c:pt idx="216">
                  <c:v>43042</c:v>
                </c:pt>
                <c:pt idx="217">
                  <c:v>43045</c:v>
                </c:pt>
                <c:pt idx="218">
                  <c:v>43046</c:v>
                </c:pt>
                <c:pt idx="219">
                  <c:v>43047</c:v>
                </c:pt>
                <c:pt idx="220">
                  <c:v>43048</c:v>
                </c:pt>
                <c:pt idx="221">
                  <c:v>43049</c:v>
                </c:pt>
                <c:pt idx="222">
                  <c:v>43052</c:v>
                </c:pt>
                <c:pt idx="223">
                  <c:v>43053</c:v>
                </c:pt>
                <c:pt idx="224">
                  <c:v>43054</c:v>
                </c:pt>
                <c:pt idx="225">
                  <c:v>43055</c:v>
                </c:pt>
                <c:pt idx="226">
                  <c:v>43056</c:v>
                </c:pt>
                <c:pt idx="227">
                  <c:v>43059</c:v>
                </c:pt>
                <c:pt idx="228">
                  <c:v>43060</c:v>
                </c:pt>
                <c:pt idx="229">
                  <c:v>43061</c:v>
                </c:pt>
                <c:pt idx="230">
                  <c:v>43062</c:v>
                </c:pt>
                <c:pt idx="231">
                  <c:v>43063</c:v>
                </c:pt>
                <c:pt idx="232">
                  <c:v>43066</c:v>
                </c:pt>
                <c:pt idx="233">
                  <c:v>43067</c:v>
                </c:pt>
                <c:pt idx="234">
                  <c:v>43068</c:v>
                </c:pt>
                <c:pt idx="235">
                  <c:v>43069</c:v>
                </c:pt>
                <c:pt idx="236">
                  <c:v>43070</c:v>
                </c:pt>
                <c:pt idx="237">
                  <c:v>43073</c:v>
                </c:pt>
                <c:pt idx="238">
                  <c:v>43074</c:v>
                </c:pt>
                <c:pt idx="239">
                  <c:v>43075</c:v>
                </c:pt>
                <c:pt idx="240">
                  <c:v>43076</c:v>
                </c:pt>
                <c:pt idx="241">
                  <c:v>43077</c:v>
                </c:pt>
                <c:pt idx="242">
                  <c:v>43080</c:v>
                </c:pt>
                <c:pt idx="243">
                  <c:v>43081</c:v>
                </c:pt>
                <c:pt idx="244">
                  <c:v>43082</c:v>
                </c:pt>
                <c:pt idx="245">
                  <c:v>43083</c:v>
                </c:pt>
                <c:pt idx="246">
                  <c:v>43084</c:v>
                </c:pt>
                <c:pt idx="247">
                  <c:v>43087</c:v>
                </c:pt>
                <c:pt idx="248">
                  <c:v>43088</c:v>
                </c:pt>
                <c:pt idx="249">
                  <c:v>43089</c:v>
                </c:pt>
                <c:pt idx="250">
                  <c:v>43090</c:v>
                </c:pt>
                <c:pt idx="251">
                  <c:v>43091</c:v>
                </c:pt>
                <c:pt idx="252">
                  <c:v>43096</c:v>
                </c:pt>
                <c:pt idx="253">
                  <c:v>43097</c:v>
                </c:pt>
                <c:pt idx="254">
                  <c:v>43098</c:v>
                </c:pt>
                <c:pt idx="255">
                  <c:v>43102</c:v>
                </c:pt>
                <c:pt idx="256">
                  <c:v>43103</c:v>
                </c:pt>
                <c:pt idx="257">
                  <c:v>43104</c:v>
                </c:pt>
                <c:pt idx="258">
                  <c:v>43105</c:v>
                </c:pt>
                <c:pt idx="259">
                  <c:v>43108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1.2450780664861696E-3</c:v>
                </c:pt>
                <c:pt idx="1">
                  <c:v>1.2471247711062193E-3</c:v>
                </c:pt>
                <c:pt idx="2">
                  <c:v>1.249155837985533E-3</c:v>
                </c:pt>
                <c:pt idx="3">
                  <c:v>1.2511717883821353E-3</c:v>
                </c:pt>
                <c:pt idx="4">
                  <c:v>1.2531731435540508E-3</c:v>
                </c:pt>
                <c:pt idx="5">
                  <c:v>1.2590948503019221E-3</c:v>
                </c:pt>
                <c:pt idx="6">
                  <c:v>1.2610430371553358E-3</c:v>
                </c:pt>
                <c:pt idx="7">
                  <c:v>1.2629792350741852E-3</c:v>
                </c:pt>
                <c:pt idx="8">
                  <c:v>1.2649039653164951E-3</c:v>
                </c:pt>
                <c:pt idx="9">
                  <c:v>1.2668177491402899E-3</c:v>
                </c:pt>
                <c:pt idx="10">
                  <c:v>1.2724986346808289E-3</c:v>
                </c:pt>
                <c:pt idx="11">
                  <c:v>1.2743738454108085E-3</c:v>
                </c:pt>
                <c:pt idx="12">
                  <c:v>1.2762407160123957E-3</c:v>
                </c:pt>
                <c:pt idx="13">
                  <c:v>1.278099767743615E-3</c:v>
                </c:pt>
                <c:pt idx="14">
                  <c:v>1.2799515218624908E-3</c:v>
                </c:pt>
                <c:pt idx="15">
                  <c:v>1.2854682111253031E-3</c:v>
                </c:pt>
                <c:pt idx="16">
                  <c:v>1.2872959873750508E-3</c:v>
                </c:pt>
                <c:pt idx="17">
                  <c:v>1.2891190723025776E-3</c:v>
                </c:pt>
                <c:pt idx="18">
                  <c:v>1.2909379871659081E-3</c:v>
                </c:pt>
                <c:pt idx="19">
                  <c:v>1.2927532532230669E-3</c:v>
                </c:pt>
                <c:pt idx="20">
                  <c:v>1.2981823711377585E-3</c:v>
                </c:pt>
                <c:pt idx="21">
                  <c:v>1.2999882545504759E-3</c:v>
                </c:pt>
                <c:pt idx="22">
                  <c:v>1.3017930954471442E-3</c:v>
                </c:pt>
                <c:pt idx="23">
                  <c:v>1.3035974150857879E-3</c:v>
                </c:pt>
                <c:pt idx="24">
                  <c:v>1.3054017347244316E-3</c:v>
                </c:pt>
                <c:pt idx="25">
                  <c:v>1.3108199062206081E-3</c:v>
                </c:pt>
                <c:pt idx="26">
                  <c:v>1.3126294384394972E-3</c:v>
                </c:pt>
                <c:pt idx="27">
                  <c:v>1.3144415769485089E-3</c:v>
                </c:pt>
                <c:pt idx="28">
                  <c:v>1.3162568430056677E-3</c:v>
                </c:pt>
                <c:pt idx="29">
                  <c:v>1.3180757578689982E-3</c:v>
                </c:pt>
                <c:pt idx="30">
                  <c:v>1.3235596078762654E-3</c:v>
                </c:pt>
                <c:pt idx="31">
                  <c:v>1.3253983305445279E-3</c:v>
                </c:pt>
                <c:pt idx="32">
                  <c:v>1.3272433083090849E-3</c:v>
                </c:pt>
                <c:pt idx="33">
                  <c:v>1.3290950624279608E-3</c:v>
                </c:pt>
                <c:pt idx="34">
                  <c:v>1.33095411415918E-3</c:v>
                </c:pt>
                <c:pt idx="35">
                  <c:v>1.3365802676071434E-3</c:v>
                </c:pt>
                <c:pt idx="36">
                  <c:v>1.3384737223679818E-3</c:v>
                </c:pt>
                <c:pt idx="37">
                  <c:v>1.3403770810312859E-3</c:v>
                </c:pt>
                <c:pt idx="38">
                  <c:v>1.3422908648550807E-3</c:v>
                </c:pt>
                <c:pt idx="39">
                  <c:v>1.3442155950973906E-3</c:v>
                </c:pt>
                <c:pt idx="40">
                  <c:v>1.3500606769156561E-3</c:v>
                </c:pt>
                <c:pt idx="41">
                  <c:v>1.3520344054122715E-3</c:v>
                </c:pt>
                <c:pt idx="42">
                  <c:v>1.3540216866175249E-3</c:v>
                </c:pt>
                <c:pt idx="43">
                  <c:v>1.3560230417894404E-3</c:v>
                </c:pt>
                <c:pt idx="44">
                  <c:v>1.3580387992839379E-3</c:v>
                </c:pt>
                <c:pt idx="45">
                  <c:v>1.3641672815694963E-3</c:v>
                </c:pt>
                <c:pt idx="46">
                  <c:v>1.3662350584166866E-3</c:v>
                </c:pt>
                <c:pt idx="47">
                  <c:v>1.3683142497155363E-3</c:v>
                </c:pt>
                <c:pt idx="48">
                  <c:v>1.3704042193114401E-3</c:v>
                </c:pt>
                <c:pt idx="49">
                  <c:v>1.3725043310497927E-3</c:v>
                </c:pt>
                <c:pt idx="50">
                  <c:v>1.3788591575734884E-3</c:v>
                </c:pt>
                <c:pt idx="51">
                  <c:v>1.3809934763355815E-3</c:v>
                </c:pt>
                <c:pt idx="52">
                  <c:v>1.3831347564670958E-3</c:v>
                </c:pt>
                <c:pt idx="53">
                  <c:v>1.3852823618134265E-3</c:v>
                </c:pt>
                <c:pt idx="54">
                  <c:v>1.3874356562199677E-3</c:v>
                </c:pt>
                <c:pt idx="55">
                  <c:v>1.3939233122548004E-3</c:v>
                </c:pt>
                <c:pt idx="56">
                  <c:v>1.3960930013561296E-3</c:v>
                </c:pt>
                <c:pt idx="57">
                  <c:v>1.3982651987446422E-3</c:v>
                </c:pt>
                <c:pt idx="58">
                  <c:v>1.4004392682657326E-3</c:v>
                </c:pt>
                <c:pt idx="59">
                  <c:v>1.4026145737647956E-3</c:v>
                </c:pt>
                <c:pt idx="60">
                  <c:v>1.4091415445837655E-3</c:v>
                </c:pt>
                <c:pt idx="61">
                  <c:v>1.4113154324486641E-3</c:v>
                </c:pt>
                <c:pt idx="62">
                  <c:v>1.4134873755185079E-3</c:v>
                </c:pt>
                <c:pt idx="63">
                  <c:v>1.4156567376386918E-3</c:v>
                </c:pt>
                <c:pt idx="64">
                  <c:v>1.41782288265461E-3</c:v>
                </c:pt>
                <c:pt idx="65">
                  <c:v>1.4242956535307169E-3</c:v>
                </c:pt>
                <c:pt idx="66">
                  <c:v>1.4264426829849988E-3</c:v>
                </c:pt>
                <c:pt idx="67">
                  <c:v>1.4285840009708704E-3</c:v>
                </c:pt>
                <c:pt idx="68">
                  <c:v>1.4307196577426093E-3</c:v>
                </c:pt>
                <c:pt idx="69">
                  <c:v>1.4328497035544922E-3</c:v>
                </c:pt>
                <c:pt idx="70">
                  <c:v>1.4392066777737776E-3</c:v>
                </c:pt>
                <c:pt idx="71">
                  <c:v>1.4413147822890087E-3</c:v>
                </c:pt>
                <c:pt idx="72">
                  <c:v>1.4434175271157701E-3</c:v>
                </c:pt>
                <c:pt idx="73">
                  <c:v>1.4455149625083386E-3</c:v>
                </c:pt>
                <c:pt idx="74">
                  <c:v>1.4559242568579903E-3</c:v>
                </c:pt>
                <c:pt idx="75">
                  <c:v>1.4579908909852226E-3</c:v>
                </c:pt>
                <c:pt idx="76">
                  <c:v>1.4600525674582025E-3</c:v>
                </c:pt>
                <c:pt idx="77">
                  <c:v>1.4621093365312068E-3</c:v>
                </c:pt>
                <c:pt idx="78">
                  <c:v>1.468250701893139E-3</c:v>
                </c:pt>
                <c:pt idx="79">
                  <c:v>1.4702883439090134E-3</c:v>
                </c:pt>
                <c:pt idx="80">
                  <c:v>1.4723213297962983E-3</c:v>
                </c:pt>
                <c:pt idx="81">
                  <c:v>1.4743497098092708E-3</c:v>
                </c:pt>
                <c:pt idx="82">
                  <c:v>1.4763735342022081E-3</c:v>
                </c:pt>
                <c:pt idx="83">
                  <c:v>1.4844242806591487E-3</c:v>
                </c:pt>
                <c:pt idx="84">
                  <c:v>1.4864260807660676E-3</c:v>
                </c:pt>
                <c:pt idx="85">
                  <c:v>1.4884236267786143E-3</c:v>
                </c:pt>
                <c:pt idx="86">
                  <c:v>1.4904169689510659E-3</c:v>
                </c:pt>
                <c:pt idx="87">
                  <c:v>1.4963722749706228E-3</c:v>
                </c:pt>
                <c:pt idx="88">
                  <c:v>1.4983493043254663E-3</c:v>
                </c:pt>
                <c:pt idx="89">
                  <c:v>1.5003223811116005E-3</c:v>
                </c:pt>
                <c:pt idx="90">
                  <c:v>1.5022915555833029E-3</c:v>
                </c:pt>
                <c:pt idx="91">
                  <c:v>1.5042568779948505E-3</c:v>
                </c:pt>
                <c:pt idx="92">
                  <c:v>1.5101302354113362E-3</c:v>
                </c:pt>
                <c:pt idx="93">
                  <c:v>1.5120806521250363E-3</c:v>
                </c:pt>
                <c:pt idx="94">
                  <c:v>1.5140274680499675E-3</c:v>
                </c:pt>
                <c:pt idx="95">
                  <c:v>1.5159707334404071E-3</c:v>
                </c:pt>
                <c:pt idx="96">
                  <c:v>1.5179104985506321E-3</c:v>
                </c:pt>
                <c:pt idx="97">
                  <c:v>1.5237092947427912E-3</c:v>
                </c:pt>
                <c:pt idx="98">
                  <c:v>1.5256355612749295E-3</c:v>
                </c:pt>
                <c:pt idx="99">
                  <c:v>1.527558578798239E-3</c:v>
                </c:pt>
                <c:pt idx="100">
                  <c:v>1.5294783975669972E-3</c:v>
                </c:pt>
                <c:pt idx="101">
                  <c:v>1.531395067835481E-3</c:v>
                </c:pt>
                <c:pt idx="102">
                  <c:v>1.5371266901820578E-3</c:v>
                </c:pt>
                <c:pt idx="103">
                  <c:v>1.5390312689922156E-3</c:v>
                </c:pt>
                <c:pt idx="104">
                  <c:v>1.5409329505734852E-3</c:v>
                </c:pt>
                <c:pt idx="105">
                  <c:v>1.5428317851801433E-3</c:v>
                </c:pt>
                <c:pt idx="106">
                  <c:v>1.5447278230664675E-3</c:v>
                </c:pt>
                <c:pt idx="107">
                  <c:v>1.5503996589462062E-3</c:v>
                </c:pt>
                <c:pt idx="108">
                  <c:v>1.5522850124939655E-3</c:v>
                </c:pt>
                <c:pt idx="109">
                  <c:v>1.5541678205927762E-3</c:v>
                </c:pt>
                <c:pt idx="110">
                  <c:v>1.556048133496916E-3</c:v>
                </c:pt>
                <c:pt idx="111">
                  <c:v>1.5579260014606617E-3</c:v>
                </c:pt>
                <c:pt idx="112">
                  <c:v>1.5635454382523072E-3</c:v>
                </c:pt>
                <c:pt idx="113">
                  <c:v>1.5654140289972488E-3</c:v>
                </c:pt>
                <c:pt idx="114">
                  <c:v>1.5672804260731827E-3</c:v>
                </c:pt>
                <c:pt idx="115">
                  <c:v>1.5691446797343853E-3</c:v>
                </c:pt>
                <c:pt idx="116">
                  <c:v>1.5710068402351343E-3</c:v>
                </c:pt>
                <c:pt idx="117">
                  <c:v>1.5765812653174306E-3</c:v>
                </c:pt>
                <c:pt idx="118">
                  <c:v>1.5784355557191365E-3</c:v>
                </c:pt>
                <c:pt idx="119">
                  <c:v>1.5802880042317744E-3</c:v>
                </c:pt>
                <c:pt idx="120">
                  <c:v>1.5821386611096218E-3</c:v>
                </c:pt>
                <c:pt idx="121">
                  <c:v>1.5839875766069554E-3</c:v>
                </c:pt>
                <c:pt idx="122">
                  <c:v>1.5895243773586471E-3</c:v>
                </c:pt>
                <c:pt idx="123">
                  <c:v>1.5913668298766985E-3</c:v>
                </c:pt>
                <c:pt idx="124">
                  <c:v>1.5932077922856222E-3</c:v>
                </c:pt>
                <c:pt idx="125">
                  <c:v>1.5950473148396954E-3</c:v>
                </c:pt>
                <c:pt idx="126">
                  <c:v>1.5968854477931952E-3</c:v>
                </c:pt>
                <c:pt idx="127">
                  <c:v>1.6023920115930267E-3</c:v>
                </c:pt>
                <c:pt idx="128">
                  <c:v>1.6042250845863819E-3</c:v>
                </c:pt>
                <c:pt idx="129">
                  <c:v>1.6060569946468102E-3</c:v>
                </c:pt>
                <c:pt idx="130">
                  <c:v>1.6078877674248501E-3</c:v>
                </c:pt>
                <c:pt idx="131">
                  <c:v>1.6097174285710392E-3</c:v>
                </c:pt>
                <c:pt idx="132">
                  <c:v>1.6151999987238821E-3</c:v>
                </c:pt>
                <c:pt idx="133">
                  <c:v>1.6170254698480481E-3</c:v>
                </c:pt>
                <c:pt idx="134">
                  <c:v>1.6188499575930531E-3</c:v>
                </c:pt>
                <c:pt idx="135">
                  <c:v>1.6206734876094355E-3</c:v>
                </c:pt>
                <c:pt idx="136">
                  <c:v>1.6224960855477327E-3</c:v>
                </c:pt>
                <c:pt idx="137">
                  <c:v>1.627958543399495E-3</c:v>
                </c:pt>
                <c:pt idx="138">
                  <c:v>1.6297776695308325E-3</c:v>
                </c:pt>
                <c:pt idx="139">
                  <c:v>1.6315959918367748E-3</c:v>
                </c:pt>
                <c:pt idx="140">
                  <c:v>1.6334135359678602E-3</c:v>
                </c:pt>
                <c:pt idx="141">
                  <c:v>1.6352303275746264E-3</c:v>
                </c:pt>
                <c:pt idx="142">
                  <c:v>1.64067644375439E-3</c:v>
                </c:pt>
                <c:pt idx="143">
                  <c:v>1.6424904817692594E-3</c:v>
                </c:pt>
                <c:pt idx="144">
                  <c:v>1.6443038955124996E-3</c:v>
                </c:pt>
                <c:pt idx="145">
                  <c:v>1.6461167106346486E-3</c:v>
                </c:pt>
                <c:pt idx="146">
                  <c:v>1.6479289527862441E-3</c:v>
                </c:pt>
                <c:pt idx="147">
                  <c:v>1.6533624979230908E-3</c:v>
                </c:pt>
                <c:pt idx="148">
                  <c:v>1.6551727046978529E-3</c:v>
                </c:pt>
                <c:pt idx="149">
                  <c:v>1.6569824667547516E-3</c:v>
                </c:pt>
                <c:pt idx="150">
                  <c:v>1.6587918097443247E-3</c:v>
                </c:pt>
                <c:pt idx="151">
                  <c:v>1.6606007593171104E-3</c:v>
                </c:pt>
                <c:pt idx="152">
                  <c:v>1.6660255040401219E-3</c:v>
                </c:pt>
                <c:pt idx="153">
                  <c:v>1.6678331364511371E-3</c:v>
                </c:pt>
                <c:pt idx="154">
                  <c:v>1.6696405036980548E-3</c:v>
                </c:pt>
                <c:pt idx="155">
                  <c:v>1.671447631431413E-3</c:v>
                </c:pt>
                <c:pt idx="156">
                  <c:v>1.6732545453017492E-3</c:v>
                </c:pt>
                <c:pt idx="157">
                  <c:v>1.6786742602400075E-3</c:v>
                </c:pt>
                <c:pt idx="158">
                  <c:v>1.6804805751636366E-3</c:v>
                </c:pt>
                <c:pt idx="159">
                  <c:v>1.6822868044769339E-3</c:v>
                </c:pt>
                <c:pt idx="160">
                  <c:v>1.6840929738304372E-3</c:v>
                </c:pt>
                <c:pt idx="161">
                  <c:v>1.6858991088746847E-3</c:v>
                </c:pt>
                <c:pt idx="162">
                  <c:v>1.6913175646572716E-3</c:v>
                </c:pt>
                <c:pt idx="163">
                  <c:v>1.6931238189698751E-3</c:v>
                </c:pt>
                <c:pt idx="164">
                  <c:v>1.6949301672259127E-3</c:v>
                </c:pt>
                <c:pt idx="165">
                  <c:v>1.6967366350759221E-3</c:v>
                </c:pt>
                <c:pt idx="166">
                  <c:v>1.6985432481704413E-3</c:v>
                </c:pt>
                <c:pt idx="167">
                  <c:v>1.7039642154264385E-3</c:v>
                </c:pt>
                <c:pt idx="168">
                  <c:v>1.7057716660043769E-3</c:v>
                </c:pt>
                <c:pt idx="169">
                  <c:v>1.7075793900795154E-3</c:v>
                </c:pt>
                <c:pt idx="170">
                  <c:v>1.7093874133023914E-3</c:v>
                </c:pt>
                <c:pt idx="171">
                  <c:v>1.711195761323543E-3</c:v>
                </c:pt>
                <c:pt idx="172">
                  <c:v>1.7166230106820321E-3</c:v>
                </c:pt>
                <c:pt idx="173">
                  <c:v>1.7184329144016664E-3</c:v>
                </c:pt>
                <c:pt idx="174">
                  <c:v>1.7202432711722663E-3</c:v>
                </c:pt>
                <c:pt idx="175">
                  <c:v>1.7220541066443695E-3</c:v>
                </c:pt>
                <c:pt idx="176">
                  <c:v>1.7238654464685143E-3</c:v>
                </c:pt>
                <c:pt idx="177">
                  <c:v>1.7293027485585772E-3</c:v>
                </c:pt>
                <c:pt idx="178">
                  <c:v>1.7311163622962676E-3</c:v>
                </c:pt>
                <c:pt idx="179">
                  <c:v>1.7329306086386895E-3</c:v>
                </c:pt>
                <c:pt idx="180">
                  <c:v>1.7347455132363805E-3</c:v>
                </c:pt>
                <c:pt idx="181">
                  <c:v>1.7365611017398789E-3</c:v>
                </c:pt>
                <c:pt idx="182">
                  <c:v>1.7420122271905975E-3</c:v>
                </c:pt>
                <c:pt idx="183">
                  <c:v>1.7438308078227048E-3</c:v>
                </c:pt>
                <c:pt idx="184">
                  <c:v>1.745650200613309E-3</c:v>
                </c:pt>
                <c:pt idx="185">
                  <c:v>1.7474704312129487E-3</c:v>
                </c:pt>
                <c:pt idx="186">
                  <c:v>1.7492915252721613E-3</c:v>
                </c:pt>
                <c:pt idx="187">
                  <c:v>1.7547602447126173E-3</c:v>
                </c:pt>
                <c:pt idx="188">
                  <c:v>1.756585049115502E-3</c:v>
                </c:pt>
                <c:pt idx="189">
                  <c:v>1.7584108452306495E-3</c:v>
                </c:pt>
                <c:pt idx="190">
                  <c:v>1.7602376587085981E-3</c:v>
                </c:pt>
                <c:pt idx="191">
                  <c:v>1.7620655151998855E-3</c:v>
                </c:pt>
                <c:pt idx="192">
                  <c:v>1.7675555992591608E-3</c:v>
                </c:pt>
                <c:pt idx="193">
                  <c:v>1.7693878779587034E-3</c:v>
                </c:pt>
                <c:pt idx="194">
                  <c:v>1.7712212898213947E-3</c:v>
                </c:pt>
                <c:pt idx="195">
                  <c:v>1.7730558223948919E-3</c:v>
                </c:pt>
                <c:pt idx="196">
                  <c:v>1.7748914632268532E-3</c:v>
                </c:pt>
                <c:pt idx="197">
                  <c:v>1.7804049107500973E-3</c:v>
                </c:pt>
                <c:pt idx="198">
                  <c:v>1.782244860092491E-3</c:v>
                </c:pt>
                <c:pt idx="199">
                  <c:v>1.7840858554316376E-3</c:v>
                </c:pt>
                <c:pt idx="200">
                  <c:v>1.7859278843151941E-3</c:v>
                </c:pt>
                <c:pt idx="201">
                  <c:v>1.7877709342908183E-3</c:v>
                </c:pt>
                <c:pt idx="202">
                  <c:v>1.7933060862466758E-3</c:v>
                </c:pt>
                <c:pt idx="203">
                  <c:v>1.7951530960671487E-3</c:v>
                </c:pt>
                <c:pt idx="204">
                  <c:v>1.7970010647179778E-3</c:v>
                </c:pt>
                <c:pt idx="205">
                  <c:v>1.7988499797468214E-3</c:v>
                </c:pt>
                <c:pt idx="206">
                  <c:v>1.8006998287013365E-3</c:v>
                </c:pt>
                <c:pt idx="207">
                  <c:v>1.8062548545954905E-3</c:v>
                </c:pt>
                <c:pt idx="208">
                  <c:v>1.8081083147292701E-3</c:v>
                </c:pt>
                <c:pt idx="209">
                  <c:v>1.8099626465270101E-3</c:v>
                </c:pt>
                <c:pt idx="210">
                  <c:v>1.8118178375363682E-3</c:v>
                </c:pt>
                <c:pt idx="211">
                  <c:v>1.8136738753050021E-3</c:v>
                </c:pt>
                <c:pt idx="212">
                  <c:v>1.8192469446431357E-3</c:v>
                </c:pt>
                <c:pt idx="213">
                  <c:v>1.8211062449254498E-3</c:v>
                </c:pt>
                <c:pt idx="214">
                  <c:v>1.8229663297053282E-3</c:v>
                </c:pt>
                <c:pt idx="215">
                  <c:v>1.8248271865304287E-3</c:v>
                </c:pt>
                <c:pt idx="216">
                  <c:v>1.8266888029484091E-3</c:v>
                </c:pt>
                <c:pt idx="217">
                  <c:v>1.8322780852362054E-3</c:v>
                </c:pt>
                <c:pt idx="218">
                  <c:v>1.8341426155022817E-3</c:v>
                </c:pt>
                <c:pt idx="219">
                  <c:v>1.8360078430995264E-3</c:v>
                </c:pt>
                <c:pt idx="220">
                  <c:v>1.8378737555755972E-3</c:v>
                </c:pt>
                <c:pt idx="221">
                  <c:v>1.8397403404781514E-3</c:v>
                </c:pt>
                <c:pt idx="222">
                  <c:v>1.8453440052212939E-3</c:v>
                </c:pt>
                <c:pt idx="223">
                  <c:v>1.8472131553063603E-3</c:v>
                </c:pt>
                <c:pt idx="224">
                  <c:v>1.8490829155561989E-3</c:v>
                </c:pt>
                <c:pt idx="225">
                  <c:v>1.8509532735184674E-3</c:v>
                </c:pt>
                <c:pt idx="226">
                  <c:v>1.8528242167408237E-3</c:v>
                </c:pt>
                <c:pt idx="227">
                  <c:v>1.8584404334449954E-3</c:v>
                </c:pt>
                <c:pt idx="228">
                  <c:v>1.8603135931842796E-3</c:v>
                </c:pt>
                <c:pt idx="229">
                  <c:v>1.8621872759219398E-3</c:v>
                </c:pt>
                <c:pt idx="230">
                  <c:v>1.864061469205634E-3</c:v>
                </c:pt>
                <c:pt idx="231">
                  <c:v>1.8659361605830199E-3</c:v>
                </c:pt>
                <c:pt idx="232">
                  <c:v>1.8715630987539043E-3</c:v>
                </c:pt>
                <c:pt idx="233">
                  <c:v>1.8734396579826338E-3</c:v>
                </c:pt>
                <c:pt idx="234">
                  <c:v>1.8753166530433435E-3</c:v>
                </c:pt>
                <c:pt idx="235">
                  <c:v>1.8771940714836909E-3</c:v>
                </c:pt>
                <c:pt idx="236">
                  <c:v>1.8790719008513342E-3</c:v>
                </c:pt>
                <c:pt idx="237">
                  <c:v>1.8847077299946142E-3</c:v>
                </c:pt>
                <c:pt idx="238">
                  <c:v>1.8865870785480169E-3</c:v>
                </c:pt>
                <c:pt idx="239">
                  <c:v>1.8884667757670039E-3</c:v>
                </c:pt>
                <c:pt idx="240">
                  <c:v>1.8903468091992326E-3</c:v>
                </c:pt>
                <c:pt idx="241">
                  <c:v>1.8922271663923606E-3</c:v>
                </c:pt>
                <c:pt idx="242">
                  <c:v>1.89787005601372E-3</c:v>
                </c:pt>
                <c:pt idx="243">
                  <c:v>1.8997515837270236E-3</c:v>
                </c:pt>
                <c:pt idx="244">
                  <c:v>1.9016333729395152E-3</c:v>
                </c:pt>
                <c:pt idx="245">
                  <c:v>1.9035154111988529E-3</c:v>
                </c:pt>
                <c:pt idx="246">
                  <c:v>1.9053976860526939E-3</c:v>
                </c:pt>
                <c:pt idx="247">
                  <c:v>1.9110458056578153E-3</c:v>
                </c:pt>
                <c:pt idx="248">
                  <c:v>1.9129289023662476E-3</c:v>
                </c:pt>
                <c:pt idx="249">
                  <c:v>1.9148121734074719E-3</c:v>
                </c:pt>
                <c:pt idx="250">
                  <c:v>1.9166956063291459E-3</c:v>
                </c:pt>
                <c:pt idx="251">
                  <c:v>1.9185791886789276E-3</c:v>
                </c:pt>
                <c:pt idx="252">
                  <c:v>1.9279989060174679E-3</c:v>
                </c:pt>
                <c:pt idx="253">
                  <c:v>1.9298831234367062E-3</c:v>
                </c:pt>
                <c:pt idx="254">
                  <c:v>1.9317674031176563E-3</c:v>
                </c:pt>
                <c:pt idx="255">
                  <c:v>1.9393048954117246E-3</c:v>
                </c:pt>
                <c:pt idx="256">
                  <c:v>1.9411892996160974E-3</c:v>
                </c:pt>
                <c:pt idx="257">
                  <c:v>1.9430736913681279E-3</c:v>
                </c:pt>
                <c:pt idx="258">
                  <c:v>1.944958058215474E-3</c:v>
                </c:pt>
                <c:pt idx="259">
                  <c:v>1.9506108848059813E-3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25056"/>
        <c:axId val="505326592"/>
      </c:scatterChart>
      <c:valAx>
        <c:axId val="505325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5326592"/>
        <c:crosses val="autoZero"/>
        <c:crossBetween val="midCat"/>
      </c:valAx>
      <c:valAx>
        <c:axId val="5053265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53250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42737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2.620000000000078E-3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42768</c:v>
                </c:pt>
                <c:pt idx="1">
                  <c:v>42796</c:v>
                </c:pt>
                <c:pt idx="2">
                  <c:v>42828</c:v>
                </c:pt>
                <c:pt idx="3">
                  <c:v>42857</c:v>
                </c:pt>
                <c:pt idx="4">
                  <c:v>42888</c:v>
                </c:pt>
                <c:pt idx="5">
                  <c:v>42919</c:v>
                </c:pt>
                <c:pt idx="6">
                  <c:v>42949</c:v>
                </c:pt>
                <c:pt idx="7">
                  <c:v>42982</c:v>
                </c:pt>
                <c:pt idx="8">
                  <c:v>43010</c:v>
                </c:pt>
                <c:pt idx="9">
                  <c:v>43041</c:v>
                </c:pt>
                <c:pt idx="10">
                  <c:v>43073</c:v>
                </c:pt>
                <c:pt idx="11">
                  <c:v>43102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2.6373475754980034E-3</c:v>
                </c:pt>
                <c:pt idx="1">
                  <c:v>2.7058435303696595E-3</c:v>
                </c:pt>
                <c:pt idx="2">
                  <c:v>2.7830331128059927E-3</c:v>
                </c:pt>
                <c:pt idx="3">
                  <c:v>2.8573596859516408E-3</c:v>
                </c:pt>
                <c:pt idx="4">
                  <c:v>2.9318142703488341E-3</c:v>
                </c:pt>
                <c:pt idx="5">
                  <c:v>2.9979569003344324E-3</c:v>
                </c:pt>
                <c:pt idx="6">
                  <c:v>3.0589516099445435E-3</c:v>
                </c:pt>
                <c:pt idx="7">
                  <c:v>3.1266153654059838E-3</c:v>
                </c:pt>
                <c:pt idx="8">
                  <c:v>3.1900579026438122E-3</c:v>
                </c:pt>
                <c:pt idx="9">
                  <c:v>3.2481350421630869E-3</c:v>
                </c:pt>
                <c:pt idx="10">
                  <c:v>3.3063814924447032E-3</c:v>
                </c:pt>
                <c:pt idx="11">
                  <c:v>3.380327519328233E-3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42761</c:v>
                </c:pt>
                <c:pt idx="19">
                  <c:v>42762</c:v>
                </c:pt>
                <c:pt idx="20">
                  <c:v>42765</c:v>
                </c:pt>
                <c:pt idx="21">
                  <c:v>42766</c:v>
                </c:pt>
                <c:pt idx="22">
                  <c:v>42767</c:v>
                </c:pt>
                <c:pt idx="23">
                  <c:v>42768</c:v>
                </c:pt>
                <c:pt idx="24">
                  <c:v>42769</c:v>
                </c:pt>
                <c:pt idx="25">
                  <c:v>42772</c:v>
                </c:pt>
                <c:pt idx="26">
                  <c:v>42773</c:v>
                </c:pt>
                <c:pt idx="27">
                  <c:v>42774</c:v>
                </c:pt>
                <c:pt idx="28">
                  <c:v>42775</c:v>
                </c:pt>
                <c:pt idx="29">
                  <c:v>42776</c:v>
                </c:pt>
                <c:pt idx="30">
                  <c:v>42779</c:v>
                </c:pt>
                <c:pt idx="31">
                  <c:v>42780</c:v>
                </c:pt>
                <c:pt idx="32">
                  <c:v>42781</c:v>
                </c:pt>
                <c:pt idx="33">
                  <c:v>42782</c:v>
                </c:pt>
                <c:pt idx="34">
                  <c:v>42783</c:v>
                </c:pt>
                <c:pt idx="35">
                  <c:v>42786</c:v>
                </c:pt>
                <c:pt idx="36">
                  <c:v>42787</c:v>
                </c:pt>
                <c:pt idx="37">
                  <c:v>42788</c:v>
                </c:pt>
                <c:pt idx="38">
                  <c:v>42789</c:v>
                </c:pt>
                <c:pt idx="39">
                  <c:v>42790</c:v>
                </c:pt>
                <c:pt idx="40">
                  <c:v>42793</c:v>
                </c:pt>
                <c:pt idx="41">
                  <c:v>42794</c:v>
                </c:pt>
                <c:pt idx="42">
                  <c:v>42795</c:v>
                </c:pt>
                <c:pt idx="43">
                  <c:v>42796</c:v>
                </c:pt>
                <c:pt idx="44">
                  <c:v>42797</c:v>
                </c:pt>
                <c:pt idx="45">
                  <c:v>42800</c:v>
                </c:pt>
                <c:pt idx="46">
                  <c:v>42801</c:v>
                </c:pt>
                <c:pt idx="47">
                  <c:v>42802</c:v>
                </c:pt>
                <c:pt idx="48">
                  <c:v>42803</c:v>
                </c:pt>
                <c:pt idx="49">
                  <c:v>42804</c:v>
                </c:pt>
                <c:pt idx="50">
                  <c:v>42807</c:v>
                </c:pt>
                <c:pt idx="51">
                  <c:v>42808</c:v>
                </c:pt>
                <c:pt idx="52">
                  <c:v>42809</c:v>
                </c:pt>
                <c:pt idx="53">
                  <c:v>42810</c:v>
                </c:pt>
                <c:pt idx="54">
                  <c:v>42811</c:v>
                </c:pt>
                <c:pt idx="55">
                  <c:v>42814</c:v>
                </c:pt>
                <c:pt idx="56">
                  <c:v>42815</c:v>
                </c:pt>
                <c:pt idx="57">
                  <c:v>42816</c:v>
                </c:pt>
                <c:pt idx="58">
                  <c:v>42817</c:v>
                </c:pt>
                <c:pt idx="59">
                  <c:v>42818</c:v>
                </c:pt>
                <c:pt idx="60">
                  <c:v>42821</c:v>
                </c:pt>
                <c:pt idx="61">
                  <c:v>42822</c:v>
                </c:pt>
                <c:pt idx="62">
                  <c:v>42823</c:v>
                </c:pt>
                <c:pt idx="63">
                  <c:v>42824</c:v>
                </c:pt>
                <c:pt idx="64">
                  <c:v>42825</c:v>
                </c:pt>
                <c:pt idx="65">
                  <c:v>42828</c:v>
                </c:pt>
                <c:pt idx="66">
                  <c:v>42829</c:v>
                </c:pt>
                <c:pt idx="67">
                  <c:v>42830</c:v>
                </c:pt>
                <c:pt idx="68">
                  <c:v>42831</c:v>
                </c:pt>
                <c:pt idx="69">
                  <c:v>42832</c:v>
                </c:pt>
                <c:pt idx="70">
                  <c:v>42835</c:v>
                </c:pt>
                <c:pt idx="71">
                  <c:v>42836</c:v>
                </c:pt>
                <c:pt idx="72">
                  <c:v>42837</c:v>
                </c:pt>
                <c:pt idx="73">
                  <c:v>42838</c:v>
                </c:pt>
                <c:pt idx="74">
                  <c:v>42843</c:v>
                </c:pt>
                <c:pt idx="75">
                  <c:v>42844</c:v>
                </c:pt>
                <c:pt idx="76">
                  <c:v>42845</c:v>
                </c:pt>
                <c:pt idx="77">
                  <c:v>42846</c:v>
                </c:pt>
                <c:pt idx="78">
                  <c:v>42849</c:v>
                </c:pt>
                <c:pt idx="79">
                  <c:v>42850</c:v>
                </c:pt>
                <c:pt idx="80">
                  <c:v>42851</c:v>
                </c:pt>
                <c:pt idx="81">
                  <c:v>42852</c:v>
                </c:pt>
                <c:pt idx="82">
                  <c:v>42853</c:v>
                </c:pt>
                <c:pt idx="83">
                  <c:v>42857</c:v>
                </c:pt>
                <c:pt idx="84">
                  <c:v>42858</c:v>
                </c:pt>
                <c:pt idx="85">
                  <c:v>42859</c:v>
                </c:pt>
                <c:pt idx="86">
                  <c:v>42860</c:v>
                </c:pt>
                <c:pt idx="87">
                  <c:v>42863</c:v>
                </c:pt>
                <c:pt idx="88">
                  <c:v>42864</c:v>
                </c:pt>
                <c:pt idx="89">
                  <c:v>42865</c:v>
                </c:pt>
                <c:pt idx="90">
                  <c:v>42866</c:v>
                </c:pt>
                <c:pt idx="91">
                  <c:v>42867</c:v>
                </c:pt>
                <c:pt idx="92">
                  <c:v>42870</c:v>
                </c:pt>
                <c:pt idx="93">
                  <c:v>42871</c:v>
                </c:pt>
                <c:pt idx="94">
                  <c:v>42872</c:v>
                </c:pt>
                <c:pt idx="95">
                  <c:v>42873</c:v>
                </c:pt>
                <c:pt idx="96">
                  <c:v>42874</c:v>
                </c:pt>
                <c:pt idx="97">
                  <c:v>42877</c:v>
                </c:pt>
                <c:pt idx="98">
                  <c:v>42878</c:v>
                </c:pt>
                <c:pt idx="99">
                  <c:v>42879</c:v>
                </c:pt>
                <c:pt idx="100">
                  <c:v>42880</c:v>
                </c:pt>
                <c:pt idx="101">
                  <c:v>42881</c:v>
                </c:pt>
                <c:pt idx="102">
                  <c:v>42884</c:v>
                </c:pt>
                <c:pt idx="103">
                  <c:v>42885</c:v>
                </c:pt>
                <c:pt idx="104">
                  <c:v>42886</c:v>
                </c:pt>
                <c:pt idx="105">
                  <c:v>42887</c:v>
                </c:pt>
                <c:pt idx="106">
                  <c:v>42888</c:v>
                </c:pt>
                <c:pt idx="107">
                  <c:v>42891</c:v>
                </c:pt>
                <c:pt idx="108">
                  <c:v>42892</c:v>
                </c:pt>
                <c:pt idx="109">
                  <c:v>42893</c:v>
                </c:pt>
                <c:pt idx="110">
                  <c:v>42894</c:v>
                </c:pt>
                <c:pt idx="111">
                  <c:v>42895</c:v>
                </c:pt>
                <c:pt idx="112">
                  <c:v>42898</c:v>
                </c:pt>
                <c:pt idx="113">
                  <c:v>42899</c:v>
                </c:pt>
                <c:pt idx="114">
                  <c:v>42900</c:v>
                </c:pt>
                <c:pt idx="115">
                  <c:v>42901</c:v>
                </c:pt>
                <c:pt idx="116">
                  <c:v>42902</c:v>
                </c:pt>
                <c:pt idx="117">
                  <c:v>42905</c:v>
                </c:pt>
                <c:pt idx="118">
                  <c:v>42906</c:v>
                </c:pt>
                <c:pt idx="119">
                  <c:v>42907</c:v>
                </c:pt>
                <c:pt idx="120">
                  <c:v>42908</c:v>
                </c:pt>
                <c:pt idx="121">
                  <c:v>42909</c:v>
                </c:pt>
                <c:pt idx="122">
                  <c:v>42912</c:v>
                </c:pt>
                <c:pt idx="123">
                  <c:v>42913</c:v>
                </c:pt>
                <c:pt idx="124">
                  <c:v>42914</c:v>
                </c:pt>
                <c:pt idx="125">
                  <c:v>42915</c:v>
                </c:pt>
                <c:pt idx="126">
                  <c:v>42916</c:v>
                </c:pt>
                <c:pt idx="127">
                  <c:v>42919</c:v>
                </c:pt>
                <c:pt idx="128">
                  <c:v>42920</c:v>
                </c:pt>
                <c:pt idx="129">
                  <c:v>42921</c:v>
                </c:pt>
                <c:pt idx="130">
                  <c:v>42922</c:v>
                </c:pt>
                <c:pt idx="131">
                  <c:v>42923</c:v>
                </c:pt>
                <c:pt idx="132">
                  <c:v>42926</c:v>
                </c:pt>
                <c:pt idx="133">
                  <c:v>42927</c:v>
                </c:pt>
                <c:pt idx="134">
                  <c:v>42928</c:v>
                </c:pt>
                <c:pt idx="135">
                  <c:v>42929</c:v>
                </c:pt>
                <c:pt idx="136">
                  <c:v>42930</c:v>
                </c:pt>
                <c:pt idx="137">
                  <c:v>42933</c:v>
                </c:pt>
                <c:pt idx="138">
                  <c:v>42934</c:v>
                </c:pt>
                <c:pt idx="139">
                  <c:v>42935</c:v>
                </c:pt>
                <c:pt idx="140">
                  <c:v>42936</c:v>
                </c:pt>
                <c:pt idx="141">
                  <c:v>42937</c:v>
                </c:pt>
                <c:pt idx="142">
                  <c:v>42940</c:v>
                </c:pt>
                <c:pt idx="143">
                  <c:v>42941</c:v>
                </c:pt>
                <c:pt idx="144">
                  <c:v>42942</c:v>
                </c:pt>
                <c:pt idx="145">
                  <c:v>42943</c:v>
                </c:pt>
                <c:pt idx="146">
                  <c:v>42944</c:v>
                </c:pt>
                <c:pt idx="147">
                  <c:v>42947</c:v>
                </c:pt>
                <c:pt idx="148">
                  <c:v>42948</c:v>
                </c:pt>
                <c:pt idx="149">
                  <c:v>42949</c:v>
                </c:pt>
                <c:pt idx="150">
                  <c:v>42950</c:v>
                </c:pt>
                <c:pt idx="151">
                  <c:v>42951</c:v>
                </c:pt>
                <c:pt idx="152">
                  <c:v>42954</c:v>
                </c:pt>
                <c:pt idx="153">
                  <c:v>42955</c:v>
                </c:pt>
                <c:pt idx="154">
                  <c:v>42956</c:v>
                </c:pt>
                <c:pt idx="155">
                  <c:v>42957</c:v>
                </c:pt>
                <c:pt idx="156">
                  <c:v>42958</c:v>
                </c:pt>
                <c:pt idx="157">
                  <c:v>42961</c:v>
                </c:pt>
                <c:pt idx="158">
                  <c:v>42962</c:v>
                </c:pt>
                <c:pt idx="159">
                  <c:v>42963</c:v>
                </c:pt>
                <c:pt idx="160">
                  <c:v>42964</c:v>
                </c:pt>
                <c:pt idx="161">
                  <c:v>42965</c:v>
                </c:pt>
                <c:pt idx="162">
                  <c:v>42968</c:v>
                </c:pt>
                <c:pt idx="163">
                  <c:v>42969</c:v>
                </c:pt>
                <c:pt idx="164">
                  <c:v>42970</c:v>
                </c:pt>
                <c:pt idx="165">
                  <c:v>42971</c:v>
                </c:pt>
                <c:pt idx="166">
                  <c:v>42972</c:v>
                </c:pt>
                <c:pt idx="167">
                  <c:v>42975</c:v>
                </c:pt>
                <c:pt idx="168">
                  <c:v>42976</c:v>
                </c:pt>
                <c:pt idx="169">
                  <c:v>42977</c:v>
                </c:pt>
                <c:pt idx="170">
                  <c:v>42978</c:v>
                </c:pt>
                <c:pt idx="171">
                  <c:v>42979</c:v>
                </c:pt>
                <c:pt idx="172">
                  <c:v>42982</c:v>
                </c:pt>
                <c:pt idx="173">
                  <c:v>42983</c:v>
                </c:pt>
                <c:pt idx="174">
                  <c:v>42984</c:v>
                </c:pt>
                <c:pt idx="175">
                  <c:v>42985</c:v>
                </c:pt>
                <c:pt idx="176">
                  <c:v>42986</c:v>
                </c:pt>
                <c:pt idx="177">
                  <c:v>42989</c:v>
                </c:pt>
                <c:pt idx="178">
                  <c:v>42990</c:v>
                </c:pt>
                <c:pt idx="179">
                  <c:v>42991</c:v>
                </c:pt>
                <c:pt idx="180">
                  <c:v>42992</c:v>
                </c:pt>
                <c:pt idx="181">
                  <c:v>42993</c:v>
                </c:pt>
                <c:pt idx="182">
                  <c:v>42996</c:v>
                </c:pt>
                <c:pt idx="183">
                  <c:v>42997</c:v>
                </c:pt>
                <c:pt idx="184">
                  <c:v>42998</c:v>
                </c:pt>
                <c:pt idx="185">
                  <c:v>42999</c:v>
                </c:pt>
                <c:pt idx="186">
                  <c:v>43000</c:v>
                </c:pt>
                <c:pt idx="187">
                  <c:v>43003</c:v>
                </c:pt>
                <c:pt idx="188">
                  <c:v>43004</c:v>
                </c:pt>
                <c:pt idx="189">
                  <c:v>43005</c:v>
                </c:pt>
                <c:pt idx="190">
                  <c:v>43006</c:v>
                </c:pt>
                <c:pt idx="191">
                  <c:v>43007</c:v>
                </c:pt>
                <c:pt idx="192">
                  <c:v>43010</c:v>
                </c:pt>
                <c:pt idx="193">
                  <c:v>43011</c:v>
                </c:pt>
                <c:pt idx="194">
                  <c:v>43012</c:v>
                </c:pt>
                <c:pt idx="195">
                  <c:v>43013</c:v>
                </c:pt>
                <c:pt idx="196">
                  <c:v>43014</c:v>
                </c:pt>
                <c:pt idx="197">
                  <c:v>43017</c:v>
                </c:pt>
                <c:pt idx="198">
                  <c:v>43018</c:v>
                </c:pt>
                <c:pt idx="199">
                  <c:v>43019</c:v>
                </c:pt>
                <c:pt idx="200">
                  <c:v>43020</c:v>
                </c:pt>
                <c:pt idx="201">
                  <c:v>43021</c:v>
                </c:pt>
                <c:pt idx="202">
                  <c:v>43024</c:v>
                </c:pt>
                <c:pt idx="203">
                  <c:v>43025</c:v>
                </c:pt>
                <c:pt idx="204">
                  <c:v>43026</c:v>
                </c:pt>
                <c:pt idx="205">
                  <c:v>43027</c:v>
                </c:pt>
                <c:pt idx="206">
                  <c:v>43028</c:v>
                </c:pt>
                <c:pt idx="207">
                  <c:v>43031</c:v>
                </c:pt>
                <c:pt idx="208">
                  <c:v>43032</c:v>
                </c:pt>
                <c:pt idx="209">
                  <c:v>43033</c:v>
                </c:pt>
                <c:pt idx="210">
                  <c:v>43034</c:v>
                </c:pt>
                <c:pt idx="211">
                  <c:v>43035</c:v>
                </c:pt>
                <c:pt idx="212">
                  <c:v>43038</c:v>
                </c:pt>
                <c:pt idx="213">
                  <c:v>43039</c:v>
                </c:pt>
                <c:pt idx="214">
                  <c:v>43040</c:v>
                </c:pt>
                <c:pt idx="215">
                  <c:v>43041</c:v>
                </c:pt>
                <c:pt idx="216">
                  <c:v>43042</c:v>
                </c:pt>
                <c:pt idx="217">
                  <c:v>43045</c:v>
                </c:pt>
                <c:pt idx="218">
                  <c:v>43046</c:v>
                </c:pt>
                <c:pt idx="219">
                  <c:v>43047</c:v>
                </c:pt>
                <c:pt idx="220">
                  <c:v>43048</c:v>
                </c:pt>
                <c:pt idx="221">
                  <c:v>43049</c:v>
                </c:pt>
                <c:pt idx="222">
                  <c:v>43052</c:v>
                </c:pt>
                <c:pt idx="223">
                  <c:v>43053</c:v>
                </c:pt>
                <c:pt idx="224">
                  <c:v>43054</c:v>
                </c:pt>
                <c:pt idx="225">
                  <c:v>43055</c:v>
                </c:pt>
                <c:pt idx="226">
                  <c:v>43056</c:v>
                </c:pt>
                <c:pt idx="227">
                  <c:v>43059</c:v>
                </c:pt>
                <c:pt idx="228">
                  <c:v>43060</c:v>
                </c:pt>
                <c:pt idx="229">
                  <c:v>43061</c:v>
                </c:pt>
                <c:pt idx="230">
                  <c:v>43062</c:v>
                </c:pt>
                <c:pt idx="231">
                  <c:v>43063</c:v>
                </c:pt>
                <c:pt idx="232">
                  <c:v>43066</c:v>
                </c:pt>
                <c:pt idx="233">
                  <c:v>43067</c:v>
                </c:pt>
                <c:pt idx="234">
                  <c:v>43068</c:v>
                </c:pt>
                <c:pt idx="235">
                  <c:v>43069</c:v>
                </c:pt>
                <c:pt idx="236">
                  <c:v>43070</c:v>
                </c:pt>
                <c:pt idx="237">
                  <c:v>43073</c:v>
                </c:pt>
                <c:pt idx="238">
                  <c:v>43074</c:v>
                </c:pt>
                <c:pt idx="239">
                  <c:v>43075</c:v>
                </c:pt>
                <c:pt idx="240">
                  <c:v>43076</c:v>
                </c:pt>
                <c:pt idx="241">
                  <c:v>43077</c:v>
                </c:pt>
                <c:pt idx="242">
                  <c:v>43080</c:v>
                </c:pt>
                <c:pt idx="243">
                  <c:v>43081</c:v>
                </c:pt>
                <c:pt idx="244">
                  <c:v>43082</c:v>
                </c:pt>
                <c:pt idx="245">
                  <c:v>43083</c:v>
                </c:pt>
                <c:pt idx="246">
                  <c:v>43084</c:v>
                </c:pt>
                <c:pt idx="247">
                  <c:v>43087</c:v>
                </c:pt>
                <c:pt idx="248">
                  <c:v>43088</c:v>
                </c:pt>
                <c:pt idx="249">
                  <c:v>43089</c:v>
                </c:pt>
                <c:pt idx="250">
                  <c:v>43090</c:v>
                </c:pt>
                <c:pt idx="251">
                  <c:v>43091</c:v>
                </c:pt>
                <c:pt idx="252">
                  <c:v>43096</c:v>
                </c:pt>
                <c:pt idx="253">
                  <c:v>43097</c:v>
                </c:pt>
                <c:pt idx="254">
                  <c:v>43098</c:v>
                </c:pt>
                <c:pt idx="255">
                  <c:v>43102</c:v>
                </c:pt>
                <c:pt idx="256">
                  <c:v>43103</c:v>
                </c:pt>
                <c:pt idx="257">
                  <c:v>43104</c:v>
                </c:pt>
                <c:pt idx="258">
                  <c:v>43105</c:v>
                </c:pt>
                <c:pt idx="259">
                  <c:v>43108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2.5616596287706523E-3</c:v>
                </c:pt>
                <c:pt idx="1">
                  <c:v>2.5640521951901191E-3</c:v>
                </c:pt>
                <c:pt idx="2">
                  <c:v>2.566449579339011E-3</c:v>
                </c:pt>
                <c:pt idx="3">
                  <c:v>2.5688516206263472E-3</c:v>
                </c:pt>
                <c:pt idx="4">
                  <c:v>2.5712581584611473E-3</c:v>
                </c:pt>
                <c:pt idx="5">
                  <c:v>2.5785031453405207E-3</c:v>
                </c:pt>
                <c:pt idx="6">
                  <c:v>2.5809260634553671E-3</c:v>
                </c:pt>
                <c:pt idx="7">
                  <c:v>2.5833526751627726E-3</c:v>
                </c:pt>
                <c:pt idx="8">
                  <c:v>2.5857828198717569E-3</c:v>
                </c:pt>
                <c:pt idx="9">
                  <c:v>2.5882163369913389E-3</c:v>
                </c:pt>
                <c:pt idx="10">
                  <c:v>2.595535516903863E-3</c:v>
                </c:pt>
                <c:pt idx="11">
                  <c:v>2.5979809177560272E-3</c:v>
                </c:pt>
                <c:pt idx="12">
                  <c:v>2.6004288880638851E-3</c:v>
                </c:pt>
                <c:pt idx="13">
                  <c:v>2.6028792672364558E-3</c:v>
                </c:pt>
                <c:pt idx="14">
                  <c:v>2.6053318946827587E-3</c:v>
                </c:pt>
                <c:pt idx="15">
                  <c:v>2.6127016607542485E-3</c:v>
                </c:pt>
                <c:pt idx="16">
                  <c:v>2.6151616753856701E-3</c:v>
                </c:pt>
                <c:pt idx="17">
                  <c:v>2.617623135335919E-3</c:v>
                </c:pt>
                <c:pt idx="18">
                  <c:v>2.6200858800140146E-3</c:v>
                </c:pt>
                <c:pt idx="19">
                  <c:v>2.6225497488289763E-3</c:v>
                </c:pt>
                <c:pt idx="20">
                  <c:v>2.6299464941852485E-3</c:v>
                </c:pt>
                <c:pt idx="21">
                  <c:v>2.6324132536378656E-3</c:v>
                </c:pt>
                <c:pt idx="22">
                  <c:v>2.634880334272444E-3</c:v>
                </c:pt>
                <c:pt idx="23">
                  <c:v>2.6373475754980034E-3</c:v>
                </c:pt>
                <c:pt idx="24">
                  <c:v>2.6398148167235628E-3</c:v>
                </c:pt>
                <c:pt idx="25">
                  <c:v>2.6472149344904327E-3</c:v>
                </c:pt>
                <c:pt idx="26">
                  <c:v>2.6496805698061838E-3</c:v>
                </c:pt>
                <c:pt idx="27">
                  <c:v>2.6521454021670304E-3</c:v>
                </c:pt>
                <c:pt idx="28">
                  <c:v>2.6546092709819921E-3</c:v>
                </c:pt>
                <c:pt idx="29">
                  <c:v>2.6570720156600877E-3</c:v>
                </c:pt>
                <c:pt idx="30">
                  <c:v>2.6644518989633712E-3</c:v>
                </c:pt>
                <c:pt idx="31">
                  <c:v>2.6669085411841946E-3</c:v>
                </c:pt>
                <c:pt idx="32">
                  <c:v>2.6693632563132481E-3</c:v>
                </c:pt>
                <c:pt idx="33">
                  <c:v>2.6718158837595509E-3</c:v>
                </c:pt>
                <c:pt idx="34">
                  <c:v>2.6742662629321216E-3</c:v>
                </c:pt>
                <c:pt idx="35">
                  <c:v>2.681602304897634E-3</c:v>
                </c:pt>
                <c:pt idx="36">
                  <c:v>2.6840420850654692E-3</c:v>
                </c:pt>
                <c:pt idx="37">
                  <c:v>2.6864788140046679E-3</c:v>
                </c:pt>
                <c:pt idx="38">
                  <c:v>2.6889123311242499E-3</c:v>
                </c:pt>
                <c:pt idx="39">
                  <c:v>2.6913424758332341E-3</c:v>
                </c:pt>
                <c:pt idx="40">
                  <c:v>2.6986110695867917E-3</c:v>
                </c:pt>
                <c:pt idx="41">
                  <c:v>2.7010261187435766E-3</c:v>
                </c:pt>
                <c:pt idx="42">
                  <c:v>2.7034369925348595E-3</c:v>
                </c:pt>
                <c:pt idx="43">
                  <c:v>2.7058435303696595E-3</c:v>
                </c:pt>
                <c:pt idx="44">
                  <c:v>2.7082456763546634E-3</c:v>
                </c:pt>
                <c:pt idx="45">
                  <c:v>2.715429810975147E-3</c:v>
                </c:pt>
                <c:pt idx="46">
                  <c:v>2.7178186467205498E-3</c:v>
                </c:pt>
                <c:pt idx="47">
                  <c:v>2.7202053238936153E-3</c:v>
                </c:pt>
                <c:pt idx="48">
                  <c:v>2.7225903100893691E-3</c:v>
                </c:pt>
                <c:pt idx="49">
                  <c:v>2.7249740729028368E-3</c:v>
                </c:pt>
                <c:pt idx="50">
                  <c:v>2.7321226969997748E-3</c:v>
                </c:pt>
                <c:pt idx="51">
                  <c:v>2.73450624223435E-3</c:v>
                </c:pt>
                <c:pt idx="52">
                  <c:v>2.7368909020617656E-3</c:v>
                </c:pt>
                <c:pt idx="53">
                  <c:v>2.7392771440770468E-3</c:v>
                </c:pt>
                <c:pt idx="54">
                  <c:v>2.7416654358752186E-3</c:v>
                </c:pt>
                <c:pt idx="55">
                  <c:v>2.7488472859173337E-3</c:v>
                </c:pt>
                <c:pt idx="56">
                  <c:v>2.7512484527973226E-3</c:v>
                </c:pt>
                <c:pt idx="57">
                  <c:v>2.7536540074353287E-3</c:v>
                </c:pt>
                <c:pt idx="58">
                  <c:v>2.7560644174263781E-3</c:v>
                </c:pt>
                <c:pt idx="59">
                  <c:v>2.7584801503654959E-3</c:v>
                </c:pt>
                <c:pt idx="60">
                  <c:v>2.7657639628215105E-3</c:v>
                </c:pt>
                <c:pt idx="61">
                  <c:v>2.768205663503154E-3</c:v>
                </c:pt>
                <c:pt idx="62">
                  <c:v>2.7706550251079924E-3</c:v>
                </c:pt>
                <c:pt idx="63">
                  <c:v>2.7731125152310509E-3</c:v>
                </c:pt>
                <c:pt idx="64">
                  <c:v>2.775578601467355E-3</c:v>
                </c:pt>
                <c:pt idx="65">
                  <c:v>2.7830331128059927E-3</c:v>
                </c:pt>
                <c:pt idx="66">
                  <c:v>2.7855380761452118E-3</c:v>
                </c:pt>
                <c:pt idx="67">
                  <c:v>2.7880528737708834E-3</c:v>
                </c:pt>
                <c:pt idx="68">
                  <c:v>2.7905768734761134E-3</c:v>
                </c:pt>
                <c:pt idx="69">
                  <c:v>2.7931094430540078E-3</c:v>
                </c:pt>
                <c:pt idx="70">
                  <c:v>2.8007522489547332E-3</c:v>
                </c:pt>
                <c:pt idx="71">
                  <c:v>2.8033127759543417E-3</c:v>
                </c:pt>
                <c:pt idx="72">
                  <c:v>2.8058787117921434E-3</c:v>
                </c:pt>
                <c:pt idx="73">
                  <c:v>2.8084494242612439E-3</c:v>
                </c:pt>
                <c:pt idx="74">
                  <c:v>2.8213525088349326E-3</c:v>
                </c:pt>
                <c:pt idx="75">
                  <c:v>2.8239386047470482E-3</c:v>
                </c:pt>
                <c:pt idx="76">
                  <c:v>2.8265250518422031E-3</c:v>
                </c:pt>
                <c:pt idx="77">
                  <c:v>2.8291112179135028E-3</c:v>
                </c:pt>
                <c:pt idx="78">
                  <c:v>2.8368617079153318E-3</c:v>
                </c:pt>
                <c:pt idx="79">
                  <c:v>2.8394404278222706E-3</c:v>
                </c:pt>
                <c:pt idx="80">
                  <c:v>2.8420157056708835E-3</c:v>
                </c:pt>
                <c:pt idx="81">
                  <c:v>2.8445869092542761E-3</c:v>
                </c:pt>
                <c:pt idx="82">
                  <c:v>2.8471534063655543E-3</c:v>
                </c:pt>
                <c:pt idx="83">
                  <c:v>2.8573596859516408E-3</c:v>
                </c:pt>
                <c:pt idx="84">
                  <c:v>2.8598932585925264E-3</c:v>
                </c:pt>
                <c:pt idx="85">
                  <c:v>2.8624188774814818E-3</c:v>
                </c:pt>
                <c:pt idx="86">
                  <c:v>2.8649364563731634E-3</c:v>
                </c:pt>
                <c:pt idx="87">
                  <c:v>2.8724400906111201E-3</c:v>
                </c:pt>
                <c:pt idx="88">
                  <c:v>2.8749246470602618E-3</c:v>
                </c:pt>
                <c:pt idx="89">
                  <c:v>2.8774007322854077E-3</c:v>
                </c:pt>
                <c:pt idx="90">
                  <c:v>2.8798682600412128E-3</c:v>
                </c:pt>
                <c:pt idx="91">
                  <c:v>2.8823271440823334E-3</c:v>
                </c:pt>
                <c:pt idx="92">
                  <c:v>2.8896510714641441E-3</c:v>
                </c:pt>
                <c:pt idx="93">
                  <c:v>2.8920745181930823E-3</c:v>
                </c:pt>
                <c:pt idx="94">
                  <c:v>2.8944888899806141E-3</c:v>
                </c:pt>
                <c:pt idx="95">
                  <c:v>2.8968941005813953E-3</c:v>
                </c:pt>
                <c:pt idx="96">
                  <c:v>2.8992900637500808E-3</c:v>
                </c:pt>
                <c:pt idx="97">
                  <c:v>2.9064216062101231E-3</c:v>
                </c:pt>
                <c:pt idx="98">
                  <c:v>2.9087797171969843E-3</c:v>
                </c:pt>
                <c:pt idx="99">
                  <c:v>2.911128149525028E-3</c:v>
                </c:pt>
                <c:pt idx="100">
                  <c:v>2.9134668169489104E-3</c:v>
                </c:pt>
                <c:pt idx="101">
                  <c:v>2.9157956332232873E-3</c:v>
                </c:pt>
                <c:pt idx="102">
                  <c:v>2.9227221126959389E-3</c:v>
                </c:pt>
                <c:pt idx="103">
                  <c:v>2.9250106619188483E-3</c:v>
                </c:pt>
                <c:pt idx="104">
                  <c:v>2.9272889287655303E-3</c:v>
                </c:pt>
                <c:pt idx="105">
                  <c:v>2.9295568269906403E-3</c:v>
                </c:pt>
                <c:pt idx="106">
                  <c:v>2.9318142703488341E-3</c:v>
                </c:pt>
                <c:pt idx="107">
                  <c:v>2.9385246564966696E-3</c:v>
                </c:pt>
                <c:pt idx="108">
                  <c:v>2.9407416759316537E-3</c:v>
                </c:pt>
                <c:pt idx="109">
                  <c:v>2.9429492739202856E-3</c:v>
                </c:pt>
                <c:pt idx="110">
                  <c:v>2.9451477303790424E-3</c:v>
                </c:pt>
                <c:pt idx="111">
                  <c:v>2.9473373252244021E-3</c:v>
                </c:pt>
                <c:pt idx="112">
                  <c:v>2.9538557392448663E-3</c:v>
                </c:pt>
                <c:pt idx="113">
                  <c:v>2.956012686801407E-3</c:v>
                </c:pt>
                <c:pt idx="114">
                  <c:v>2.958162172326936E-3</c:v>
                </c:pt>
                <c:pt idx="115">
                  <c:v>2.9603044757379308E-3</c:v>
                </c:pt>
                <c:pt idx="116">
                  <c:v>2.9624398769508681E-3</c:v>
                </c:pt>
                <c:pt idx="117">
                  <c:v>2.9688074665661082E-3</c:v>
                </c:pt>
                <c:pt idx="118">
                  <c:v>2.9709180581515881E-3</c:v>
                </c:pt>
                <c:pt idx="119">
                  <c:v>2.9730231471213966E-3</c:v>
                </c:pt>
                <c:pt idx="120">
                  <c:v>2.9751230133920111E-3</c:v>
                </c:pt>
                <c:pt idx="121">
                  <c:v>2.9772179368799086E-3</c:v>
                </c:pt>
                <c:pt idx="122">
                  <c:v>2.9834758498120712E-3</c:v>
                </c:pt>
                <c:pt idx="123">
                  <c:v>2.9855538013338727E-3</c:v>
                </c:pt>
                <c:pt idx="124">
                  <c:v>2.9876282096553434E-3</c:v>
                </c:pt>
                <c:pt idx="125">
                  <c:v>2.9896993546929601E-3</c:v>
                </c:pt>
                <c:pt idx="126">
                  <c:v>2.9917675163632002E-3</c:v>
                </c:pt>
                <c:pt idx="127">
                  <c:v>2.9979569003344324E-3</c:v>
                </c:pt>
                <c:pt idx="128">
                  <c:v>3.0000158823804642E-3</c:v>
                </c:pt>
                <c:pt idx="129">
                  <c:v>3.0020730087246656E-3</c:v>
                </c:pt>
                <c:pt idx="130">
                  <c:v>3.0041282873666721E-3</c:v>
                </c:pt>
                <c:pt idx="131">
                  <c:v>3.0061817263061217E-3</c:v>
                </c:pt>
                <c:pt idx="132">
                  <c:v>3.0123310849054954E-3</c:v>
                </c:pt>
                <c:pt idx="133">
                  <c:v>3.0143772450310843E-3</c:v>
                </c:pt>
                <c:pt idx="134">
                  <c:v>3.0164216054523003E-3</c:v>
                </c:pt>
                <c:pt idx="135">
                  <c:v>3.0184641741687799E-3</c:v>
                </c:pt>
                <c:pt idx="136">
                  <c:v>3.0205049591801605E-3</c:v>
                </c:pt>
                <c:pt idx="137">
                  <c:v>3.0266166919800746E-3</c:v>
                </c:pt>
                <c:pt idx="138">
                  <c:v>3.0286504221674264E-3</c:v>
                </c:pt>
                <c:pt idx="139">
                  <c:v>3.0306824086478632E-3</c:v>
                </c:pt>
                <c:pt idx="140">
                  <c:v>3.032712659421022E-3</c:v>
                </c:pt>
                <c:pt idx="141">
                  <c:v>3.0347411824865394E-3</c:v>
                </c:pt>
                <c:pt idx="142">
                  <c:v>3.0408164654336122E-3</c:v>
                </c:pt>
                <c:pt idx="143">
                  <c:v>3.0428381576649332E-3</c:v>
                </c:pt>
                <c:pt idx="144">
                  <c:v>3.0448581621867971E-3</c:v>
                </c:pt>
                <c:pt idx="145">
                  <c:v>3.0468764869988406E-3</c:v>
                </c:pt>
                <c:pt idx="146">
                  <c:v>3.048893140100701E-3</c:v>
                </c:pt>
                <c:pt idx="147">
                  <c:v>3.0549331491415508E-3</c:v>
                </c:pt>
                <c:pt idx="148">
                  <c:v>3.0569431953990467E-3</c:v>
                </c:pt>
                <c:pt idx="149">
                  <c:v>3.0589516099445435E-3</c:v>
                </c:pt>
                <c:pt idx="150">
                  <c:v>3.0609584633624312E-3</c:v>
                </c:pt>
                <c:pt idx="151">
                  <c:v>3.0629640765761114E-3</c:v>
                </c:pt>
                <c:pt idx="152">
                  <c:v>3.0689773100734566E-3</c:v>
                </c:pt>
                <c:pt idx="153">
                  <c:v>3.0709817975518553E-3</c:v>
                </c:pt>
                <c:pt idx="154">
                  <c:v>3.072986962366821E-3</c:v>
                </c:pt>
                <c:pt idx="155">
                  <c:v>3.0749931880265082E-3</c:v>
                </c:pt>
                <c:pt idx="156">
                  <c:v>3.077000858039072E-3</c:v>
                </c:pt>
                <c:pt idx="157">
                  <c:v>3.0830363692755684E-3</c:v>
                </c:pt>
                <c:pt idx="158">
                  <c:v>3.0850536517811854E-3</c:v>
                </c:pt>
                <c:pt idx="159">
                  <c:v>3.0870742961804521E-3</c:v>
                </c:pt>
                <c:pt idx="160">
                  <c:v>3.0890986859815244E-3</c:v>
                </c:pt>
                <c:pt idx="161">
                  <c:v>3.0911272046925567E-3</c:v>
                </c:pt>
                <c:pt idx="162">
                  <c:v>3.0972413693669612E-3</c:v>
                </c:pt>
                <c:pt idx="163">
                  <c:v>3.0992902387993815E-3</c:v>
                </c:pt>
                <c:pt idx="164">
                  <c:v>3.1013451546825356E-3</c:v>
                </c:pt>
                <c:pt idx="165">
                  <c:v>3.1034065005245783E-3</c:v>
                </c:pt>
                <c:pt idx="166">
                  <c:v>3.1054746598336647E-3</c:v>
                </c:pt>
                <c:pt idx="167">
                  <c:v>3.1117238536447337E-3</c:v>
                </c:pt>
                <c:pt idx="168">
                  <c:v>3.1138231019035424E-3</c:v>
                </c:pt>
                <c:pt idx="169">
                  <c:v>3.1159310811701688E-3</c:v>
                </c:pt>
                <c:pt idx="170">
                  <c:v>3.118048174952768E-3</c:v>
                </c:pt>
                <c:pt idx="171">
                  <c:v>3.1201747667594939E-3</c:v>
                </c:pt>
                <c:pt idx="172">
                  <c:v>3.1266153654059838E-3</c:v>
                </c:pt>
                <c:pt idx="173">
                  <c:v>3.1287836548057365E-3</c:v>
                </c:pt>
                <c:pt idx="174">
                  <c:v>3.1309625822602094E-3</c:v>
                </c:pt>
                <c:pt idx="175">
                  <c:v>3.1331517537673752E-3</c:v>
                </c:pt>
                <c:pt idx="176">
                  <c:v>3.1353507753252075E-3</c:v>
                </c:pt>
                <c:pt idx="177">
                  <c:v>3.1420030002824364E-3</c:v>
                </c:pt>
                <c:pt idx="178">
                  <c:v>3.1442374820226681E-3</c:v>
                </c:pt>
                <c:pt idx="179">
                  <c:v>3.1464798438034331E-3</c:v>
                </c:pt>
                <c:pt idx="180">
                  <c:v>3.1487296916227043E-3</c:v>
                </c:pt>
                <c:pt idx="181">
                  <c:v>3.1509866314784556E-3</c:v>
                </c:pt>
                <c:pt idx="182">
                  <c:v>3.1577960632443217E-3</c:v>
                </c:pt>
                <c:pt idx="183">
                  <c:v>3.1600774312257256E-3</c:v>
                </c:pt>
                <c:pt idx="184">
                  <c:v>3.1623639212334763E-3</c:v>
                </c:pt>
                <c:pt idx="185">
                  <c:v>3.1646551392655467E-3</c:v>
                </c:pt>
                <c:pt idx="186">
                  <c:v>3.1669506913199106E-3</c:v>
                </c:pt>
                <c:pt idx="187">
                  <c:v>3.173859411596495E-3</c:v>
                </c:pt>
                <c:pt idx="188">
                  <c:v>3.1761683597197649E-3</c:v>
                </c:pt>
                <c:pt idx="189">
                  <c:v>3.1784796718551953E-3</c:v>
                </c:pt>
                <c:pt idx="190">
                  <c:v>3.1807929540007586E-3</c:v>
                </c:pt>
                <c:pt idx="191">
                  <c:v>3.1831078121544289E-3</c:v>
                </c:pt>
                <c:pt idx="192">
                  <c:v>3.1900579026438122E-3</c:v>
                </c:pt>
                <c:pt idx="193">
                  <c:v>3.1923751248096421E-3</c:v>
                </c:pt>
                <c:pt idx="194">
                  <c:v>3.1946919529734458E-3</c:v>
                </c:pt>
                <c:pt idx="195">
                  <c:v>3.1970079931331954E-3</c:v>
                </c:pt>
                <c:pt idx="196">
                  <c:v>3.1993228512868658E-3</c:v>
                </c:pt>
                <c:pt idx="197">
                  <c:v>3.2062563936911294E-3</c:v>
                </c:pt>
                <c:pt idx="198">
                  <c:v>3.2085625838002129E-3</c:v>
                </c:pt>
                <c:pt idx="199">
                  <c:v>3.2108656218930833E-3</c:v>
                </c:pt>
                <c:pt idx="200">
                  <c:v>3.2131651139677138E-3</c:v>
                </c:pt>
                <c:pt idx="201">
                  <c:v>3.2154606660220776E-3</c:v>
                </c:pt>
                <c:pt idx="202">
                  <c:v>3.2223197420433026E-3</c:v>
                </c:pt>
                <c:pt idx="203">
                  <c:v>3.2245955939963337E-3</c:v>
                </c:pt>
                <c:pt idx="204">
                  <c:v>3.2268655359189644E-3</c:v>
                </c:pt>
                <c:pt idx="205">
                  <c:v>3.2291291738091687E-3</c:v>
                </c:pt>
                <c:pt idx="206">
                  <c:v>3.2313861136649201E-3</c:v>
                </c:pt>
                <c:pt idx="207">
                  <c:v>3.238112805005188E-3</c:v>
                </c:pt>
                <c:pt idx="208">
                  <c:v>3.2403390127028597E-3</c:v>
                </c:pt>
                <c:pt idx="209">
                  <c:v>3.2425565523559446E-3</c:v>
                </c:pt>
                <c:pt idx="210">
                  <c:v>3.2447650299624168E-3</c:v>
                </c:pt>
                <c:pt idx="211">
                  <c:v>3.2469640515202492E-3</c:v>
                </c:pt>
                <c:pt idx="212">
                  <c:v>3.2535004398816405E-3</c:v>
                </c:pt>
                <c:pt idx="213">
                  <c:v>3.2556576972246468E-3</c:v>
                </c:pt>
                <c:pt idx="214">
                  <c:v>3.2578035285088804E-3</c:v>
                </c:pt>
                <c:pt idx="215">
                  <c:v>3.2599375397323136E-3</c:v>
                </c:pt>
                <c:pt idx="216">
                  <c:v>3.262059336892921E-3</c:v>
                </c:pt>
                <c:pt idx="217">
                  <c:v>3.2683475039775168E-3</c:v>
                </c:pt>
                <c:pt idx="218">
                  <c:v>3.2704165048665517E-3</c:v>
                </c:pt>
                <c:pt idx="219">
                  <c:v>3.2724713216826266E-3</c:v>
                </c:pt>
                <c:pt idx="220">
                  <c:v>3.2745115604237156E-3</c:v>
                </c:pt>
                <c:pt idx="221">
                  <c:v>3.2765368270877911E-3</c:v>
                </c:pt>
                <c:pt idx="222">
                  <c:v>3.2825188545976729E-3</c:v>
                </c:pt>
                <c:pt idx="223">
                  <c:v>3.2844802929334299E-3</c:v>
                </c:pt>
                <c:pt idx="224">
                  <c:v>3.2864247891820405E-3</c:v>
                </c:pt>
                <c:pt idx="225">
                  <c:v>3.2883519493414779E-3</c:v>
                </c:pt>
                <c:pt idx="226">
                  <c:v>3.2902613794097155E-3</c:v>
                </c:pt>
                <c:pt idx="227">
                  <c:v>3.2958793490469643E-3</c:v>
                </c:pt>
                <c:pt idx="228">
                  <c:v>3.297713918730137E-3</c:v>
                </c:pt>
                <c:pt idx="229">
                  <c:v>3.2995287883119768E-3</c:v>
                </c:pt>
                <c:pt idx="230">
                  <c:v>3.3013235637904567E-3</c:v>
                </c:pt>
                <c:pt idx="231">
                  <c:v>3.3030978511635503E-3</c:v>
                </c:pt>
                <c:pt idx="232">
                  <c:v>3.3082938446302476E-3</c:v>
                </c:pt>
                <c:pt idx="233">
                  <c:v>3.3099822395615294E-3</c:v>
                </c:pt>
                <c:pt idx="234">
                  <c:v>3.311648176377292E-3</c:v>
                </c:pt>
                <c:pt idx="235">
                  <c:v>3.3132912610755083E-3</c:v>
                </c:pt>
                <c:pt idx="236">
                  <c:v>3.3149110996541515E-3</c:v>
                </c:pt>
                <c:pt idx="237">
                  <c:v>3.3196271986523779E-3</c:v>
                </c:pt>
                <c:pt idx="238">
                  <c:v>3.3211501127324628E-3</c:v>
                </c:pt>
                <c:pt idx="239">
                  <c:v>3.3226478106828418E-3</c:v>
                </c:pt>
                <c:pt idx="240">
                  <c:v>3.324119898501488E-3</c:v>
                </c:pt>
                <c:pt idx="241">
                  <c:v>3.3255659821863747E-3</c:v>
                </c:pt>
                <c:pt idx="242">
                  <c:v>3.3297442684182112E-3</c:v>
                </c:pt>
                <c:pt idx="243">
                  <c:v>3.3310823955477933E-3</c:v>
                </c:pt>
                <c:pt idx="244">
                  <c:v>3.3323925485334825E-3</c:v>
                </c:pt>
                <c:pt idx="245">
                  <c:v>3.3336743333732522E-3</c:v>
                </c:pt>
                <c:pt idx="246">
                  <c:v>3.334927356065076E-3</c:v>
                </c:pt>
                <c:pt idx="247">
                  <c:v>3.3385099112326036E-3</c:v>
                </c:pt>
                <c:pt idx="248">
                  <c:v>3.3396439453123763E-3</c:v>
                </c:pt>
                <c:pt idx="249">
                  <c:v>3.3407472472340694E-3</c:v>
                </c:pt>
                <c:pt idx="250">
                  <c:v>3.3418194229956565E-3</c:v>
                </c:pt>
                <c:pt idx="251">
                  <c:v>3.3428600785951109E-3</c:v>
                </c:pt>
                <c:pt idx="252">
                  <c:v>3.3475767640894589E-3</c:v>
                </c:pt>
                <c:pt idx="253">
                  <c:v>3.3484200246735574E-3</c:v>
                </c:pt>
                <c:pt idx="254">
                  <c:v>3.349229007081336E-3</c:v>
                </c:pt>
                <c:pt idx="255">
                  <c:v>3.3521142749087249E-3</c:v>
                </c:pt>
                <c:pt idx="256">
                  <c:v>3.3527459564045071E-3</c:v>
                </c:pt>
                <c:pt idx="257">
                  <c:v>3.3533409957118101E-3</c:v>
                </c:pt>
                <c:pt idx="258">
                  <c:v>3.3538989988286068E-3</c:v>
                </c:pt>
                <c:pt idx="259">
                  <c:v>3.3553468510156953E-3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813120"/>
        <c:axId val="511814656"/>
      </c:scatterChart>
      <c:valAx>
        <c:axId val="511813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1814656"/>
        <c:crosses val="autoZero"/>
        <c:crossBetween val="midCat"/>
      </c:valAx>
      <c:valAx>
        <c:axId val="5118146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18131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371476</xdr:colOff>
      <xdr:row>13</xdr:row>
      <xdr:rowOff>152399</xdr:rowOff>
    </xdr:from>
    <xdr:to>
      <xdr:col>25</xdr:col>
      <xdr:colOff>238125</xdr:colOff>
      <xdr:row>41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542925</xdr:colOff>
      <xdr:row>14</xdr:row>
      <xdr:rowOff>104774</xdr:rowOff>
    </xdr:from>
    <xdr:to>
      <xdr:col>29</xdr:col>
      <xdr:colOff>476250</xdr:colOff>
      <xdr:row>41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14</xdr:row>
      <xdr:rowOff>104774</xdr:rowOff>
    </xdr:from>
    <xdr:to>
      <xdr:col>29</xdr:col>
      <xdr:colOff>485775</xdr:colOff>
      <xdr:row>41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23</xdr:row>
      <xdr:rowOff>9524</xdr:rowOff>
    </xdr:from>
    <xdr:to>
      <xdr:col>13</xdr:col>
      <xdr:colOff>519075</xdr:colOff>
      <xdr:row>48</xdr:row>
      <xdr:rowOff>37649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Bertocchi/QuantLibAddin-Old/QuantLibXL/Data2/XLS/EUR/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9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b">
            <v>1</v>
          </cell>
        </row>
        <row r="8">
          <cell r="D8" t="b">
            <v>1</v>
          </cell>
        </row>
      </sheetData>
      <sheetData sheetId="7">
        <row r="7">
          <cell r="D7" t="str">
            <v>U7</v>
          </cell>
        </row>
        <row r="8">
          <cell r="D8" t="str">
            <v>Z7</v>
          </cell>
        </row>
      </sheetData>
      <sheetData sheetId="8">
        <row r="7">
          <cell r="D7" t="str">
            <v>H7</v>
          </cell>
        </row>
        <row r="8">
          <cell r="D8" t="str">
            <v>J7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1E</v>
          </cell>
        </row>
        <row r="8">
          <cell r="D8" t="str">
            <v>1E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H7</v>
          </cell>
        </row>
        <row r="8">
          <cell r="D8" t="str">
            <v>J7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42731</v>
          </cell>
        </row>
        <row r="8">
          <cell r="D8">
            <v>42727</v>
          </cell>
        </row>
      </sheetData>
      <sheetData sheetId="27">
        <row r="7">
          <cell r="D7">
            <v>42731</v>
          </cell>
        </row>
        <row r="8">
          <cell r="D8">
            <v>42727</v>
          </cell>
        </row>
      </sheetData>
      <sheetData sheetId="28">
        <row r="7">
          <cell r="D7">
            <v>42732</v>
          </cell>
        </row>
        <row r="8">
          <cell r="D8">
            <v>42731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showGridLines="0"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4" width="31.83203125" style="56" customWidth="1"/>
    <col min="5" max="7" width="2.83203125" style="56" customWidth="1"/>
    <col min="8" max="8" width="31.83203125" style="56" customWidth="1"/>
    <col min="9" max="9" width="33.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1.9.0 - MS VC++ (version unknown) - Multithreaded Dynamic Runtime library - Release Configuration - Nov  8 2016 15:27:07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>
        <v>42733.682905092595</v>
      </c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42733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9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1</v>
      </c>
      <c r="J7" s="171"/>
    </row>
    <row r="8" spans="1:34" x14ac:dyDescent="0.2">
      <c r="B8" s="276"/>
      <c r="C8" s="304" t="s">
        <v>102</v>
      </c>
      <c r="D8" s="301" t="s">
        <v>175</v>
      </c>
      <c r="E8" s="277"/>
      <c r="G8" s="284"/>
      <c r="H8" s="305" t="s">
        <v>24</v>
      </c>
      <c r="I8" s="308">
        <f>_xll.ohTrigger(Contribution!U2,Contribution!U8,Contribution!U15,Contribution!U25)</f>
        <v>4</v>
      </c>
      <c r="J8" s="171"/>
    </row>
    <row r="9" spans="1:34" x14ac:dyDescent="0.2">
      <c r="B9" s="276"/>
      <c r="C9" s="304" t="s">
        <v>122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42737</v>
      </c>
      <c r="E10" s="277"/>
    </row>
    <row r="11" spans="1:34" ht="18.75" x14ac:dyDescent="0.2">
      <c r="B11" s="276"/>
      <c r="C11" s="304" t="s">
        <v>8</v>
      </c>
      <c r="D11" s="301" t="b">
        <v>1</v>
      </c>
      <c r="E11" s="277"/>
      <c r="G11" s="405" t="s">
        <v>171</v>
      </c>
      <c r="H11" s="406"/>
      <c r="I11" s="406"/>
      <c r="J11" s="407"/>
    </row>
    <row r="12" spans="1:34" ht="18.75" x14ac:dyDescent="0.2">
      <c r="B12" s="276"/>
      <c r="C12" s="304" t="s">
        <v>9</v>
      </c>
      <c r="D12" s="301" t="b">
        <v>1</v>
      </c>
      <c r="E12" s="277"/>
      <c r="G12" s="399"/>
      <c r="H12" s="400"/>
      <c r="I12" s="400"/>
      <c r="J12" s="401"/>
    </row>
    <row r="13" spans="1:34" x14ac:dyDescent="0.2">
      <c r="B13" s="276"/>
      <c r="C13" s="304" t="s">
        <v>12</v>
      </c>
      <c r="D13" s="301" t="s">
        <v>13</v>
      </c>
      <c r="E13" s="277"/>
      <c r="G13" s="390"/>
      <c r="H13" s="319" t="s">
        <v>173</v>
      </c>
      <c r="I13" s="389" t="s">
        <v>174</v>
      </c>
      <c r="J13" s="355"/>
    </row>
    <row r="14" spans="1:34" x14ac:dyDescent="0.2">
      <c r="B14" s="276"/>
      <c r="C14" s="304" t="s">
        <v>14</v>
      </c>
      <c r="D14" s="311">
        <v>1E-4</v>
      </c>
      <c r="E14" s="277"/>
      <c r="G14" s="390"/>
      <c r="H14" s="392" t="s">
        <v>25</v>
      </c>
      <c r="I14" s="393">
        <v>0</v>
      </c>
      <c r="J14" s="355"/>
    </row>
    <row r="15" spans="1:34" x14ac:dyDescent="0.2">
      <c r="B15" s="276"/>
      <c r="C15" s="305" t="s">
        <v>15</v>
      </c>
      <c r="D15" s="312">
        <v>-0.01</v>
      </c>
      <c r="E15" s="277"/>
      <c r="G15" s="390"/>
      <c r="H15" s="392" t="s">
        <v>172</v>
      </c>
      <c r="I15" s="394" t="s">
        <v>11</v>
      </c>
      <c r="J15" s="355"/>
    </row>
    <row r="16" spans="1:34" x14ac:dyDescent="0.2">
      <c r="B16" s="278"/>
      <c r="C16" s="279"/>
      <c r="D16" s="279"/>
      <c r="E16" s="277"/>
      <c r="G16" s="276"/>
      <c r="H16" s="392" t="s">
        <v>26</v>
      </c>
      <c r="I16" s="395"/>
      <c r="J16" s="277"/>
    </row>
    <row r="17" spans="2:10" x14ac:dyDescent="0.2">
      <c r="B17" s="276"/>
      <c r="C17" s="12" t="s">
        <v>16</v>
      </c>
      <c r="D17" s="13">
        <v>42551.719560185185</v>
      </c>
      <c r="E17" s="277"/>
      <c r="G17" s="398"/>
      <c r="H17" s="392" t="s">
        <v>27</v>
      </c>
      <c r="I17" s="396" t="s">
        <v>28</v>
      </c>
      <c r="J17" s="277"/>
    </row>
    <row r="18" spans="2:10" x14ac:dyDescent="0.2">
      <c r="B18" s="276"/>
      <c r="C18" s="12" t="s">
        <v>17</v>
      </c>
      <c r="D18" s="14" t="b">
        <v>1</v>
      </c>
      <c r="E18" s="277"/>
      <c r="G18" s="390"/>
      <c r="H18" s="320" t="s">
        <v>29</v>
      </c>
      <c r="I18" s="397" t="s">
        <v>116</v>
      </c>
      <c r="J18" s="277"/>
    </row>
    <row r="19" spans="2:10" x14ac:dyDescent="0.2">
      <c r="B19" s="280"/>
      <c r="C19" s="281"/>
      <c r="D19" s="282"/>
      <c r="E19" s="283"/>
      <c r="G19" s="390"/>
      <c r="H19" s="391"/>
      <c r="I19" s="391"/>
      <c r="J19" s="402"/>
    </row>
    <row r="20" spans="2:10" x14ac:dyDescent="0.2">
      <c r="G20" s="398"/>
      <c r="H20" s="319" t="s">
        <v>84</v>
      </c>
      <c r="I20" s="58" t="str">
        <f>_xll.qlPiecewiseYieldCurve(I13,I14,Calendar,_xll.ohPack(RateHelpers),,JumpValues,JumpDates,I16,I17,I18,Permanent,,ObjectOverwrite)</f>
        <v>_EURON2#0000</v>
      </c>
      <c r="J20" s="402"/>
    </row>
    <row r="21" spans="2:10" ht="18.75" x14ac:dyDescent="0.2">
      <c r="B21" s="289" t="str">
        <f>D23&amp;" Curve Settings"</f>
        <v>1M Curve Settings</v>
      </c>
      <c r="C21" s="290"/>
      <c r="D21" s="290"/>
      <c r="E21" s="291"/>
      <c r="G21" s="398"/>
      <c r="H21" s="320" t="s">
        <v>85</v>
      </c>
      <c r="I21" s="59" t="str">
        <f>_xll.ohRangeRetrieveError(OvernightCurve)</f>
        <v/>
      </c>
      <c r="J21" s="402"/>
    </row>
    <row r="22" spans="2:10" x14ac:dyDescent="0.2">
      <c r="B22" s="276"/>
      <c r="C22" s="1"/>
      <c r="D22" s="1"/>
      <c r="E22" s="277"/>
      <c r="G22" s="398"/>
      <c r="H22" s="356" t="s">
        <v>170</v>
      </c>
      <c r="I22" s="357" t="str">
        <f>_xll.qlEonia(,OvernightCurve,,OvernightCurve)</f>
        <v>obj_00486#0000</v>
      </c>
      <c r="J22" s="402"/>
    </row>
    <row r="23" spans="2:10" x14ac:dyDescent="0.2">
      <c r="B23" s="276"/>
      <c r="C23" s="316" t="s">
        <v>22</v>
      </c>
      <c r="D23" s="299" t="s">
        <v>35</v>
      </c>
      <c r="E23" s="277"/>
      <c r="G23" s="398"/>
      <c r="H23" s="1"/>
      <c r="I23" s="358"/>
      <c r="J23" s="402"/>
    </row>
    <row r="24" spans="2:10" x14ac:dyDescent="0.2">
      <c r="B24" s="276"/>
      <c r="C24" s="317" t="s">
        <v>25</v>
      </c>
      <c r="D24" s="313">
        <v>2</v>
      </c>
      <c r="E24" s="277"/>
      <c r="G24" s="398"/>
      <c r="H24" s="10">
        <f>_xll.qlTermStructureReferenceDate(OvernightCurve)</f>
        <v>42733</v>
      </c>
      <c r="I24" s="47">
        <f>_xll.qlYieldTSDiscount(OvernightCurve,H24,,Trigger)</f>
        <v>1</v>
      </c>
      <c r="J24" s="402"/>
    </row>
    <row r="25" spans="2:10" x14ac:dyDescent="0.2">
      <c r="B25" s="276"/>
      <c r="C25" s="305" t="s">
        <v>82</v>
      </c>
      <c r="D25" s="314" t="str">
        <f>_xll.qlEuribor(,"1M",D31,,Trigger)</f>
        <v>obj_00488#0000</v>
      </c>
      <c r="E25" s="277"/>
      <c r="G25" s="398"/>
      <c r="H25" s="11">
        <f>_xll.qlTermStructureMaxDate(OvernightCurve)</f>
        <v>43467</v>
      </c>
      <c r="I25" s="48">
        <f>_xll.qlYieldTSDiscount(OvernightCurve,H25,,Trigger)</f>
        <v>1.0069514486862561</v>
      </c>
      <c r="J25" s="402"/>
    </row>
    <row r="26" spans="2:10" x14ac:dyDescent="0.2">
      <c r="B26" s="278"/>
      <c r="C26" s="279"/>
      <c r="D26" s="279"/>
      <c r="E26" s="286"/>
      <c r="G26" s="403"/>
      <c r="H26" s="359"/>
      <c r="I26" s="359"/>
      <c r="J26" s="404"/>
    </row>
    <row r="27" spans="2:10" x14ac:dyDescent="0.2">
      <c r="B27" s="276"/>
      <c r="C27" s="316" t="s">
        <v>26</v>
      </c>
      <c r="D27" s="315" t="e">
        <v>#N/A</v>
      </c>
      <c r="E27" s="277"/>
    </row>
    <row r="28" spans="2:10" x14ac:dyDescent="0.2">
      <c r="B28" s="276"/>
      <c r="C28" s="317" t="s">
        <v>27</v>
      </c>
      <c r="D28" s="301" t="s">
        <v>28</v>
      </c>
      <c r="E28" s="277"/>
    </row>
    <row r="29" spans="2:10" x14ac:dyDescent="0.2">
      <c r="B29" s="276"/>
      <c r="C29" s="318" t="s">
        <v>29</v>
      </c>
      <c r="D29" s="302" t="s">
        <v>116</v>
      </c>
      <c r="E29" s="277"/>
    </row>
    <row r="30" spans="2:10" x14ac:dyDescent="0.2">
      <c r="B30" s="278"/>
      <c r="C30" s="53"/>
      <c r="D30" s="54"/>
      <c r="E30" s="277"/>
    </row>
    <row r="31" spans="2:10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obj_00487#0000</v>
      </c>
      <c r="E31" s="277"/>
    </row>
    <row r="32" spans="2:10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42737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42888</v>
      </c>
      <c r="D35" s="48">
        <f>_xll.qlYieldTSDiscount(D31,C35,,Trigger)</f>
        <v>1.001554306493279</v>
      </c>
      <c r="E35" s="288"/>
    </row>
    <row r="36" spans="2:5" x14ac:dyDescent="0.2">
      <c r="B36" s="280"/>
      <c r="C36" s="287"/>
      <c r="D36" s="287"/>
      <c r="E36" s="283"/>
    </row>
  </sheetData>
  <mergeCells count="1">
    <mergeCell ref="G11:J11"/>
  </mergeCells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 I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 I17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7"/>
  <sheetViews>
    <sheetView showGridLines="0" workbookViewId="0">
      <selection activeCell="B1" sqref="B1:E1"/>
    </sheetView>
  </sheetViews>
  <sheetFormatPr defaultColWidth="10.6640625" defaultRowHeight="11.25" outlineLevelCol="1" x14ac:dyDescent="0.2"/>
  <cols>
    <col min="1" max="1" width="2.6640625" style="60" customWidth="1"/>
    <col min="2" max="2" width="9.1640625" style="344" hidden="1" customWidth="1" outlineLevel="1"/>
    <col min="3" max="3" width="17.83203125" style="344" hidden="1" customWidth="1" outlineLevel="1"/>
    <col min="4" max="4" width="5" style="344" customWidth="1" collapsed="1"/>
    <col min="5" max="5" width="4.83203125" style="344" customWidth="1"/>
    <col min="6" max="6" width="25" style="60" bestFit="1" customWidth="1"/>
    <col min="7" max="7" width="18.1640625" style="60" customWidth="1"/>
    <col min="8" max="8" width="9.33203125" style="344" bestFit="1" customWidth="1"/>
    <col min="9" max="9" width="11.5" style="344" customWidth="1"/>
    <col min="10" max="10" width="12.6640625" style="344" customWidth="1"/>
    <col min="11" max="12" width="20.1640625" style="344" bestFit="1" customWidth="1"/>
    <col min="13" max="13" width="14.33203125" style="344" hidden="1" customWidth="1" outlineLevel="1"/>
    <col min="14" max="14" width="25.33203125" style="344" hidden="1" customWidth="1" outlineLevel="1"/>
    <col min="15" max="15" width="3.1640625" style="60" bestFit="1" customWidth="1" collapsed="1"/>
    <col min="16" max="16" width="4" style="60" customWidth="1"/>
    <col min="17" max="17" width="28.6640625" style="60" bestFit="1" customWidth="1"/>
    <col min="18" max="18" width="27.5" style="60" bestFit="1" customWidth="1"/>
    <col min="19" max="19" width="0" style="60" hidden="1" customWidth="1" outlineLevel="1"/>
    <col min="20" max="20" width="14.83203125" style="60" hidden="1" customWidth="1" outlineLevel="1"/>
    <col min="21" max="21" width="8.83203125" style="60" hidden="1" customWidth="1" outlineLevel="1"/>
    <col min="22" max="22" width="11.6640625" style="60" customWidth="1" collapsed="1"/>
    <col min="23" max="23" width="28.83203125" style="60" customWidth="1"/>
    <col min="24" max="16384" width="10.6640625" style="60"/>
  </cols>
  <sheetData>
    <row r="1" spans="1:23" ht="24" customHeight="1" x14ac:dyDescent="0.2">
      <c r="B1" s="408" t="s">
        <v>139</v>
      </c>
      <c r="C1" s="409"/>
      <c r="D1" s="409"/>
      <c r="E1" s="410"/>
      <c r="F1" s="326" t="s">
        <v>72</v>
      </c>
      <c r="G1" s="326" t="s">
        <v>73</v>
      </c>
      <c r="H1" s="326" t="s">
        <v>75</v>
      </c>
      <c r="I1" s="326" t="s">
        <v>140</v>
      </c>
      <c r="J1" s="326" t="s">
        <v>141</v>
      </c>
      <c r="K1" s="326" t="s">
        <v>76</v>
      </c>
      <c r="L1" s="326" t="s">
        <v>142</v>
      </c>
      <c r="M1" s="408" t="s">
        <v>169</v>
      </c>
      <c r="N1" s="410"/>
    </row>
    <row r="2" spans="1:23" ht="11.25" customHeight="1" x14ac:dyDescent="0.2">
      <c r="A2" s="229"/>
      <c r="B2" s="350"/>
      <c r="C2" s="350"/>
      <c r="D2" s="327" t="s">
        <v>145</v>
      </c>
      <c r="E2" s="327" t="s">
        <v>146</v>
      </c>
      <c r="F2" s="329" t="str">
        <f>Currency&amp;$E2&amp;"D"&amp;QuoteSuffix</f>
        <v>EUROND_Quote</v>
      </c>
      <c r="G2" s="329" t="str">
        <f>IF(H2,_xll.qlDepositRateHelper(,F2,OvernightIndex,Permanent,Trigger,ObjectOverwrite),"--")</f>
        <v>obj_00444#0000</v>
      </c>
      <c r="H2" s="331" t="b">
        <f>IF(ISERROR(F2),FALSE,TRUE)</f>
        <v>1</v>
      </c>
      <c r="I2" s="331">
        <v>70</v>
      </c>
      <c r="J2" s="331">
        <v>1</v>
      </c>
      <c r="K2" s="332">
        <f>IFERROR(_xll.qlRateHelperEarliestDate(G2,Trigger),"--")</f>
        <v>42733</v>
      </c>
      <c r="L2" s="332">
        <f>IFERROR(_xll.qlRateHelperPillarDate(G2,Trigger),"--")</f>
        <v>42734</v>
      </c>
      <c r="M2" s="384" t="str">
        <f t="array" ref="M2:M33">_xll.qlRateHelperSelection(_xll.ohFilter(G2:G33,H2:H33),_xll.ohFilter(I2:I33,H2:H33),R3,R4,R5,R6,_xll.ohFilter(J2:J33,H2:H33))</f>
        <v>obj_00444</v>
      </c>
      <c r="N2" s="385" t="str">
        <f>IFERROR(_xll.qlRateHelperQuoteName(M2,Trigger),"--")</f>
        <v>EUROND_Quote</v>
      </c>
      <c r="O2" s="86"/>
      <c r="Q2" s="378" t="s">
        <v>163</v>
      </c>
      <c r="R2" s="379"/>
    </row>
    <row r="3" spans="1:23" x14ac:dyDescent="0.2">
      <c r="A3" s="229"/>
      <c r="B3" s="353"/>
      <c r="C3" s="353" t="str">
        <f>_xll.qlOvernightIndex(,,1,Currency,Calendar,"Act/360",,Permanent,Trigger,ObjectOverwrite)</f>
        <v>obj_0044a#0000</v>
      </c>
      <c r="D3" s="333" t="s">
        <v>145</v>
      </c>
      <c r="E3" s="333" t="s">
        <v>147</v>
      </c>
      <c r="F3" s="335" t="str">
        <f>Currency&amp;$E3&amp;"D"&amp;QuoteSuffix</f>
        <v>EURTND_Quote</v>
      </c>
      <c r="G3" s="335" t="str">
        <f>IF(H3,_xll.qlDepositRateHelper(,F3,C3,Permanent,Trigger,ObjectOverwrite),"--")</f>
        <v>obj_0044f#0000</v>
      </c>
      <c r="H3" s="330" t="b">
        <f t="shared" ref="H3:H33" si="0">IF(ISERROR(F3),FALSE,TRUE)</f>
        <v>1</v>
      </c>
      <c r="I3" s="330">
        <v>70</v>
      </c>
      <c r="J3" s="330">
        <v>1</v>
      </c>
      <c r="K3" s="336">
        <f>IFERROR(_xll.qlRateHelperEarliestDate(G3,Trigger),"--")</f>
        <v>42734</v>
      </c>
      <c r="L3" s="336">
        <f>IFERROR(_xll.qlRateHelperPillarDate(G3,Trigger),"--")</f>
        <v>42737</v>
      </c>
      <c r="M3" s="384" t="str">
        <v>obj_0044f</v>
      </c>
      <c r="N3" s="386" t="str">
        <f>IFERROR(_xll.qlRateHelperQuoteName(M3,Trigger),"--")</f>
        <v>EURTND_Quote</v>
      </c>
      <c r="O3" s="337"/>
      <c r="Q3" s="380" t="s">
        <v>164</v>
      </c>
      <c r="R3" s="381">
        <v>0</v>
      </c>
    </row>
    <row r="4" spans="1:23" x14ac:dyDescent="0.2">
      <c r="A4" s="229"/>
      <c r="B4" s="354"/>
      <c r="C4" s="353" t="str">
        <f>_xll.qlOvernightIndex(,,2,Currency,Calendar,"Act/360",,Permanent,Trigger,ObjectOverwrite)</f>
        <v>obj_0044c#0000</v>
      </c>
      <c r="D4" s="338" t="s">
        <v>145</v>
      </c>
      <c r="E4" s="338" t="s">
        <v>148</v>
      </c>
      <c r="F4" s="341" t="str">
        <f>Currency&amp;$E4&amp;"D"&amp;QuoteSuffix</f>
        <v>EURSND_Quote</v>
      </c>
      <c r="G4" s="341" t="str">
        <f>IF(H4,_xll.qlDepositRateHelper(,F4,C4,Permanent,Trigger,ObjectOverwrite),"--")</f>
        <v>obj_0044e#0000</v>
      </c>
      <c r="H4" s="342" t="b">
        <f t="shared" si="0"/>
        <v>1</v>
      </c>
      <c r="I4" s="342">
        <v>70</v>
      </c>
      <c r="J4" s="342">
        <v>1</v>
      </c>
      <c r="K4" s="343">
        <f>IFERROR(_xll.qlRateHelperEarliestDate(G4,Trigger),"--")</f>
        <v>42737</v>
      </c>
      <c r="L4" s="343">
        <f>IFERROR(_xll.qlRateHelperPillarDate(G4,Trigger),"--")</f>
        <v>42738</v>
      </c>
      <c r="M4" s="384" t="str">
        <v>obj_0044e</v>
      </c>
      <c r="N4" s="386" t="str">
        <f>IFERROR(_xll.qlRateHelperQuoteName(M4,Trigger),"--")</f>
        <v>EURSND_Quote</v>
      </c>
      <c r="Q4" s="380" t="s">
        <v>165</v>
      </c>
      <c r="R4" s="382">
        <v>0</v>
      </c>
    </row>
    <row r="5" spans="1:23" x14ac:dyDescent="0.2">
      <c r="A5" s="229"/>
      <c r="B5" s="348">
        <f>_xll.qlECBNextDate(SettlementDate)</f>
        <v>42760</v>
      </c>
      <c r="C5" s="327" t="str">
        <f>_xll.qlECBcode(B5)</f>
        <v>JAN17</v>
      </c>
      <c r="D5" s="328" t="s">
        <v>143</v>
      </c>
      <c r="E5" s="328" t="s">
        <v>144</v>
      </c>
      <c r="F5" s="329" t="str">
        <f t="shared" ref="F5:F14" si="1">Currency&amp;"ECBOIS"&amp;C5&amp;QuoteSuffix</f>
        <v>EURECBOISJAN17_Quote</v>
      </c>
      <c r="G5" s="329" t="str">
        <f>IFERROR(_xll.qlDatedOISRateHelper(,B5,B6,F5,OvernightIndex,,Permanent,Trigger,ObjectOverwrite),"--")</f>
        <v>obj_00479#0000</v>
      </c>
      <c r="H5" s="331" t="b">
        <f>IF(G5="--",FALSE,TRUE)</f>
        <v>1</v>
      </c>
      <c r="I5" s="331">
        <v>70</v>
      </c>
      <c r="J5" s="331">
        <v>7</v>
      </c>
      <c r="K5" s="332">
        <f>IFERROR(_xll.qlRateHelperEarliestDate(G5,Trigger),"--")</f>
        <v>42760</v>
      </c>
      <c r="L5" s="332">
        <f>IFERROR(_xll.qlRateHelperPillarDate(G5,Trigger),"--")</f>
        <v>42809</v>
      </c>
      <c r="M5" s="384" t="str">
        <v>obj_00446</v>
      </c>
      <c r="N5" s="386" t="str">
        <f>IFERROR(_xll.qlRateHelperQuoteName(M5,Trigger),"--")</f>
        <v>EUREONSW_Quote</v>
      </c>
      <c r="Q5" s="380" t="s">
        <v>166</v>
      </c>
      <c r="R5" s="382">
        <v>0</v>
      </c>
    </row>
    <row r="6" spans="1:23" x14ac:dyDescent="0.2">
      <c r="A6" s="229"/>
      <c r="B6" s="347">
        <f>_xll.qlECBNextDate(B5)</f>
        <v>42809</v>
      </c>
      <c r="C6" s="333" t="str">
        <f>_xll.qlECBcode(B6)</f>
        <v>MAR17</v>
      </c>
      <c r="D6" s="334" t="s">
        <v>143</v>
      </c>
      <c r="E6" s="334" t="s">
        <v>144</v>
      </c>
      <c r="F6" s="335" t="str">
        <f t="shared" si="1"/>
        <v>EURECBOISMAR17_Quote</v>
      </c>
      <c r="G6" s="335" t="str">
        <f>IFERROR(_xll.qlDatedOISRateHelper(,B6,B7,F6,OvernightIndex,,Permanent,Trigger,ObjectOverwrite),"--")</f>
        <v>obj_00477#0000</v>
      </c>
      <c r="H6" s="330" t="b">
        <f t="shared" ref="H6:H14" si="2">IF(G6="--",FALSE,TRUE)</f>
        <v>1</v>
      </c>
      <c r="I6" s="330">
        <v>70</v>
      </c>
      <c r="J6" s="330">
        <v>7</v>
      </c>
      <c r="K6" s="336">
        <f>IFERROR(_xll.qlRateHelperEarliestDate(G6,Trigger),"--")</f>
        <v>42809</v>
      </c>
      <c r="L6" s="336">
        <f>IFERROR(_xll.qlRateHelperPillarDate(G6,Trigger),"--")</f>
        <v>42858</v>
      </c>
      <c r="M6" s="384" t="str">
        <v>obj_00445</v>
      </c>
      <c r="N6" s="386" t="str">
        <f>IFERROR(_xll.qlRateHelperQuoteName(M6,Trigger),"--")</f>
        <v>EUREON2W_Quote</v>
      </c>
      <c r="Q6" s="380" t="s">
        <v>167</v>
      </c>
      <c r="R6" s="383" t="s">
        <v>168</v>
      </c>
    </row>
    <row r="7" spans="1:23" x14ac:dyDescent="0.2">
      <c r="A7" s="229"/>
      <c r="B7" s="347">
        <f>_xll.qlECBNextDate(B6)</f>
        <v>42858</v>
      </c>
      <c r="C7" s="333" t="str">
        <f>_xll.qlECBcode(B7)</f>
        <v>MAY17</v>
      </c>
      <c r="D7" s="334" t="s">
        <v>143</v>
      </c>
      <c r="E7" s="334" t="s">
        <v>144</v>
      </c>
      <c r="F7" s="335" t="str">
        <f t="shared" si="1"/>
        <v>EURECBOISMAY17_Quote</v>
      </c>
      <c r="G7" s="335" t="str">
        <f>IFERROR(_xll.qlDatedOISRateHelper(,B7,B8,F7,OvernightIndex,,Permanent,Trigger,ObjectOverwrite),"--")</f>
        <v>obj_0047b#0000</v>
      </c>
      <c r="H7" s="330" t="b">
        <f t="shared" si="2"/>
        <v>1</v>
      </c>
      <c r="I7" s="330">
        <v>70</v>
      </c>
      <c r="J7" s="330">
        <v>7</v>
      </c>
      <c r="K7" s="336">
        <f>IFERROR(_xll.qlRateHelperEarliestDate(G7,Trigger),"--")</f>
        <v>42858</v>
      </c>
      <c r="L7" s="336">
        <f>IFERROR(_xll.qlRateHelperPillarDate(G7,Trigger),"--")</f>
        <v>42900</v>
      </c>
      <c r="M7" s="384" t="str">
        <v>obj_00442</v>
      </c>
      <c r="N7" s="386" t="str">
        <f>IFERROR(_xll.qlRateHelperQuoteName(M7,Trigger),"--")</f>
        <v>EUREON3W_Quote</v>
      </c>
    </row>
    <row r="8" spans="1:23" x14ac:dyDescent="0.2">
      <c r="A8" s="229"/>
      <c r="B8" s="347">
        <f>_xll.qlECBNextDate(B7)</f>
        <v>42900</v>
      </c>
      <c r="C8" s="333" t="str">
        <f>_xll.qlECBcode(B8)</f>
        <v>JUN17</v>
      </c>
      <c r="D8" s="334" t="s">
        <v>143</v>
      </c>
      <c r="E8" s="334" t="s">
        <v>144</v>
      </c>
      <c r="F8" s="335" t="str">
        <f t="shared" si="1"/>
        <v>EURECBOISJUN17_Quote</v>
      </c>
      <c r="G8" s="335" t="str">
        <f>IFERROR(_xll.qlDatedOISRateHelper(,B8,B9,F8,OvernightIndex,,Permanent,Trigger,ObjectOverwrite),"--")</f>
        <v>obj_0047a#0000</v>
      </c>
      <c r="H8" s="330" t="b">
        <f t="shared" si="2"/>
        <v>1</v>
      </c>
      <c r="I8" s="330">
        <v>70</v>
      </c>
      <c r="J8" s="330">
        <v>7</v>
      </c>
      <c r="K8" s="336">
        <f>IFERROR(_xll.qlRateHelperEarliestDate(G8,Trigger),"--")</f>
        <v>42900</v>
      </c>
      <c r="L8" s="336">
        <f>IFERROR(_xll.qlRateHelperPillarDate(G8,Trigger),"--")</f>
        <v>42942</v>
      </c>
      <c r="M8" s="384" t="str">
        <v>obj_00448</v>
      </c>
      <c r="N8" s="386" t="str">
        <f>IFERROR(_xll.qlRateHelperQuoteName(M8,Trigger),"--")</f>
        <v>EUREON1M_Quote</v>
      </c>
      <c r="Q8" s="60" t="s">
        <v>162</v>
      </c>
      <c r="R8" s="60" t="s">
        <v>161</v>
      </c>
    </row>
    <row r="9" spans="1:23" ht="11.25" customHeight="1" x14ac:dyDescent="0.2">
      <c r="A9" s="229"/>
      <c r="B9" s="347">
        <f>_xll.qlECBNextDate(B8)</f>
        <v>42942</v>
      </c>
      <c r="C9" s="333" t="str">
        <f>_xll.qlECBcode(B9)</f>
        <v>JUL17</v>
      </c>
      <c r="D9" s="334" t="s">
        <v>143</v>
      </c>
      <c r="E9" s="334" t="s">
        <v>144</v>
      </c>
      <c r="F9" s="335" t="str">
        <f t="shared" si="1"/>
        <v>EURECBOISJUL17_Quote</v>
      </c>
      <c r="G9" s="335" t="str">
        <f>IFERROR(_xll.qlDatedOISRateHelper(,B9,B10,F9,OvernightIndex,,Permanent,Trigger,ObjectOverwrite),"--")</f>
        <v>obj_0047d#0000</v>
      </c>
      <c r="H9" s="330" t="b">
        <f t="shared" si="2"/>
        <v>1</v>
      </c>
      <c r="I9" s="330">
        <v>70</v>
      </c>
      <c r="J9" s="330">
        <v>7</v>
      </c>
      <c r="K9" s="336">
        <f>IFERROR(_xll.qlRateHelperEarliestDate(G9,Trigger),"--")</f>
        <v>42942</v>
      </c>
      <c r="L9" s="336">
        <f>IFERROR(_xll.qlRateHelperPillarDate(G9,Trigger),"--")</f>
        <v>42991</v>
      </c>
      <c r="M9" s="384" t="str">
        <v>obj_0044d</v>
      </c>
      <c r="N9" s="386" t="str">
        <f>IFERROR(_xll.qlRateHelperQuoteName(M9,Trigger),"--")</f>
        <v>EUREON2M_Quote</v>
      </c>
      <c r="P9" s="87" t="s">
        <v>154</v>
      </c>
      <c r="Q9" s="87" t="s">
        <v>155</v>
      </c>
      <c r="R9" s="87" t="s">
        <v>156</v>
      </c>
      <c r="S9" s="87" t="s">
        <v>117</v>
      </c>
      <c r="T9" s="87" t="s">
        <v>157</v>
      </c>
      <c r="U9" s="87" t="s">
        <v>158</v>
      </c>
      <c r="V9" s="87" t="s">
        <v>159</v>
      </c>
      <c r="W9" s="87" t="s">
        <v>160</v>
      </c>
    </row>
    <row r="10" spans="1:23" x14ac:dyDescent="0.2">
      <c r="A10" s="229"/>
      <c r="B10" s="347">
        <f>_xll.qlECBNextDate(B9)</f>
        <v>42991</v>
      </c>
      <c r="C10" s="333" t="str">
        <f>_xll.qlECBcode(B10)</f>
        <v>SEP17</v>
      </c>
      <c r="D10" s="334" t="s">
        <v>143</v>
      </c>
      <c r="E10" s="334" t="s">
        <v>144</v>
      </c>
      <c r="F10" s="335" t="str">
        <f t="shared" si="1"/>
        <v>EURECBOISSEP17_Quote</v>
      </c>
      <c r="G10" s="335" t="str">
        <f>IFERROR(_xll.qlDatedOISRateHelper(,B10,B11,F10,OvernightIndex,,Permanent,Trigger,ObjectOverwrite),"--")</f>
        <v>obj_0047c#0000</v>
      </c>
      <c r="H10" s="330" t="b">
        <f t="shared" si="2"/>
        <v>1</v>
      </c>
      <c r="I10" s="330">
        <v>70</v>
      </c>
      <c r="J10" s="330">
        <v>7</v>
      </c>
      <c r="K10" s="336">
        <f>IFERROR(_xll.qlRateHelperEarliestDate(G10,Trigger),"--")</f>
        <v>42991</v>
      </c>
      <c r="L10" s="336">
        <f>IFERROR(_xll.qlRateHelperPillarDate(G10,Trigger),"--")</f>
        <v>43041</v>
      </c>
      <c r="M10" s="384" t="str">
        <v>obj_00479</v>
      </c>
      <c r="N10" s="386" t="str">
        <f>IFERROR(_xll.qlRateHelperQuoteName(M10,Trigger),"--")</f>
        <v>EURECBOISJAN17_Quote</v>
      </c>
      <c r="P10" s="360">
        <v>1</v>
      </c>
      <c r="Q10" s="361">
        <f>_xll.qlCalendarEndOfMonth(Calendar,SettlementDate,Trigger)</f>
        <v>42766</v>
      </c>
      <c r="R10" s="360" t="str">
        <f t="shared" ref="R10:R22" si="3">Currency&amp;$R$8&amp;P10&amp;JumpSuffix&amp;QuoteSuffix</f>
        <v>EURJump1_SYNTHON_Quote</v>
      </c>
      <c r="S10" s="362">
        <f>_xll.qlDayCounterYearFraction("Actual/360",Q10,_xll.qlCalendarAdvance(Calendar,Q10,"1D",,,Trigger))</f>
        <v>2.7777777777777779E-3</v>
      </c>
      <c r="T10" s="363">
        <f>IF(_xll.qlQuoteIsValid(R10,Trigger),_xll.qlQuoteValue(R10,Trigger),1)</f>
        <v>1</v>
      </c>
      <c r="U10" s="364">
        <f>-LN(T10)/S10</f>
        <v>0</v>
      </c>
      <c r="V10" s="365"/>
      <c r="W10" s="363" t="str">
        <f>IF(ISBLANK(V10),R10,EXP(-V10*S10))</f>
        <v>EURJump1_SYNTHON_Quote</v>
      </c>
    </row>
    <row r="11" spans="1:23" x14ac:dyDescent="0.2">
      <c r="A11" s="229"/>
      <c r="B11" s="347">
        <f>_xll.qlECBNextDate(B10)</f>
        <v>43041</v>
      </c>
      <c r="C11" s="333" t="str">
        <f>_xll.qlECBcode(B11)</f>
        <v>NOV17</v>
      </c>
      <c r="D11" s="334" t="s">
        <v>143</v>
      </c>
      <c r="E11" s="334" t="s">
        <v>144</v>
      </c>
      <c r="F11" s="335" t="str">
        <f t="shared" si="1"/>
        <v>EURECBOISNOV17_Quote</v>
      </c>
      <c r="G11" s="335" t="str">
        <f>IFERROR(_xll.qlDatedOISRateHelper(,B11,B12,F11,OvernightIndex,,Permanent,Trigger,ObjectOverwrite),"--")</f>
        <v>obj_00478#0000</v>
      </c>
      <c r="H11" s="330" t="b">
        <f t="shared" si="2"/>
        <v>1</v>
      </c>
      <c r="I11" s="330">
        <v>70</v>
      </c>
      <c r="J11" s="330">
        <v>7</v>
      </c>
      <c r="K11" s="336">
        <f>IFERROR(_xll.qlRateHelperEarliestDate(G11,Trigger),"--")</f>
        <v>43041</v>
      </c>
      <c r="L11" s="336">
        <f>IFERROR(_xll.qlRateHelperPillarDate(G11,Trigger),"--")</f>
        <v>43089</v>
      </c>
      <c r="M11" s="384" t="str">
        <v>obj_00477</v>
      </c>
      <c r="N11" s="386" t="str">
        <f>IFERROR(_xll.qlRateHelperQuoteName(M11,Trigger),"--")</f>
        <v>EURECBOISMAR17_Quote</v>
      </c>
      <c r="P11" s="366">
        <v>2</v>
      </c>
      <c r="Q11" s="367">
        <f>_xll.qlCalendarEndOfMonth(Calendar,_xll.qlCalendarAdvance(Calendar,Q10,"1m","mf",TRUE),Trigger)</f>
        <v>42794</v>
      </c>
      <c r="R11" s="366" t="str">
        <f t="shared" si="3"/>
        <v>EURJump2_SYNTHON_Quote</v>
      </c>
      <c r="S11" s="368">
        <f>_xll.qlDayCounterYearFraction("Actual/360",Q11,_xll.qlCalendarAdvance(Calendar,Q11,"1D",,,Trigger))</f>
        <v>2.7777777777777779E-3</v>
      </c>
      <c r="T11" s="369">
        <f>IF(_xll.qlQuoteIsValid(R11,Trigger),_xll.qlQuoteValue(R11,Trigger),1)</f>
        <v>1</v>
      </c>
      <c r="U11" s="370">
        <f t="shared" ref="U11:U22" si="4">-LN(T11)/S11</f>
        <v>0</v>
      </c>
      <c r="V11" s="371"/>
      <c r="W11" s="369" t="str">
        <f t="shared" ref="W11:W22" si="5">IF(ISBLANK(V11),R11,EXP(-V11*S11))</f>
        <v>EURJump2_SYNTHON_Quote</v>
      </c>
    </row>
    <row r="12" spans="1:23" ht="11.25" customHeight="1" x14ac:dyDescent="0.2">
      <c r="A12" s="229"/>
      <c r="B12" s="347">
        <f>_xll.qlECBNextDate(B11)</f>
        <v>43089</v>
      </c>
      <c r="C12" s="333" t="str">
        <f>_xll.qlECBcode(B12)</f>
        <v>DEC17</v>
      </c>
      <c r="D12" s="334" t="s">
        <v>143</v>
      </c>
      <c r="E12" s="334" t="s">
        <v>144</v>
      </c>
      <c r="F12" s="335" t="str">
        <f t="shared" si="1"/>
        <v>EURECBOISDEC17_Quote</v>
      </c>
      <c r="G12" s="335" t="str">
        <f>IFERROR(_xll.qlDatedOISRateHelper(,B12,B13,F12,OvernightIndex,,Permanent,Trigger,ObjectOverwrite),"--")</f>
        <v>--</v>
      </c>
      <c r="H12" s="330" t="b">
        <f t="shared" si="2"/>
        <v>0</v>
      </c>
      <c r="I12" s="330">
        <v>70</v>
      </c>
      <c r="J12" s="330">
        <v>7</v>
      </c>
      <c r="K12" s="336" t="str">
        <f>IFERROR(_xll.qlRateHelperEarliestDate(G12,Trigger),"--")</f>
        <v>--</v>
      </c>
      <c r="L12" s="336" t="str">
        <f>IFERROR(_xll.qlRateHelperPillarDate(G12,Trigger),"--")</f>
        <v>--</v>
      </c>
      <c r="M12" s="384" t="str">
        <v>obj_0047b</v>
      </c>
      <c r="N12" s="386" t="str">
        <f>IFERROR(_xll.qlRateHelperQuoteName(M12,Trigger),"--")</f>
        <v>EURECBOISMAY17_Quote</v>
      </c>
      <c r="P12" s="366">
        <v>3</v>
      </c>
      <c r="Q12" s="367">
        <f>_xll.qlCalendarEndOfMonth(Calendar,_xll.qlCalendarAdvance(Calendar,Q11,"1m","mf",TRUE),Trigger)</f>
        <v>42825</v>
      </c>
      <c r="R12" s="366" t="str">
        <f t="shared" si="3"/>
        <v>EURJump3_SYNTHON_Quote</v>
      </c>
      <c r="S12" s="368">
        <f>_xll.qlDayCounterYearFraction("Actual/360",Q12,_xll.qlCalendarAdvance(Calendar,Q12,"1D",,,Trigger))</f>
        <v>8.3333333333333332E-3</v>
      </c>
      <c r="T12" s="369">
        <f>IF(_xll.qlQuoteIsValid(R12,Trigger),_xll.qlQuoteValue(R12,Trigger),1)</f>
        <v>1</v>
      </c>
      <c r="U12" s="370">
        <f t="shared" si="4"/>
        <v>0</v>
      </c>
      <c r="V12" s="371"/>
      <c r="W12" s="369" t="str">
        <f t="shared" si="5"/>
        <v>EURJump3_SYNTHON_Quote</v>
      </c>
    </row>
    <row r="13" spans="1:23" ht="11.25" customHeight="1" x14ac:dyDescent="0.2">
      <c r="A13" s="229"/>
      <c r="B13" s="347" t="e">
        <f>_xll.qlECBNextDate(B12)</f>
        <v>#NUM!</v>
      </c>
      <c r="C13" s="333" t="e">
        <f>_xll.qlECBcode(B13)</f>
        <v>#NUM!</v>
      </c>
      <c r="D13" s="334" t="s">
        <v>143</v>
      </c>
      <c r="E13" s="334" t="s">
        <v>144</v>
      </c>
      <c r="F13" s="335" t="e">
        <f t="shared" si="1"/>
        <v>#NUM!</v>
      </c>
      <c r="G13" s="335" t="str">
        <f>IFERROR(_xll.qlDatedOISRateHelper(,B13,B14,F13,OvernightIndex,,Permanent,Trigger,ObjectOverwrite),"--")</f>
        <v>--</v>
      </c>
      <c r="H13" s="330" t="b">
        <f t="shared" si="2"/>
        <v>0</v>
      </c>
      <c r="I13" s="330">
        <v>70</v>
      </c>
      <c r="J13" s="330">
        <v>7</v>
      </c>
      <c r="K13" s="336" t="str">
        <f>IFERROR(_xll.qlRateHelperEarliestDate(G13,Trigger),"--")</f>
        <v>--</v>
      </c>
      <c r="L13" s="336" t="str">
        <f>IFERROR(_xll.qlRateHelperPillarDate(G13,Trigger),"--")</f>
        <v>--</v>
      </c>
      <c r="M13" s="384" t="str">
        <v>obj_0047a</v>
      </c>
      <c r="N13" s="386" t="str">
        <f>IFERROR(_xll.qlRateHelperQuoteName(M13,Trigger),"--")</f>
        <v>EURECBOISJUN17_Quote</v>
      </c>
      <c r="P13" s="366">
        <v>4</v>
      </c>
      <c r="Q13" s="367">
        <f>_xll.qlCalendarEndOfMonth(Calendar,_xll.qlCalendarAdvance(Calendar,Q12,"1m","mf",TRUE),Trigger)</f>
        <v>42853</v>
      </c>
      <c r="R13" s="366" t="str">
        <f t="shared" si="3"/>
        <v>EURJump4_SYNTHON_Quote</v>
      </c>
      <c r="S13" s="368">
        <f>_xll.qlDayCounterYearFraction("Actual/360",Q13,_xll.qlCalendarAdvance(Calendar,Q13,"1D",,,Trigger))</f>
        <v>1.1111111111111112E-2</v>
      </c>
      <c r="T13" s="369">
        <f>IF(_xll.qlQuoteIsValid(R13,Trigger),_xll.qlQuoteValue(R13,Trigger),1)</f>
        <v>1</v>
      </c>
      <c r="U13" s="370">
        <f t="shared" si="4"/>
        <v>0</v>
      </c>
      <c r="V13" s="371"/>
      <c r="W13" s="369" t="str">
        <f t="shared" si="5"/>
        <v>EURJump4_SYNTHON_Quote</v>
      </c>
    </row>
    <row r="14" spans="1:23" ht="11.25" customHeight="1" x14ac:dyDescent="0.2">
      <c r="A14" s="229"/>
      <c r="B14" s="349" t="e">
        <f>_xll.qlECBNextDate(B13)</f>
        <v>#NUM!</v>
      </c>
      <c r="C14" s="338" t="e">
        <f>_xll.qlECBcode(B14)</f>
        <v>#NUM!</v>
      </c>
      <c r="D14" s="346" t="s">
        <v>143</v>
      </c>
      <c r="E14" s="346" t="s">
        <v>144</v>
      </c>
      <c r="F14" s="341" t="e">
        <f t="shared" si="1"/>
        <v>#NUM!</v>
      </c>
      <c r="G14" s="341" t="str">
        <f>IFERROR(_xll.qlDatedOISRateHelper(,B14,B15,F14,OvernightIndex,,Permanent,Trigger,ObjectOverwrite),"--")</f>
        <v>--</v>
      </c>
      <c r="H14" s="342" t="b">
        <f t="shared" si="2"/>
        <v>0</v>
      </c>
      <c r="I14" s="342">
        <v>70</v>
      </c>
      <c r="J14" s="342">
        <v>7</v>
      </c>
      <c r="K14" s="343" t="str">
        <f>IFERROR(_xll.qlRateHelperEarliestDate(G14,Trigger),"--")</f>
        <v>--</v>
      </c>
      <c r="L14" s="343" t="str">
        <f>IFERROR(_xll.qlRateHelperPillarDate(G14,Trigger),"--")</f>
        <v>--</v>
      </c>
      <c r="M14" s="384" t="str">
        <v>obj_0047d</v>
      </c>
      <c r="N14" s="386" t="str">
        <f>IFERROR(_xll.qlRateHelperQuoteName(M14,Trigger),"--")</f>
        <v>EURECBOISJUL17_Quote</v>
      </c>
      <c r="P14" s="366">
        <v>5</v>
      </c>
      <c r="Q14" s="367">
        <f>_xll.qlCalendarEndOfMonth(Calendar,_xll.qlCalendarAdvance(Calendar,Q13,"1m","mf",TRUE),Trigger)</f>
        <v>42886</v>
      </c>
      <c r="R14" s="366" t="str">
        <f t="shared" si="3"/>
        <v>EURJump5_SYNTHON_Quote</v>
      </c>
      <c r="S14" s="368">
        <f>_xll.qlDayCounterYearFraction("Actual/360",Q14,_xll.qlCalendarAdvance(Calendar,Q14,"1D",,,Trigger))</f>
        <v>2.7777777777777779E-3</v>
      </c>
      <c r="T14" s="369">
        <f>IF(_xll.qlQuoteIsValid(R14,Trigger),_xll.qlQuoteValue(R14,Trigger),1)</f>
        <v>1</v>
      </c>
      <c r="U14" s="370">
        <f t="shared" si="4"/>
        <v>0</v>
      </c>
      <c r="V14" s="371"/>
      <c r="W14" s="369" t="str">
        <f t="shared" si="5"/>
        <v>EURJump5_SYNTHON_Quote</v>
      </c>
    </row>
    <row r="15" spans="1:23" ht="11.25" customHeight="1" x14ac:dyDescent="0.2">
      <c r="A15" s="229"/>
      <c r="B15" s="351"/>
      <c r="C15" s="351"/>
      <c r="D15" s="334" t="s">
        <v>149</v>
      </c>
      <c r="E15" s="334" t="s">
        <v>39</v>
      </c>
      <c r="F15" s="335" t="str">
        <f t="shared" ref="F15:F33" si="6">Currency&amp;D15&amp;IF($E15="1W","SW",$E15)&amp;QuoteSuffix</f>
        <v>EUREONSW_Quote</v>
      </c>
      <c r="G15" s="335" t="str">
        <f>IF(H15,_xll.qlOISRateHelper(,2,E15,F15,OvernightIndex,,Permanent,Trigger,ObjectOverwrite),"--")</f>
        <v>obj_00446#0000</v>
      </c>
      <c r="H15" s="330" t="b">
        <f t="shared" si="0"/>
        <v>1</v>
      </c>
      <c r="I15" s="330">
        <v>50</v>
      </c>
      <c r="J15" s="330">
        <v>1</v>
      </c>
      <c r="K15" s="336">
        <f>IFERROR(_xll.qlRateHelperEarliestDate(G15,Trigger),"--")</f>
        <v>42737</v>
      </c>
      <c r="L15" s="336">
        <f>IFERROR(_xll.qlRateHelperPillarDate(G15,Trigger),"--")</f>
        <v>42744</v>
      </c>
      <c r="M15" s="384" t="str">
        <v>obj_0047c</v>
      </c>
      <c r="N15" s="386" t="str">
        <f>IFERROR(_xll.qlRateHelperQuoteName(M15,Trigger),"--")</f>
        <v>EURECBOISSEP17_Quote</v>
      </c>
      <c r="P15" s="366">
        <v>6</v>
      </c>
      <c r="Q15" s="367">
        <f>_xll.qlCalendarEndOfMonth(Calendar,_xll.qlCalendarAdvance(Calendar,Q14,"1m","mf",TRUE),Trigger)</f>
        <v>42916</v>
      </c>
      <c r="R15" s="366" t="str">
        <f t="shared" si="3"/>
        <v>EURJump6_SYNTHON_Quote</v>
      </c>
      <c r="S15" s="368">
        <f>_xll.qlDayCounterYearFraction("Actual/360",Q15,_xll.qlCalendarAdvance(Calendar,Q15,"1D",,,Trigger))</f>
        <v>8.3333333333333332E-3</v>
      </c>
      <c r="T15" s="369">
        <f>IF(_xll.qlQuoteIsValid(R15,Trigger),_xll.qlQuoteValue(R15,Trigger),1)</f>
        <v>1</v>
      </c>
      <c r="U15" s="370">
        <f t="shared" si="4"/>
        <v>0</v>
      </c>
      <c r="V15" s="371"/>
      <c r="W15" s="369" t="str">
        <f t="shared" si="5"/>
        <v>EURJump6_SYNTHON_Quote</v>
      </c>
    </row>
    <row r="16" spans="1:23" ht="11.25" customHeight="1" x14ac:dyDescent="0.2">
      <c r="A16" s="229"/>
      <c r="B16" s="351"/>
      <c r="C16" s="351"/>
      <c r="D16" s="334" t="s">
        <v>149</v>
      </c>
      <c r="E16" s="334" t="s">
        <v>40</v>
      </c>
      <c r="F16" s="335" t="str">
        <f t="shared" si="6"/>
        <v>EUREON2W_Quote</v>
      </c>
      <c r="G16" s="335" t="str">
        <f>IF(H16,_xll.qlOISRateHelper(,2,E16,F16,OvernightIndex,,Permanent,Trigger,ObjectOverwrite),"--")</f>
        <v>obj_00445#0000</v>
      </c>
      <c r="H16" s="330" t="b">
        <f t="shared" si="0"/>
        <v>1</v>
      </c>
      <c r="I16" s="330">
        <v>50</v>
      </c>
      <c r="J16" s="330">
        <v>1</v>
      </c>
      <c r="K16" s="336">
        <f>IFERROR(_xll.qlRateHelperEarliestDate(G16,Trigger),"--")</f>
        <v>42737</v>
      </c>
      <c r="L16" s="336">
        <f>IFERROR(_xll.qlRateHelperPillarDate(G16,Trigger),"--")</f>
        <v>42751</v>
      </c>
      <c r="M16" s="384" t="str">
        <v>obj_00478</v>
      </c>
      <c r="N16" s="386" t="str">
        <f>IFERROR(_xll.qlRateHelperQuoteName(M16,Trigger),"--")</f>
        <v>EURECBOISNOV17_Quote</v>
      </c>
      <c r="P16" s="366">
        <v>7</v>
      </c>
      <c r="Q16" s="367">
        <f>_xll.qlCalendarEndOfMonth(Calendar,_xll.qlCalendarAdvance(Calendar,Q15,"1m","mf",TRUE),Trigger)</f>
        <v>42947</v>
      </c>
      <c r="R16" s="366" t="str">
        <f t="shared" si="3"/>
        <v>EURJump7_SYNTHON_Quote</v>
      </c>
      <c r="S16" s="368">
        <f>_xll.qlDayCounterYearFraction("Actual/360",Q16,_xll.qlCalendarAdvance(Calendar,Q16,"1D",,,Trigger))</f>
        <v>2.7777777777777779E-3</v>
      </c>
      <c r="T16" s="369">
        <f>IF(_xll.qlQuoteIsValid(R16,Trigger),_xll.qlQuoteValue(R16,Trigger),1)</f>
        <v>0.99999780000000005</v>
      </c>
      <c r="U16" s="370">
        <f t="shared" si="4"/>
        <v>7.9200087118408424E-4</v>
      </c>
      <c r="V16" s="371"/>
      <c r="W16" s="369" t="str">
        <f t="shared" si="5"/>
        <v>EURJump7_SYNTHON_Quote</v>
      </c>
    </row>
    <row r="17" spans="1:23" ht="11.25" customHeight="1" x14ac:dyDescent="0.2">
      <c r="A17" s="229"/>
      <c r="B17" s="351"/>
      <c r="C17" s="351"/>
      <c r="D17" s="339" t="s">
        <v>149</v>
      </c>
      <c r="E17" s="339" t="s">
        <v>41</v>
      </c>
      <c r="F17" s="335" t="str">
        <f t="shared" si="6"/>
        <v>EUREON3W_Quote</v>
      </c>
      <c r="G17" s="335" t="str">
        <f>IF(H17,_xll.qlOISRateHelper(,2,E17,F17,OvernightIndex,,Permanent,Trigger,ObjectOverwrite),"--")</f>
        <v>obj_00442#0000</v>
      </c>
      <c r="H17" s="330" t="b">
        <f t="shared" si="0"/>
        <v>1</v>
      </c>
      <c r="I17" s="330">
        <v>50</v>
      </c>
      <c r="J17" s="330">
        <v>1</v>
      </c>
      <c r="K17" s="336">
        <f>IFERROR(_xll.qlRateHelperEarliestDate(G17,Trigger),"--")</f>
        <v>42737</v>
      </c>
      <c r="L17" s="336">
        <f>IFERROR(_xll.qlRateHelperPillarDate(G17,Trigger),"--")</f>
        <v>42758</v>
      </c>
      <c r="M17" s="384" t="str">
        <v>obj_0044b</v>
      </c>
      <c r="N17" s="386" t="str">
        <f>IFERROR(_xll.qlRateHelperQuoteName(M17,Trigger),"--")</f>
        <v>EUREON1Y_Quote</v>
      </c>
      <c r="P17" s="366">
        <v>8</v>
      </c>
      <c r="Q17" s="367">
        <f>_xll.qlCalendarEndOfMonth(Calendar,_xll.qlCalendarAdvance(Calendar,Q16,"1m","mf",TRUE),Trigger)</f>
        <v>42978</v>
      </c>
      <c r="R17" s="366" t="str">
        <f t="shared" si="3"/>
        <v>EURJump8_SYNTHON_Quote</v>
      </c>
      <c r="S17" s="368">
        <f>_xll.qlDayCounterYearFraction("Actual/360",Q17,_xll.qlCalendarAdvance(Calendar,Q17,"1D",,,Trigger))</f>
        <v>2.7777777777777779E-3</v>
      </c>
      <c r="T17" s="369">
        <f>IF(_xll.qlQuoteIsValid(R17,Trigger),_xll.qlQuoteValue(R17,Trigger),1)</f>
        <v>1</v>
      </c>
      <c r="U17" s="370">
        <f t="shared" si="4"/>
        <v>0</v>
      </c>
      <c r="V17" s="371"/>
      <c r="W17" s="369" t="str">
        <f t="shared" si="5"/>
        <v>EURJump8_SYNTHON_Quote</v>
      </c>
    </row>
    <row r="18" spans="1:23" x14ac:dyDescent="0.2">
      <c r="B18" s="351"/>
      <c r="C18" s="351"/>
      <c r="D18" s="339" t="s">
        <v>149</v>
      </c>
      <c r="E18" s="339" t="s">
        <v>35</v>
      </c>
      <c r="F18" s="335" t="str">
        <f t="shared" si="6"/>
        <v>EUREON1M_Quote</v>
      </c>
      <c r="G18" s="335" t="str">
        <f>IF(H18,_xll.qlOISRateHelper(,2,E18,F18,OvernightIndex,,Permanent,Trigger,ObjectOverwrite),"--")</f>
        <v>obj_00448#0000</v>
      </c>
      <c r="H18" s="330" t="b">
        <f t="shared" si="0"/>
        <v>1</v>
      </c>
      <c r="I18" s="330">
        <v>50</v>
      </c>
      <c r="J18" s="330">
        <v>1</v>
      </c>
      <c r="K18" s="336">
        <f>IFERROR(_xll.qlRateHelperEarliestDate(G18,Trigger),"--")</f>
        <v>42737</v>
      </c>
      <c r="L18" s="336">
        <f>IFERROR(_xll.qlRateHelperPillarDate(G18,Trigger),"--")</f>
        <v>42768</v>
      </c>
      <c r="M18" s="384" t="str">
        <v>obj_00449</v>
      </c>
      <c r="N18" s="386" t="str">
        <f>IFERROR(_xll.qlRateHelperQuoteName(M18,Trigger),"--")</f>
        <v>EUREON15M_Quote</v>
      </c>
      <c r="P18" s="366">
        <v>9</v>
      </c>
      <c r="Q18" s="367">
        <f>_xll.qlCalendarEndOfMonth(Calendar,_xll.qlCalendarAdvance(Calendar,Q17,"1m","mf",TRUE),Trigger)</f>
        <v>43007</v>
      </c>
      <c r="R18" s="366" t="str">
        <f t="shared" si="3"/>
        <v>EURJump9_SYNTHON_Quote</v>
      </c>
      <c r="S18" s="368">
        <f>_xll.qlDayCounterYearFraction("Actual/360",Q18,_xll.qlCalendarAdvance(Calendar,Q18,"1D",,,Trigger))</f>
        <v>8.3333333333333332E-3</v>
      </c>
      <c r="T18" s="369">
        <f>IF(_xll.qlQuoteIsValid(R18,Trigger),_xll.qlQuoteValue(R18,Trigger),1)</f>
        <v>1</v>
      </c>
      <c r="U18" s="370">
        <f t="shared" si="4"/>
        <v>0</v>
      </c>
      <c r="V18" s="371"/>
      <c r="W18" s="369" t="str">
        <f t="shared" si="5"/>
        <v>EURJump9_SYNTHON_Quote</v>
      </c>
    </row>
    <row r="19" spans="1:23" x14ac:dyDescent="0.2">
      <c r="B19" s="351"/>
      <c r="C19" s="351"/>
      <c r="D19" s="339" t="s">
        <v>149</v>
      </c>
      <c r="E19" s="339" t="s">
        <v>42</v>
      </c>
      <c r="F19" s="335" t="str">
        <f t="shared" si="6"/>
        <v>EUREON2M_Quote</v>
      </c>
      <c r="G19" s="335" t="str">
        <f>IF(H19,_xll.qlOISRateHelper(,2,E19,F19,OvernightIndex,,Permanent,Trigger,ObjectOverwrite),"--")</f>
        <v>obj_0044d#0000</v>
      </c>
      <c r="H19" s="330" t="b">
        <f t="shared" si="0"/>
        <v>1</v>
      </c>
      <c r="I19" s="330">
        <v>50</v>
      </c>
      <c r="J19" s="330">
        <v>1</v>
      </c>
      <c r="K19" s="336">
        <f>IFERROR(_xll.qlRateHelperEarliestDate(G19,Trigger),"--")</f>
        <v>42737</v>
      </c>
      <c r="L19" s="336">
        <f>IFERROR(_xll.qlRateHelperPillarDate(G19,Trigger),"--")</f>
        <v>42796</v>
      </c>
      <c r="M19" s="384" t="str">
        <v>obj_00443</v>
      </c>
      <c r="N19" s="386" t="str">
        <f>IFERROR(_xll.qlRateHelperQuoteName(M19,Trigger),"--")</f>
        <v>EUREON18M_Quote</v>
      </c>
      <c r="P19" s="366">
        <v>10</v>
      </c>
      <c r="Q19" s="367">
        <f>_xll.qlCalendarEndOfMonth(Calendar,_xll.qlCalendarAdvance(Calendar,Q18,"1m","mf",TRUE),Trigger)</f>
        <v>43039</v>
      </c>
      <c r="R19" s="366" t="str">
        <f t="shared" si="3"/>
        <v>EURJump10_SYNTHON_Quote</v>
      </c>
      <c r="S19" s="368">
        <f>_xll.qlDayCounterYearFraction("Actual/360",Q19,_xll.qlCalendarAdvance(Calendar,Q19,"1D",,,Trigger))</f>
        <v>2.7777777777777779E-3</v>
      </c>
      <c r="T19" s="369">
        <f>IF(_xll.qlQuoteIsValid(R19,Trigger),_xll.qlQuoteValue(R19,Trigger),1)</f>
        <v>1</v>
      </c>
      <c r="U19" s="370">
        <f t="shared" si="4"/>
        <v>0</v>
      </c>
      <c r="V19" s="371"/>
      <c r="W19" s="369" t="str">
        <f t="shared" si="5"/>
        <v>EURJump10_SYNTHON_Quote</v>
      </c>
    </row>
    <row r="20" spans="1:23" x14ac:dyDescent="0.2">
      <c r="B20" s="351"/>
      <c r="C20" s="351"/>
      <c r="D20" s="339" t="s">
        <v>149</v>
      </c>
      <c r="E20" s="339" t="s">
        <v>36</v>
      </c>
      <c r="F20" s="335" t="str">
        <f t="shared" si="6"/>
        <v>EUREON3M_Quote</v>
      </c>
      <c r="G20" s="335" t="str">
        <f>IF(H20,_xll.qlOISRateHelper(,2,E20,F20,OvernightIndex,,Permanent,Trigger,ObjectOverwrite),"--")</f>
        <v>--</v>
      </c>
      <c r="H20" s="330" t="b">
        <v>0</v>
      </c>
      <c r="I20" s="330">
        <v>50</v>
      </c>
      <c r="J20" s="330">
        <v>1</v>
      </c>
      <c r="K20" s="336" t="str">
        <f>IFERROR(_xll.qlRateHelperEarliestDate(G20,Trigger),"--")</f>
        <v>--</v>
      </c>
      <c r="L20" s="336" t="str">
        <f>IFERROR(_xll.qlRateHelperPillarDate(G20,Trigger),"--")</f>
        <v>--</v>
      </c>
      <c r="M20" s="384" t="str">
        <v>obj_00441</v>
      </c>
      <c r="N20" s="386" t="str">
        <f>IFERROR(_xll.qlRateHelperQuoteName(M20,Trigger),"--")</f>
        <v>EUREON21M_Quote</v>
      </c>
      <c r="P20" s="366">
        <v>11</v>
      </c>
      <c r="Q20" s="367">
        <f>_xll.qlCalendarEndOfMonth(Calendar,_xll.qlCalendarAdvance(Calendar,Q19,"1m","mf",TRUE),Trigger)</f>
        <v>43069</v>
      </c>
      <c r="R20" s="366" t="str">
        <f t="shared" si="3"/>
        <v>EURJump11_SYNTHON_Quote</v>
      </c>
      <c r="S20" s="368">
        <f>_xll.qlDayCounterYearFraction("Actual/360",Q20,_xll.qlCalendarAdvance(Calendar,Q20,"1D",,,Trigger))</f>
        <v>2.7777777777777779E-3</v>
      </c>
      <c r="T20" s="369">
        <f>IF(_xll.qlQuoteIsValid(R20,Trigger),_xll.qlQuoteValue(R20,Trigger),1)</f>
        <v>1</v>
      </c>
      <c r="U20" s="370">
        <f t="shared" si="4"/>
        <v>0</v>
      </c>
      <c r="V20" s="371"/>
      <c r="W20" s="369" t="str">
        <f t="shared" si="5"/>
        <v>EURJump11_SYNTHON_Quote</v>
      </c>
    </row>
    <row r="21" spans="1:23" x14ac:dyDescent="0.2">
      <c r="B21" s="351"/>
      <c r="C21" s="351"/>
      <c r="D21" s="339" t="s">
        <v>149</v>
      </c>
      <c r="E21" s="339" t="s">
        <v>43</v>
      </c>
      <c r="F21" s="335" t="str">
        <f t="shared" si="6"/>
        <v>EUREON4M_Quote</v>
      </c>
      <c r="G21" s="335" t="str">
        <f>IF(H21,_xll.qlOISRateHelper(,2,E21,F21,OvernightIndex,,Permanent,Trigger,ObjectOverwrite),"--")</f>
        <v>--</v>
      </c>
      <c r="H21" s="330" t="b">
        <v>0</v>
      </c>
      <c r="I21" s="330">
        <v>50</v>
      </c>
      <c r="J21" s="330">
        <v>1</v>
      </c>
      <c r="K21" s="336" t="str">
        <f>IFERROR(_xll.qlRateHelperEarliestDate(G21,Trigger),"--")</f>
        <v>--</v>
      </c>
      <c r="L21" s="336" t="str">
        <f>IFERROR(_xll.qlRateHelperPillarDate(G21,Trigger),"--")</f>
        <v>--</v>
      </c>
      <c r="M21" s="384" t="str">
        <v>obj_00447</v>
      </c>
      <c r="N21" s="386" t="str">
        <f>IFERROR(_xll.qlRateHelperQuoteName(M21,Trigger),"--")</f>
        <v>EUREON2Y_Quote</v>
      </c>
      <c r="P21" s="366">
        <v>12</v>
      </c>
      <c r="Q21" s="367">
        <f>_xll.qlCalendarEndOfMonth(Calendar,_xll.qlCalendarAdvance(Calendar,Q20,"1m","mf",TRUE),Trigger)</f>
        <v>43098</v>
      </c>
      <c r="R21" s="366" t="str">
        <f t="shared" si="3"/>
        <v>EURJump12_SYNTHON_Quote</v>
      </c>
      <c r="S21" s="368">
        <f>_xll.qlDayCounterYearFraction("Actual/360",Q21,_xll.qlCalendarAdvance(Calendar,Q21,"1D",,,Trigger))</f>
        <v>1.1111111111111112E-2</v>
      </c>
      <c r="T21" s="369">
        <f>IF(_xll.qlQuoteIsValid(R21,Trigger),_xll.qlQuoteValue(R21,Trigger),1)</f>
        <v>1</v>
      </c>
      <c r="U21" s="370">
        <f t="shared" si="4"/>
        <v>0</v>
      </c>
      <c r="V21" s="371"/>
      <c r="W21" s="369" t="str">
        <f t="shared" si="5"/>
        <v>EURJump12_SYNTHON_Quote</v>
      </c>
    </row>
    <row r="22" spans="1:23" x14ac:dyDescent="0.2">
      <c r="B22" s="351"/>
      <c r="C22" s="351"/>
      <c r="D22" s="339" t="s">
        <v>149</v>
      </c>
      <c r="E22" s="339" t="s">
        <v>44</v>
      </c>
      <c r="F22" s="335" t="str">
        <f t="shared" si="6"/>
        <v>EUREON5M_Quote</v>
      </c>
      <c r="G22" s="335" t="str">
        <f>IF(H22,_xll.qlOISRateHelper(,2,E22,F22,OvernightIndex,,Permanent,Trigger,ObjectOverwrite),"--")</f>
        <v>--</v>
      </c>
      <c r="H22" s="330" t="b">
        <v>0</v>
      </c>
      <c r="I22" s="330">
        <v>50</v>
      </c>
      <c r="J22" s="330">
        <v>1</v>
      </c>
      <c r="K22" s="336" t="str">
        <f>IFERROR(_xll.qlRateHelperEarliestDate(G22,Trigger),"--")</f>
        <v>--</v>
      </c>
      <c r="L22" s="336" t="str">
        <f>IFERROR(_xll.qlRateHelperPillarDate(G22,Trigger),"--")</f>
        <v>--</v>
      </c>
      <c r="M22" s="384" t="e">
        <v>#N/A</v>
      </c>
      <c r="N22" s="386" t="str">
        <f>IFERROR(_xll.qlRateHelperQuoteName(M22,Trigger),"--")</f>
        <v>--</v>
      </c>
      <c r="P22" s="372">
        <v>13</v>
      </c>
      <c r="Q22" s="373">
        <f>_xll.qlCalendarEndOfMonth(Calendar,_xll.qlCalendarAdvance(Calendar,Q21,"1m","mf",TRUE),Trigger)</f>
        <v>43131</v>
      </c>
      <c r="R22" s="372" t="str">
        <f t="shared" si="3"/>
        <v>EURJump13_SYNTHON_Quote</v>
      </c>
      <c r="S22" s="374">
        <f>_xll.qlDayCounterYearFraction("Actual/360",Q22,_xll.qlCalendarAdvance(Calendar,Q22,"1D",,,Trigger))</f>
        <v>2.7777777777777779E-3</v>
      </c>
      <c r="T22" s="375">
        <f>IF(_xll.qlQuoteIsValid(R22,Trigger),_xll.qlQuoteValue(R22,Trigger),1)</f>
        <v>1</v>
      </c>
      <c r="U22" s="376">
        <f t="shared" si="4"/>
        <v>0</v>
      </c>
      <c r="V22" s="377"/>
      <c r="W22" s="375" t="str">
        <f t="shared" si="5"/>
        <v>EURJump13_SYNTHON_Quote</v>
      </c>
    </row>
    <row r="23" spans="1:23" x14ac:dyDescent="0.2">
      <c r="B23" s="351"/>
      <c r="C23" s="351"/>
      <c r="D23" s="339" t="s">
        <v>149</v>
      </c>
      <c r="E23" s="339" t="s">
        <v>37</v>
      </c>
      <c r="F23" s="335" t="str">
        <f t="shared" si="6"/>
        <v>EUREON6M_Quote</v>
      </c>
      <c r="G23" s="335" t="str">
        <f>IF(H23,_xll.qlOISRateHelper(,2,E23,F23,OvernightIndex,,Permanent,Trigger,ObjectOverwrite),"--")</f>
        <v>--</v>
      </c>
      <c r="H23" s="330" t="b">
        <v>0</v>
      </c>
      <c r="I23" s="330">
        <v>50</v>
      </c>
      <c r="J23" s="330">
        <v>1</v>
      </c>
      <c r="K23" s="336" t="str">
        <f>IFERROR(_xll.qlRateHelperEarliestDate(G23,Trigger),"--")</f>
        <v>--</v>
      </c>
      <c r="L23" s="336" t="str">
        <f>IFERROR(_xll.qlRateHelperPillarDate(G23,Trigger),"--")</f>
        <v>--</v>
      </c>
      <c r="M23" s="384" t="e">
        <v>#N/A</v>
      </c>
      <c r="N23" s="386" t="str">
        <f>IFERROR(_xll.qlRateHelperQuoteName(M23,Trigger),"--")</f>
        <v>--</v>
      </c>
    </row>
    <row r="24" spans="1:23" x14ac:dyDescent="0.2">
      <c r="B24" s="351"/>
      <c r="C24" s="351"/>
      <c r="D24" s="339" t="s">
        <v>149</v>
      </c>
      <c r="E24" s="339" t="s">
        <v>45</v>
      </c>
      <c r="F24" s="335" t="str">
        <f t="shared" si="6"/>
        <v>EUREON7M_Quote</v>
      </c>
      <c r="G24" s="335" t="str">
        <f>IF(H24,_xll.qlOISRateHelper(,2,E24,F24,OvernightIndex,,Permanent,Trigger,ObjectOverwrite),"--")</f>
        <v>--</v>
      </c>
      <c r="H24" s="330" t="b">
        <v>0</v>
      </c>
      <c r="I24" s="330">
        <v>50</v>
      </c>
      <c r="J24" s="330">
        <v>1</v>
      </c>
      <c r="K24" s="336" t="str">
        <f>IFERROR(_xll.qlRateHelperEarliestDate(G24,Trigger),"--")</f>
        <v>--</v>
      </c>
      <c r="L24" s="336" t="str">
        <f>IFERROR(_xll.qlRateHelperPillarDate(G24,Trigger),"--")</f>
        <v>--</v>
      </c>
      <c r="M24" s="384" t="e">
        <v>#N/A</v>
      </c>
      <c r="N24" s="386" t="str">
        <f>IFERROR(_xll.qlRateHelperQuoteName(M24,Trigger),"--")</f>
        <v>--</v>
      </c>
    </row>
    <row r="25" spans="1:23" x14ac:dyDescent="0.2">
      <c r="B25" s="351"/>
      <c r="C25" s="351"/>
      <c r="D25" s="339" t="s">
        <v>149</v>
      </c>
      <c r="E25" s="339" t="s">
        <v>46</v>
      </c>
      <c r="F25" s="335" t="str">
        <f t="shared" si="6"/>
        <v>EUREON8M_Quote</v>
      </c>
      <c r="G25" s="335" t="str">
        <f>IF(H25,_xll.qlOISRateHelper(,2,E25,F25,OvernightIndex,,Permanent,Trigger,ObjectOverwrite),"--")</f>
        <v>--</v>
      </c>
      <c r="H25" s="330" t="b">
        <v>0</v>
      </c>
      <c r="I25" s="330">
        <v>50</v>
      </c>
      <c r="J25" s="330">
        <v>1</v>
      </c>
      <c r="K25" s="336" t="str">
        <f>IFERROR(_xll.qlRateHelperEarliestDate(G25,Trigger),"--")</f>
        <v>--</v>
      </c>
      <c r="L25" s="336" t="str">
        <f>IFERROR(_xll.qlRateHelperPillarDate(G25,Trigger),"--")</f>
        <v>--</v>
      </c>
      <c r="M25" s="384" t="e">
        <v>#N/A</v>
      </c>
      <c r="N25" s="386" t="str">
        <f>IFERROR(_xll.qlRateHelperQuoteName(M25,Trigger),"--")</f>
        <v>--</v>
      </c>
    </row>
    <row r="26" spans="1:23" x14ac:dyDescent="0.2">
      <c r="B26" s="351"/>
      <c r="C26" s="351"/>
      <c r="D26" s="339" t="s">
        <v>149</v>
      </c>
      <c r="E26" s="339" t="s">
        <v>47</v>
      </c>
      <c r="F26" s="335" t="str">
        <f t="shared" si="6"/>
        <v>EUREON9M_Quote</v>
      </c>
      <c r="G26" s="335" t="str">
        <f>IF(H26,_xll.qlOISRateHelper(,2,E26,F26,OvernightIndex,,Permanent,Trigger,ObjectOverwrite),"--")</f>
        <v>--</v>
      </c>
      <c r="H26" s="330" t="b">
        <v>0</v>
      </c>
      <c r="I26" s="330">
        <v>50</v>
      </c>
      <c r="J26" s="330">
        <v>1</v>
      </c>
      <c r="K26" s="336" t="str">
        <f>IFERROR(_xll.qlRateHelperEarliestDate(G26,Trigger),"--")</f>
        <v>--</v>
      </c>
      <c r="L26" s="336" t="str">
        <f>IFERROR(_xll.qlRateHelperPillarDate(G26,Trigger),"--")</f>
        <v>--</v>
      </c>
      <c r="M26" s="384" t="e">
        <v>#N/A</v>
      </c>
      <c r="N26" s="386" t="str">
        <f>IFERROR(_xll.qlRateHelperQuoteName(M26,Trigger),"--")</f>
        <v>--</v>
      </c>
    </row>
    <row r="27" spans="1:23" x14ac:dyDescent="0.2">
      <c r="B27" s="351"/>
      <c r="C27" s="351"/>
      <c r="D27" s="339" t="s">
        <v>149</v>
      </c>
      <c r="E27" s="339" t="s">
        <v>48</v>
      </c>
      <c r="F27" s="335" t="str">
        <f t="shared" si="6"/>
        <v>EUREON10M_Quote</v>
      </c>
      <c r="G27" s="335" t="str">
        <f>IF(H27,_xll.qlOISRateHelper(,2,E27,F27,OvernightIndex,,Permanent,Trigger,ObjectOverwrite),"--")</f>
        <v>--</v>
      </c>
      <c r="H27" s="330" t="b">
        <v>0</v>
      </c>
      <c r="I27" s="330">
        <v>50</v>
      </c>
      <c r="J27" s="330">
        <v>1</v>
      </c>
      <c r="K27" s="336" t="str">
        <f>IFERROR(_xll.qlRateHelperEarliestDate(G27,Trigger),"--")</f>
        <v>--</v>
      </c>
      <c r="L27" s="336" t="str">
        <f>IFERROR(_xll.qlRateHelperPillarDate(G27,Trigger),"--")</f>
        <v>--</v>
      </c>
      <c r="M27" s="384" t="e">
        <v>#N/A</v>
      </c>
      <c r="N27" s="386" t="str">
        <f>IFERROR(_xll.qlRateHelperQuoteName(M27,Trigger),"--")</f>
        <v>--</v>
      </c>
    </row>
    <row r="28" spans="1:23" x14ac:dyDescent="0.2">
      <c r="B28" s="351"/>
      <c r="C28" s="351"/>
      <c r="D28" s="339" t="s">
        <v>149</v>
      </c>
      <c r="E28" s="339" t="s">
        <v>49</v>
      </c>
      <c r="F28" s="335" t="str">
        <f t="shared" si="6"/>
        <v>EUREON11M_Quote</v>
      </c>
      <c r="G28" s="335" t="str">
        <f>IF(H28,_xll.qlOISRateHelper(,2,E28,F28,OvernightIndex,,Permanent,Trigger,ObjectOverwrite),"--")</f>
        <v>--</v>
      </c>
      <c r="H28" s="330" t="b">
        <v>0</v>
      </c>
      <c r="I28" s="330">
        <v>50</v>
      </c>
      <c r="J28" s="330">
        <v>1</v>
      </c>
      <c r="K28" s="336" t="str">
        <f>IFERROR(_xll.qlRateHelperEarliestDate(G28,Trigger),"--")</f>
        <v>--</v>
      </c>
      <c r="L28" s="336" t="str">
        <f>IFERROR(_xll.qlRateHelperPillarDate(G28,Trigger),"--")</f>
        <v>--</v>
      </c>
      <c r="M28" s="384" t="e">
        <v>#N/A</v>
      </c>
      <c r="N28" s="386" t="str">
        <f>IFERROR(_xll.qlRateHelperQuoteName(M28,Trigger),"--")</f>
        <v>--</v>
      </c>
    </row>
    <row r="29" spans="1:23" x14ac:dyDescent="0.2">
      <c r="B29" s="351"/>
      <c r="C29" s="351"/>
      <c r="D29" s="339" t="s">
        <v>149</v>
      </c>
      <c r="E29" s="339" t="s">
        <v>23</v>
      </c>
      <c r="F29" s="335" t="str">
        <f t="shared" si="6"/>
        <v>EUREON1Y_Quote</v>
      </c>
      <c r="G29" s="335" t="str">
        <f>IF(H29,_xll.qlOISRateHelper(,2,E29,F29,OvernightIndex,,Permanent,Trigger,ObjectOverwrite),"--")</f>
        <v>obj_0044b#0000</v>
      </c>
      <c r="H29" s="330" t="b">
        <f t="shared" si="0"/>
        <v>1</v>
      </c>
      <c r="I29" s="330">
        <v>50</v>
      </c>
      <c r="J29" s="330">
        <v>1</v>
      </c>
      <c r="K29" s="336">
        <f>IFERROR(_xll.qlRateHelperEarliestDate(G29,Trigger),"--")</f>
        <v>42737</v>
      </c>
      <c r="L29" s="336">
        <f>IFERROR(_xll.qlRateHelperPillarDate(G29,Trigger),"--")</f>
        <v>43102</v>
      </c>
      <c r="M29" s="384" t="e">
        <v>#N/A</v>
      </c>
      <c r="N29" s="386" t="str">
        <f>IFERROR(_xll.qlRateHelperQuoteName(M29,Trigger),"--")</f>
        <v>--</v>
      </c>
    </row>
    <row r="30" spans="1:23" x14ac:dyDescent="0.2">
      <c r="B30" s="351"/>
      <c r="C30" s="351"/>
      <c r="D30" s="339" t="s">
        <v>149</v>
      </c>
      <c r="E30" s="339" t="s">
        <v>150</v>
      </c>
      <c r="F30" s="335" t="str">
        <f t="shared" si="6"/>
        <v>EUREON15M_Quote</v>
      </c>
      <c r="G30" s="335" t="str">
        <f>IF(H30,_xll.qlOISRateHelper(,2,E30,F30,OvernightIndex,,Permanent,Trigger,ObjectOverwrite),"--")</f>
        <v>obj_00449#0000</v>
      </c>
      <c r="H30" s="330" t="b">
        <f t="shared" si="0"/>
        <v>1</v>
      </c>
      <c r="I30" s="330">
        <v>50</v>
      </c>
      <c r="J30" s="330">
        <v>1</v>
      </c>
      <c r="K30" s="336">
        <f>IFERROR(_xll.qlRateHelperEarliestDate(G30,Trigger),"--")</f>
        <v>42737</v>
      </c>
      <c r="L30" s="336">
        <f>IFERROR(_xll.qlRateHelperPillarDate(G30,Trigger),"--")</f>
        <v>43193</v>
      </c>
      <c r="M30" s="384" t="e">
        <v>#N/A</v>
      </c>
      <c r="N30" s="386" t="str">
        <f>IFERROR(_xll.qlRateHelperQuoteName(M30,Trigger),"--")</f>
        <v>--</v>
      </c>
    </row>
    <row r="31" spans="1:23" x14ac:dyDescent="0.2">
      <c r="B31" s="351"/>
      <c r="C31" s="351"/>
      <c r="D31" s="339" t="s">
        <v>149</v>
      </c>
      <c r="E31" s="339" t="s">
        <v>151</v>
      </c>
      <c r="F31" s="335" t="str">
        <f t="shared" si="6"/>
        <v>EUREON18M_Quote</v>
      </c>
      <c r="G31" s="335" t="str">
        <f>IF(H31,_xll.qlOISRateHelper(,2,E31,F31,OvernightIndex,,Permanent,Trigger,ObjectOverwrite),"--")</f>
        <v>obj_00443#0000</v>
      </c>
      <c r="H31" s="330" t="b">
        <f t="shared" si="0"/>
        <v>1</v>
      </c>
      <c r="I31" s="330">
        <v>50</v>
      </c>
      <c r="J31" s="330">
        <v>1</v>
      </c>
      <c r="K31" s="336">
        <f>IFERROR(_xll.qlRateHelperEarliestDate(G31,Trigger),"--")</f>
        <v>42737</v>
      </c>
      <c r="L31" s="336">
        <f>IFERROR(_xll.qlRateHelperPillarDate(G31,Trigger),"--")</f>
        <v>43283</v>
      </c>
      <c r="M31" s="384" t="e">
        <v>#N/A</v>
      </c>
      <c r="N31" s="386" t="str">
        <f>IFERROR(_xll.qlRateHelperQuoteName(M31,Trigger),"--")</f>
        <v>--</v>
      </c>
    </row>
    <row r="32" spans="1:23" x14ac:dyDescent="0.2">
      <c r="B32" s="351"/>
      <c r="C32" s="351"/>
      <c r="D32" s="339" t="s">
        <v>149</v>
      </c>
      <c r="E32" s="339" t="s">
        <v>152</v>
      </c>
      <c r="F32" s="335" t="str">
        <f t="shared" si="6"/>
        <v>EUREON21M_Quote</v>
      </c>
      <c r="G32" s="335" t="str">
        <f>IF(H32,_xll.qlOISRateHelper(,2,E32,F32,OvernightIndex,,Permanent,Trigger,ObjectOverwrite),"--")</f>
        <v>obj_00441#0000</v>
      </c>
      <c r="H32" s="330" t="b">
        <f t="shared" si="0"/>
        <v>1</v>
      </c>
      <c r="I32" s="330">
        <v>50</v>
      </c>
      <c r="J32" s="330">
        <v>1</v>
      </c>
      <c r="K32" s="336">
        <f>IFERROR(_xll.qlRateHelperEarliestDate(G32,Trigger),"--")</f>
        <v>42737</v>
      </c>
      <c r="L32" s="336">
        <f>IFERROR(_xll.qlRateHelperPillarDate(G32,Trigger),"--")</f>
        <v>43375</v>
      </c>
      <c r="M32" s="384" t="e">
        <v>#N/A</v>
      </c>
      <c r="N32" s="386" t="str">
        <f>IFERROR(_xll.qlRateHelperQuoteName(M32,Trigger),"--")</f>
        <v>--</v>
      </c>
    </row>
    <row r="33" spans="2:14" x14ac:dyDescent="0.2">
      <c r="B33" s="352"/>
      <c r="C33" s="352"/>
      <c r="D33" s="340" t="s">
        <v>149</v>
      </c>
      <c r="E33" s="340" t="s">
        <v>153</v>
      </c>
      <c r="F33" s="341" t="str">
        <f t="shared" si="6"/>
        <v>EUREON2Y_Quote</v>
      </c>
      <c r="G33" s="341" t="str">
        <f>IF(H33,_xll.qlOISRateHelper(,2,E33,F33,OvernightIndex,,Permanent,Trigger,ObjectOverwrite),"--")</f>
        <v>obj_00447#0000</v>
      </c>
      <c r="H33" s="342" t="b">
        <f t="shared" si="0"/>
        <v>1</v>
      </c>
      <c r="I33" s="342">
        <v>50</v>
      </c>
      <c r="J33" s="330">
        <v>1</v>
      </c>
      <c r="K33" s="343">
        <f>IFERROR(_xll.qlRateHelperEarliestDate(G33,Trigger),"--")</f>
        <v>42737</v>
      </c>
      <c r="L33" s="343">
        <f>IFERROR(_xll.qlRateHelperPillarDate(G33,Trigger),"--")</f>
        <v>43467</v>
      </c>
      <c r="M33" s="387" t="e">
        <v>#N/A</v>
      </c>
      <c r="N33" s="388" t="str">
        <f>IFERROR(_xll.qlRateHelperQuoteName(M33,Trigger),"--")</f>
        <v>--</v>
      </c>
    </row>
    <row r="34" spans="2:14" x14ac:dyDescent="0.2">
      <c r="D34" s="60"/>
      <c r="E34" s="60"/>
      <c r="H34" s="60"/>
      <c r="I34" s="60"/>
      <c r="J34" s="345"/>
      <c r="K34" s="60"/>
      <c r="L34" s="60"/>
      <c r="M34" s="60"/>
      <c r="N34" s="60"/>
    </row>
    <row r="35" spans="2:14" x14ac:dyDescent="0.2">
      <c r="D35" s="60"/>
      <c r="E35" s="60"/>
      <c r="H35" s="60"/>
      <c r="I35" s="60"/>
      <c r="J35" s="60"/>
      <c r="K35" s="60"/>
      <c r="L35" s="60"/>
      <c r="M35" s="60"/>
      <c r="N35" s="60"/>
    </row>
    <row r="36" spans="2:14" x14ac:dyDescent="0.2">
      <c r="D36" s="60"/>
      <c r="E36" s="60"/>
      <c r="H36" s="60"/>
      <c r="I36" s="60"/>
      <c r="J36" s="60"/>
      <c r="K36" s="60"/>
      <c r="L36" s="60"/>
      <c r="M36" s="60"/>
      <c r="N36" s="60"/>
    </row>
    <row r="37" spans="2:14" x14ac:dyDescent="0.2">
      <c r="D37" s="60"/>
      <c r="E37" s="60"/>
      <c r="H37" s="60"/>
      <c r="I37" s="60"/>
      <c r="J37" s="60"/>
      <c r="K37" s="60"/>
      <c r="L37" s="60"/>
      <c r="M37" s="60"/>
      <c r="N37" s="60"/>
    </row>
  </sheetData>
  <mergeCells count="2">
    <mergeCell ref="B1:E1"/>
    <mergeCell ref="M1:N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132"/>
  <sheetViews>
    <sheetView workbookViewId="0">
      <selection activeCell="C2" sqref="C2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1.664062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3" width="9.33203125" style="60" bestFit="1" customWidth="1"/>
    <col min="24" max="24" width="10.5" style="60" bestFit="1" customWidth="1"/>
    <col min="25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10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125</v>
      </c>
      <c r="H2" s="87" t="s">
        <v>126</v>
      </c>
      <c r="I2" s="87" t="s">
        <v>96</v>
      </c>
      <c r="J2" s="88" t="s">
        <v>97</v>
      </c>
      <c r="K2" s="87" t="s">
        <v>98</v>
      </c>
      <c r="L2" s="87" t="s">
        <v>104</v>
      </c>
      <c r="S2" s="77" t="s">
        <v>94</v>
      </c>
      <c r="W2" s="411" t="s">
        <v>93</v>
      </c>
      <c r="X2" s="411"/>
      <c r="Y2" s="411"/>
      <c r="AB2" s="87" t="s">
        <v>80</v>
      </c>
      <c r="AC2" s="87" t="s">
        <v>117</v>
      </c>
      <c r="AD2" s="87" t="s">
        <v>34</v>
      </c>
      <c r="AE2" s="87" t="s">
        <v>87</v>
      </c>
      <c r="AF2" s="87" t="s">
        <v>88</v>
      </c>
    </row>
    <row r="3" spans="1:32" ht="12.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42737</v>
      </c>
      <c r="E3" s="93">
        <f>_xll.qlInterestRateIndexMaturity($D$10,D3)</f>
        <v>42768</v>
      </c>
      <c r="F3" s="94">
        <f>'Delta 1M'!X26</f>
        <v>-1.7227533659100159E-5</v>
      </c>
      <c r="G3" s="95">
        <f>_xll.qlDayCounterYearFraction(DayCounter,SettlementDate,D3,,,Trigger)</f>
        <v>0</v>
      </c>
      <c r="H3" s="95">
        <f>_xll.qlDayCounterYearFraction(DayCounter,SettlementDate,E3,,,Trigger)</f>
        <v>8.611111111111111E-2</v>
      </c>
      <c r="I3" s="95">
        <f>H3-G3</f>
        <v>8.611111111111111E-2</v>
      </c>
      <c r="J3" s="95">
        <f>(H3^2-G3^2)/2</f>
        <v>3.7075617283950616E-3</v>
      </c>
      <c r="K3" s="95">
        <f>(H3^3-G3^3)/3</f>
        <v>2.1284150663008689E-4</v>
      </c>
      <c r="L3" s="96" t="b">
        <f>IF(D12="fixing",TRUE,FALSE)</f>
        <v>0</v>
      </c>
      <c r="N3" s="412" t="s">
        <v>90</v>
      </c>
      <c r="O3" s="72">
        <f t="array" ref="O3:O5">_xll.ohFilter(K3:K7,L3:L7)</f>
        <v>2.1284150663008689E-4</v>
      </c>
      <c r="P3" s="78">
        <f t="array" ref="P3:P5">_xll.ohFilter(J3:J7,L3:L7)</f>
        <v>3.7075617283950616E-3</v>
      </c>
      <c r="Q3" s="73">
        <f t="array" ref="Q3:Q5">_xll.ohFilter(I3:I7,L3:L7)</f>
        <v>8.611111111111111E-2</v>
      </c>
      <c r="R3" s="79"/>
      <c r="S3" s="74">
        <f t="array" ref="S3:S5">MMULT(W3:Y5,U3:U5)</f>
        <v>-4.6872804143863727E-3</v>
      </c>
      <c r="T3" s="80"/>
      <c r="U3" s="75">
        <f t="array" ref="U3:U5">_xll.ohFilter(F3:F7,L3:L7)</f>
        <v>-1.7227533659100159E-5</v>
      </c>
      <c r="W3" s="72">
        <f t="array" ref="W3:Y5">MINVERSE(O3:Q5)</f>
        <v>840.95674691628767</v>
      </c>
      <c r="X3" s="78">
        <v>-1846.6008567703482</v>
      </c>
      <c r="Y3" s="73">
        <v>801.09890109890125</v>
      </c>
      <c r="AB3" s="109">
        <f>SettlementDate</f>
        <v>42737</v>
      </c>
      <c r="AC3" s="100">
        <f>_xll.qlDayCounterYearFraction(DayCounter,SettlementDate,AB3,,,Trigger)</f>
        <v>0</v>
      </c>
      <c r="AD3" s="125">
        <f t="shared" ref="AD3:AD26" si="0">$S$13</f>
        <v>-2.0006168120245346E-4</v>
      </c>
      <c r="AE3" s="125">
        <f t="shared" ref="AE3:AE23" si="1">$S$10+$S$9*AC3</f>
        <v>-2.1110789375821716E-4</v>
      </c>
      <c r="AF3" s="125">
        <f t="shared" ref="AF3:AF23" si="2">($S$5+$S$4*AC3+$S$3*AC3^2)</f>
        <v>-2.3315788315614075E-4</v>
      </c>
    </row>
    <row r="4" spans="1:32" ht="12.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42737</v>
      </c>
      <c r="E4" s="98">
        <f>_xll.qlInterestRateIndexMaturity($D$10,D4)</f>
        <v>42768</v>
      </c>
      <c r="F4" s="99">
        <f t="array" ref="F4:F7">Delta1M</f>
        <v>-1.7227533659100159E-5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8.611111111111111E-2</v>
      </c>
      <c r="I4" s="100">
        <f>H4-G4</f>
        <v>8.611111111111111E-2</v>
      </c>
      <c r="J4" s="100">
        <f>(H4^2-G4^2)/2</f>
        <v>3.7075617283950616E-3</v>
      </c>
      <c r="K4" s="100">
        <f>(H4^3-G4^3)/3</f>
        <v>2.1284150663008689E-4</v>
      </c>
      <c r="L4" s="101" t="b">
        <f>IF(D12="fixing",FALSE,TRUE)</f>
        <v>1</v>
      </c>
      <c r="N4" s="412"/>
      <c r="O4" s="72">
        <v>1.254486739826246E-3</v>
      </c>
      <c r="P4" s="78">
        <v>9.7222222222222224E-3</v>
      </c>
      <c r="Q4" s="73">
        <v>7.7777777777777779E-2</v>
      </c>
      <c r="R4" s="81" t="s">
        <v>32</v>
      </c>
      <c r="S4" s="74">
        <v>1.0377705972412733E-3</v>
      </c>
      <c r="T4" s="81" t="s">
        <v>33</v>
      </c>
      <c r="U4" s="75">
        <v>-1.3925196786882433E-5</v>
      </c>
      <c r="W4" s="72">
        <v>-281.87624294786679</v>
      </c>
      <c r="X4" s="78">
        <v>464.66753585397646</v>
      </c>
      <c r="Y4" s="73">
        <v>-133.51648351648353</v>
      </c>
      <c r="AB4" s="114">
        <f>_xll.qlCalendarAdvance(Calendar,AB3,"1d","mf",,Trigger)</f>
        <v>42738</v>
      </c>
      <c r="AC4" s="100">
        <f>_xll.qlDayCounterYearFraction(DayCounter,SettlementDate,AB4,,,Trigger)</f>
        <v>2.7777777777777779E-3</v>
      </c>
      <c r="AD4" s="112">
        <f t="shared" si="0"/>
        <v>-2.0006168120245346E-4</v>
      </c>
      <c r="AE4" s="112">
        <f t="shared" si="1"/>
        <v>-2.1039523488365175E-4</v>
      </c>
      <c r="AF4" s="112">
        <f t="shared" si="2"/>
        <v>-2.3031135433984083E-4</v>
      </c>
    </row>
    <row r="5" spans="1:32" ht="12.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42768</v>
      </c>
      <c r="E5" s="98">
        <f>_xll.qlInterestRateIndexMaturity($D$10,D5)</f>
        <v>42796</v>
      </c>
      <c r="F5" s="99">
        <v>-1.3925196786882433E-5</v>
      </c>
      <c r="G5" s="100">
        <f>_xll.qlDayCounterYearFraction(DayCounter,SettlementDate,D5,,,Trigger)</f>
        <v>8.611111111111111E-2</v>
      </c>
      <c r="H5" s="100">
        <f>_xll.qlDayCounterYearFraction(DayCounter,SettlementDate,E5,,,Trigger)</f>
        <v>0.16388888888888889</v>
      </c>
      <c r="I5" s="100">
        <f>H5-G5</f>
        <v>7.7777777777777779E-2</v>
      </c>
      <c r="J5" s="100">
        <f>(H5^2-G5^2)/2</f>
        <v>9.7222222222222224E-3</v>
      </c>
      <c r="K5" s="100">
        <f>(H5^3-G5^3)/3</f>
        <v>1.254486739826246E-3</v>
      </c>
      <c r="L5" s="101" t="b">
        <v>1</v>
      </c>
      <c r="N5" s="412"/>
      <c r="O5" s="72">
        <v>3.9165523548239586E-3</v>
      </c>
      <c r="P5" s="78">
        <v>1.8518518518518514E-2</v>
      </c>
      <c r="Q5" s="73">
        <v>8.8888888888888878E-2</v>
      </c>
      <c r="R5" s="62"/>
      <c r="S5" s="74">
        <v>-2.3315788315614075E-4</v>
      </c>
      <c r="T5" s="81"/>
      <c r="U5" s="75">
        <v>-1.986515029113336E-5</v>
      </c>
      <c r="W5" s="72">
        <v>21.670642097104647</v>
      </c>
      <c r="X5" s="78">
        <v>-15.442261128701807</v>
      </c>
      <c r="Y5" s="73">
        <v>3.7685439560439566</v>
      </c>
      <c r="AB5" s="114">
        <f>_xll.qlCalendarAdvance(Calendar,AB4,"1d","mf",,Trigger)</f>
        <v>42739</v>
      </c>
      <c r="AC5" s="100">
        <f>_xll.qlDayCounterYearFraction(DayCounter,SettlementDate,AB5,,,Trigger)</f>
        <v>5.5555555555555558E-3</v>
      </c>
      <c r="AD5" s="112">
        <f t="shared" si="0"/>
        <v>-2.0006168120245346E-4</v>
      </c>
      <c r="AE5" s="112">
        <f t="shared" si="1"/>
        <v>-2.0968257600908636E-4</v>
      </c>
      <c r="AF5" s="112">
        <f t="shared" si="2"/>
        <v>-2.2753716009783697E-4</v>
      </c>
    </row>
    <row r="6" spans="1:32" ht="12.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42796</v>
      </c>
      <c r="E6" s="98">
        <f>_xll.qlInterestRateIndexMaturity($D$10,D6)</f>
        <v>42828</v>
      </c>
      <c r="F6" s="99">
        <v>-1.986515029113336E-5</v>
      </c>
      <c r="G6" s="100">
        <f>_xll.qlDayCounterYearFraction(DayCounter,SettlementDate,D6,,,Trigger)</f>
        <v>0.16388888888888889</v>
      </c>
      <c r="H6" s="100">
        <f>_xll.qlDayCounterYearFraction(DayCounter,SettlementDate,E6,,,Trigger)</f>
        <v>0.25277777777777777</v>
      </c>
      <c r="I6" s="100">
        <f>H6-G6</f>
        <v>8.8888888888888878E-2</v>
      </c>
      <c r="J6" s="100">
        <f>(H6^2-G6^2)/2</f>
        <v>1.8518518518518514E-2</v>
      </c>
      <c r="K6" s="100">
        <f>(H6^3-G6^3)/3</f>
        <v>3.9165523548239586E-3</v>
      </c>
      <c r="L6" s="101" t="b">
        <v>1</v>
      </c>
      <c r="S6" s="76"/>
      <c r="T6" s="69"/>
      <c r="U6" s="70"/>
      <c r="AB6" s="114">
        <f>_xll.qlCalendarAdvance(Calendar,AB5,"1d","mf",,Trigger)</f>
        <v>42740</v>
      </c>
      <c r="AC6" s="100">
        <f>_xll.qlDayCounterYearFraction(DayCounter,SettlementDate,AB6,,,Trigger)</f>
        <v>8.3333333333333332E-3</v>
      </c>
      <c r="AD6" s="112">
        <f t="shared" si="0"/>
        <v>-2.0006168120245346E-4</v>
      </c>
      <c r="AE6" s="112">
        <f t="shared" si="1"/>
        <v>-2.0896991713452095E-4</v>
      </c>
      <c r="AF6" s="112">
        <f t="shared" si="2"/>
        <v>-2.248353004301292E-4</v>
      </c>
    </row>
    <row r="7" spans="1:32" ht="12.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42828</v>
      </c>
      <c r="E7" s="103">
        <f>_xll.qlInterestRateIndexMaturity($D$10,D7)</f>
        <v>42858</v>
      </c>
      <c r="F7" s="104">
        <v>-1.9310057242073691E-5</v>
      </c>
      <c r="G7" s="105">
        <f>_xll.qlDayCounterYearFraction(DayCounter,SettlementDate,D7,,,Trigger)</f>
        <v>0.25277777777777777</v>
      </c>
      <c r="H7" s="105">
        <f>_xll.qlDayCounterYearFraction(DayCounter,SettlementDate,E7,,,Trigger)</f>
        <v>0.33611111111111114</v>
      </c>
      <c r="I7" s="105">
        <f>H7-G7</f>
        <v>8.333333333333337E-2</v>
      </c>
      <c r="J7" s="105">
        <f>(H7^2-G7^2)/2</f>
        <v>2.4537037037037052E-2</v>
      </c>
      <c r="K7" s="105">
        <f>(H7^3-G7^3)/3</f>
        <v>7.2730195473251083E-3</v>
      </c>
      <c r="L7" s="106" t="b">
        <v>0</v>
      </c>
      <c r="S7" s="76"/>
      <c r="T7" s="69"/>
      <c r="U7" s="70"/>
      <c r="AB7" s="114">
        <f>_xll.qlCalendarAdvance(Calendar,AB6,"1d","mf",,Trigger)</f>
        <v>42741</v>
      </c>
      <c r="AC7" s="100">
        <f>_xll.qlDayCounterYearFraction(DayCounter,SettlementDate,AB7,,,Trigger)</f>
        <v>1.1111111111111112E-2</v>
      </c>
      <c r="AD7" s="112">
        <f t="shared" si="0"/>
        <v>-2.0006168120245346E-4</v>
      </c>
      <c r="AE7" s="112">
        <f t="shared" si="1"/>
        <v>-2.0825725825995554E-4</v>
      </c>
      <c r="AF7" s="112">
        <f t="shared" si="2"/>
        <v>-2.2220577533671752E-4</v>
      </c>
    </row>
    <row r="8" spans="1:32" ht="12.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42744</v>
      </c>
      <c r="AC8" s="100">
        <f>_xll.qlDayCounterYearFraction(DayCounter,SettlementDate,AB8,,,Trigger)</f>
        <v>1.9444444444444445E-2</v>
      </c>
      <c r="AD8" s="112">
        <f t="shared" si="0"/>
        <v>-2.0006168120245346E-4</v>
      </c>
      <c r="AE8" s="112">
        <f t="shared" si="1"/>
        <v>-2.0611928163625934E-4</v>
      </c>
      <c r="AF8" s="112">
        <f t="shared" si="2"/>
        <v>-2.14751207502259E-4</v>
      </c>
    </row>
    <row r="9" spans="1:32" ht="12.2" customHeight="1" x14ac:dyDescent="0.2">
      <c r="C9" s="87" t="s">
        <v>132</v>
      </c>
      <c r="D9" s="122" t="s">
        <v>35</v>
      </c>
      <c r="N9" s="411" t="s">
        <v>91</v>
      </c>
      <c r="O9" s="71"/>
      <c r="P9" s="72">
        <f t="array" ref="P9:P10">_xll.ohFilter(J3:J7,L3:L7)</f>
        <v>3.7075617283950616E-3</v>
      </c>
      <c r="Q9" s="73">
        <f t="array" ref="Q9:Q10">_xll.ohFilter(I3:I7,L3:L7)</f>
        <v>8.611111111111111E-2</v>
      </c>
      <c r="R9" s="413" t="s">
        <v>32</v>
      </c>
      <c r="S9" s="74">
        <f t="array" ref="S9:S10">MMULT(W9:X10,U9:U10)</f>
        <v>2.5655719484354422E-4</v>
      </c>
      <c r="T9" s="413" t="s">
        <v>33</v>
      </c>
      <c r="U9" s="75">
        <f t="array" ref="U9:U10">_xll.ohFilter(F3:F7,L3:L7)</f>
        <v>-1.7227533659100159E-5</v>
      </c>
      <c r="W9" s="72">
        <f t="array" ref="W9:X10">MINVERSE(P9:Q10)</f>
        <v>-141.7167851284855</v>
      </c>
      <c r="X9" s="73">
        <v>156.90072639225181</v>
      </c>
      <c r="AB9" s="114">
        <f>_xll.qlCalendarAdvance(Calendar,AB8,"1d","mf",,Trigger)</f>
        <v>42745</v>
      </c>
      <c r="AC9" s="100">
        <f>_xll.qlDayCounterYearFraction(DayCounter,SettlementDate,AB9,,,Trigger)</f>
        <v>2.2222222222222223E-2</v>
      </c>
      <c r="AD9" s="112">
        <f t="shared" si="0"/>
        <v>-2.0006168120245346E-4</v>
      </c>
      <c r="AE9" s="112">
        <f t="shared" si="1"/>
        <v>-2.0540662276169396E-4</v>
      </c>
      <c r="AF9" s="112">
        <f t="shared" si="2"/>
        <v>-2.1241102070603164E-4</v>
      </c>
    </row>
    <row r="10" spans="1:32" ht="12.2" customHeight="1" x14ac:dyDescent="0.2">
      <c r="C10" s="87" t="s">
        <v>103</v>
      </c>
      <c r="D10" s="122" t="str">
        <f>PROPER(Currency)&amp;IborType&amp;D9</f>
        <v>Euribor1M</v>
      </c>
      <c r="N10" s="411"/>
      <c r="O10" s="71"/>
      <c r="P10" s="72">
        <v>9.7222222222222224E-3</v>
      </c>
      <c r="Q10" s="73">
        <v>7.7777777777777779E-2</v>
      </c>
      <c r="R10" s="413"/>
      <c r="S10" s="74">
        <v>-2.1110789375821716E-4</v>
      </c>
      <c r="T10" s="413"/>
      <c r="U10" s="75">
        <v>-1.3925196786882433E-5</v>
      </c>
      <c r="W10" s="72">
        <v>17.714598141060687</v>
      </c>
      <c r="X10" s="73">
        <v>-6.7554479418886189</v>
      </c>
      <c r="AB10" s="114">
        <f>_xll.qlCalendarAdvance(Calendar,AB9,"1d","mf",,Trigger)</f>
        <v>42746</v>
      </c>
      <c r="AC10" s="100">
        <f>_xll.qlDayCounterYearFraction(DayCounter,SettlementDate,AB10,,,Trigger)</f>
        <v>2.5000000000000001E-2</v>
      </c>
      <c r="AD10" s="112">
        <f t="shared" si="0"/>
        <v>-2.0006168120245346E-4</v>
      </c>
      <c r="AE10" s="112">
        <f t="shared" si="1"/>
        <v>-2.0469396388712855E-4</v>
      </c>
      <c r="AF10" s="112">
        <f t="shared" si="2"/>
        <v>-2.1014316848410041E-4</v>
      </c>
    </row>
    <row r="11" spans="1:32" ht="12.2" customHeight="1" x14ac:dyDescent="0.2">
      <c r="C11" s="87" t="s">
        <v>124</v>
      </c>
      <c r="D11" s="123" t="s">
        <v>83</v>
      </c>
      <c r="S11" s="76"/>
      <c r="T11" s="69"/>
      <c r="U11" s="70"/>
      <c r="AB11" s="114">
        <f>_xll.qlCalendarAdvance(Calendar,AB10,"1d","mf",,Trigger)</f>
        <v>42747</v>
      </c>
      <c r="AC11" s="100">
        <f>_xll.qlDayCounterYearFraction(DayCounter,SettlementDate,AB11,,,Trigger)</f>
        <v>2.7777777777777776E-2</v>
      </c>
      <c r="AD11" s="112">
        <f t="shared" si="0"/>
        <v>-2.0006168120245346E-4</v>
      </c>
      <c r="AE11" s="112">
        <f t="shared" si="1"/>
        <v>-2.0398130501256316E-4</v>
      </c>
      <c r="AF11" s="112">
        <f t="shared" si="2"/>
        <v>-2.0794765083646525E-4</v>
      </c>
    </row>
    <row r="12" spans="1:32" ht="12.2" customHeight="1" x14ac:dyDescent="0.2">
      <c r="C12" s="87" t="s">
        <v>123</v>
      </c>
      <c r="D12" s="122" t="s">
        <v>129</v>
      </c>
      <c r="S12" s="77" t="s">
        <v>30</v>
      </c>
      <c r="T12" s="69"/>
      <c r="U12" s="70"/>
      <c r="AB12" s="114">
        <f>_xll.qlCalendarAdvance(Calendar,AB11,"1d","mf",,Trigger)</f>
        <v>42748</v>
      </c>
      <c r="AC12" s="100">
        <f>_xll.qlDayCounterYearFraction(DayCounter,SettlementDate,AB12,,,Trigger)</f>
        <v>3.0555555555555555E-2</v>
      </c>
      <c r="AD12" s="112">
        <f t="shared" si="0"/>
        <v>-2.0006168120245346E-4</v>
      </c>
      <c r="AE12" s="112">
        <f t="shared" si="1"/>
        <v>-2.0326864613799775E-4</v>
      </c>
      <c r="AF12" s="112">
        <f t="shared" si="2"/>
        <v>-2.0582446776312615E-4</v>
      </c>
    </row>
    <row r="13" spans="1:32" ht="12.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8.611111111111111E-2</v>
      </c>
      <c r="R13" s="82" t="s">
        <v>32</v>
      </c>
      <c r="S13" s="74">
        <f>MMULT(W13,U13)</f>
        <v>-2.0006168120245346E-4</v>
      </c>
      <c r="T13" s="82" t="s">
        <v>33</v>
      </c>
      <c r="U13" s="75">
        <f t="array" ref="U13">_xll.ohFilter(F3:F7,L3:L7)</f>
        <v>-1.7227533659100159E-5</v>
      </c>
      <c r="W13" s="83">
        <f>MINVERSE(Q13)</f>
        <v>11.612903225806452</v>
      </c>
      <c r="AB13" s="114">
        <f>_xll.qlCalendarAdvance(Calendar,AB12,"1d","mf",,Trigger)</f>
        <v>42751</v>
      </c>
      <c r="AC13" s="100">
        <f>_xll.qlDayCounterYearFraction(DayCounter,SettlementDate,AB13,,,Trigger)</f>
        <v>3.888888888888889E-2</v>
      </c>
      <c r="AD13" s="112">
        <f t="shared" si="0"/>
        <v>-2.0006168120245346E-4</v>
      </c>
      <c r="AE13" s="112">
        <f t="shared" si="1"/>
        <v>-2.0113066951430155E-4</v>
      </c>
      <c r="AF13" s="112">
        <f t="shared" si="2"/>
        <v>-1.9988892598888543E-4</v>
      </c>
    </row>
    <row r="14" spans="1:32" ht="12.2" customHeight="1" x14ac:dyDescent="0.2">
      <c r="C14" s="87" t="s">
        <v>99</v>
      </c>
      <c r="D14" s="87" t="s">
        <v>80</v>
      </c>
      <c r="E14" s="87" t="s">
        <v>81</v>
      </c>
      <c r="F14" s="87" t="s">
        <v>117</v>
      </c>
      <c r="G14" s="87" t="s">
        <v>118</v>
      </c>
      <c r="H14" s="87" t="s">
        <v>119</v>
      </c>
      <c r="I14" s="88" t="s">
        <v>120</v>
      </c>
      <c r="J14" s="90" t="s">
        <v>92</v>
      </c>
      <c r="K14" s="90" t="s">
        <v>91</v>
      </c>
      <c r="L14" s="90" t="s">
        <v>115</v>
      </c>
      <c r="AB14" s="114">
        <f>_xll.qlCalendarAdvance(Calendar,AB13,"1d","mf",,Trigger)</f>
        <v>42752</v>
      </c>
      <c r="AC14" s="100">
        <f>_xll.qlDayCounterYearFraction(DayCounter,SettlementDate,AB14,,,Trigger)</f>
        <v>4.1666666666666664E-2</v>
      </c>
      <c r="AD14" s="112">
        <f t="shared" si="0"/>
        <v>-2.0006168120245346E-4</v>
      </c>
      <c r="AE14" s="112">
        <f t="shared" si="1"/>
        <v>-2.0041801063973614E-4</v>
      </c>
      <c r="AF14" s="112">
        <f t="shared" si="2"/>
        <v>-1.980550812127307E-4</v>
      </c>
    </row>
    <row r="15" spans="1:32" ht="12.2" customHeight="1" x14ac:dyDescent="0.2">
      <c r="C15" s="107" t="s">
        <v>38</v>
      </c>
      <c r="D15" s="108">
        <f t="shared" ref="D15:D19" si="4">SettlementDate</f>
        <v>42737</v>
      </c>
      <c r="E15" s="109">
        <f>_xll.qlCalendarAdvance(Calendar,SettlementDate,C15,"Following",,Trigger)</f>
        <v>42738</v>
      </c>
      <c r="F15" s="110">
        <f>_xll.qlDayCounterYearFraction(DayCounter,D15,E15,,,Trigger)</f>
        <v>2.7777777777777779E-3</v>
      </c>
      <c r="G15" s="111">
        <f>_xll.qlYieldTSDiscount(OvernightCurve,D15,,AllTriggers)</f>
        <v>1.0000352787656608</v>
      </c>
      <c r="H15" s="111">
        <f>_xll.qlYieldTSDiscount(OvernightCurve,E15,,AllTriggers)</f>
        <v>1.0000455570117563</v>
      </c>
      <c r="I15" s="112">
        <f>(G15/H15-1)/F15</f>
        <v>-3.7000000334774796E-3</v>
      </c>
      <c r="J15" s="112">
        <f>((1+I15*F15)*EXP($S$13*F15)-1)/F15</f>
        <v>-3.9000596029081791E-3</v>
      </c>
      <c r="K15" s="112">
        <f>((1+F15*I15)*EXP($S$10*F15+0.5*$S$9*F15^2)-1)/F15</f>
        <v>-3.9107493700596407E-3</v>
      </c>
      <c r="L15" s="112">
        <f>((1+F15*I15)*EXP($S$5*F15+0.5*$S$4*F15^2+1/3*$S$3*F15^3)-1)/F15</f>
        <v>-3.9317261681182103E-3</v>
      </c>
      <c r="AB15" s="114">
        <f>_xll.qlCalendarAdvance(Calendar,AB14,"1d","mf",,Trigger)</f>
        <v>42753</v>
      </c>
      <c r="AC15" s="100">
        <f>_xll.qlDayCounterYearFraction(DayCounter,SettlementDate,AB15,,,Trigger)</f>
        <v>4.4444444444444446E-2</v>
      </c>
      <c r="AD15" s="112">
        <f t="shared" si="0"/>
        <v>-2.0006168120245346E-4</v>
      </c>
      <c r="AE15" s="112">
        <f t="shared" si="1"/>
        <v>-1.9970535176517076E-4</v>
      </c>
      <c r="AF15" s="112">
        <f t="shared" si="2"/>
        <v>-1.9629357101087208E-4</v>
      </c>
    </row>
    <row r="16" spans="1:32" ht="12.2" customHeight="1" x14ac:dyDescent="0.2">
      <c r="C16" s="113" t="s">
        <v>39</v>
      </c>
      <c r="D16" s="98">
        <f>SettlementDate</f>
        <v>42737</v>
      </c>
      <c r="E16" s="114">
        <f>_xll.qlCalendarAdvance(Calendar,SettlementDate,C16,"Following",,Trigger)</f>
        <v>42744</v>
      </c>
      <c r="F16" s="100">
        <f>_xll.qlDayCounterYearFraction(DayCounter,D16,E16,,,Trigger)</f>
        <v>1.9444444444444445E-2</v>
      </c>
      <c r="G16" s="115">
        <f>_xll.qlYieldTSDiscount(OvernightCurve,D16,,AllTriggers)</f>
        <v>1.0000352787656608</v>
      </c>
      <c r="H16" s="116">
        <f>_xll.qlYieldTSDiscount(OvernightCurve,E16,,AllTriggers)</f>
        <v>1.0001031468769588</v>
      </c>
      <c r="I16" s="112">
        <f t="shared" ref="I16:I19" si="5">(G16/H16-1)/F16</f>
        <v>-3.4900000270075638E-3</v>
      </c>
      <c r="J16" s="112">
        <f t="shared" ref="J16:J19" si="6">((1+I16*F16)*EXP($S$13*F16)-1)/F16</f>
        <v>-3.690047742703127E-3</v>
      </c>
      <c r="K16" s="112">
        <f t="shared" ref="K16:K19" si="7">((1+F16*I16)*EXP($S$10*F16+0.5*$S$9*F16^2)-1)/F16</f>
        <v>-3.6985990348746356E-3</v>
      </c>
      <c r="L16" s="112">
        <f t="shared" ref="L16:L19" si="8">((1+F16*I16)*EXP($S$5*F16+0.5*$S$4*F16^2+1/3*$S$3*F16^3)-1)/F16</f>
        <v>-3.7136435420917885E-3</v>
      </c>
      <c r="AB16" s="114">
        <f>_xll.qlCalendarAdvance(Calendar,AB15,"1d","mf",,Trigger)</f>
        <v>42754</v>
      </c>
      <c r="AC16" s="100">
        <f>_xll.qlDayCounterYearFraction(DayCounter,SettlementDate,AB16,,,Trigger)</f>
        <v>4.7222222222222221E-2</v>
      </c>
      <c r="AD16" s="112">
        <f t="shared" si="0"/>
        <v>-2.0006168120245346E-4</v>
      </c>
      <c r="AE16" s="112">
        <f t="shared" si="1"/>
        <v>-1.9899269289060535E-4</v>
      </c>
      <c r="AF16" s="112">
        <f t="shared" si="2"/>
        <v>-1.9460439538330948E-4</v>
      </c>
    </row>
    <row r="17" spans="3:32" ht="12.2" customHeight="1" x14ac:dyDescent="0.2">
      <c r="C17" s="113" t="s">
        <v>40</v>
      </c>
      <c r="D17" s="98">
        <f t="shared" si="4"/>
        <v>42737</v>
      </c>
      <c r="E17" s="114">
        <f>_xll.qlCalendarAdvance(Calendar,SettlementDate,C17,"Following",,Trigger)</f>
        <v>42751</v>
      </c>
      <c r="F17" s="100">
        <f>_xll.qlDayCounterYearFraction(DayCounter,D17,E17,,,Trigger)</f>
        <v>3.888888888888889E-2</v>
      </c>
      <c r="G17" s="115">
        <f>_xll.qlYieldTSDiscount(OvernightCurve,D17,,AllTriggers)</f>
        <v>1.0000352787656608</v>
      </c>
      <c r="H17" s="116">
        <f>_xll.qlYieldTSDiscount(OvernightCurve,E17,,AllTriggers)</f>
        <v>1.0001710242001607</v>
      </c>
      <c r="I17" s="112">
        <f t="shared" si="5"/>
        <v>-3.4900000126790254E-3</v>
      </c>
      <c r="J17" s="112">
        <f t="shared" si="6"/>
        <v>-3.690033762914372E-3</v>
      </c>
      <c r="K17" s="112">
        <f t="shared" si="7"/>
        <v>-3.6960904933629785E-3</v>
      </c>
      <c r="L17" s="112">
        <f t="shared" si="8"/>
        <v>-3.7053118242961042E-3</v>
      </c>
      <c r="AB17" s="114">
        <f>_xll.qlCalendarAdvance(Calendar,AB16,"1d","mf",,Trigger)</f>
        <v>42755</v>
      </c>
      <c r="AC17" s="100">
        <f>_xll.qlDayCounterYearFraction(DayCounter,SettlementDate,AB17,,,Trigger)</f>
        <v>0.05</v>
      </c>
      <c r="AD17" s="112">
        <f t="shared" si="0"/>
        <v>-2.0006168120245346E-4</v>
      </c>
      <c r="AE17" s="112">
        <f t="shared" si="1"/>
        <v>-1.9828003401603994E-4</v>
      </c>
      <c r="AF17" s="112">
        <f t="shared" si="2"/>
        <v>-1.9298755433004301E-4</v>
      </c>
    </row>
    <row r="18" spans="3:32" ht="12.2" customHeight="1" x14ac:dyDescent="0.2">
      <c r="C18" s="113" t="s">
        <v>41</v>
      </c>
      <c r="D18" s="98">
        <f t="shared" si="4"/>
        <v>42737</v>
      </c>
      <c r="E18" s="114">
        <f>_xll.qlCalendarAdvance(Calendar,SettlementDate,C18,"Following",,Trigger)</f>
        <v>42758</v>
      </c>
      <c r="F18" s="100">
        <f>_xll.qlDayCounterYearFraction(DayCounter,D18,E18,,,Trigger)</f>
        <v>5.8333333333333334E-2</v>
      </c>
      <c r="G18" s="115">
        <f>_xll.qlYieldTSDiscount(OvernightCurve,D18,,AllTriggers)</f>
        <v>1.0000352787656608</v>
      </c>
      <c r="H18" s="116">
        <f>_xll.qlYieldTSDiscount(OvernightCurve,E18,,AllTriggers)</f>
        <v>1.0002389107372385</v>
      </c>
      <c r="I18" s="112">
        <f t="shared" si="5"/>
        <v>-3.4900000000024989E-3</v>
      </c>
      <c r="J18" s="112">
        <f t="shared" si="6"/>
        <v>-3.690019784836629E-3</v>
      </c>
      <c r="K18" s="112">
        <f t="shared" si="7"/>
        <v>-3.6935823118357447E-3</v>
      </c>
      <c r="L18" s="112">
        <f t="shared" si="8"/>
        <v>-3.6981625138705304E-3</v>
      </c>
      <c r="AB18" s="114">
        <f>_xll.qlCalendarAdvance(Calendar,AB17,"1d","mf",,Trigger)</f>
        <v>42758</v>
      </c>
      <c r="AC18" s="100">
        <f>_xll.qlDayCounterYearFraction(DayCounter,SettlementDate,AB18,,,Trigger)</f>
        <v>5.8333333333333334E-2</v>
      </c>
      <c r="AD18" s="112">
        <f t="shared" si="0"/>
        <v>-2.0006168120245346E-4</v>
      </c>
      <c r="AE18" s="112">
        <f t="shared" si="1"/>
        <v>-1.9614205739234373E-4</v>
      </c>
      <c r="AF18" s="112">
        <f t="shared" si="2"/>
        <v>-1.8857103861602011E-4</v>
      </c>
    </row>
    <row r="19" spans="3:32" ht="12.2" customHeight="1" x14ac:dyDescent="0.2">
      <c r="C19" s="117" t="s">
        <v>35</v>
      </c>
      <c r="D19" s="103">
        <f t="shared" si="4"/>
        <v>42737</v>
      </c>
      <c r="E19" s="118">
        <f>_xll.qlCalendarAdvance(Calendar,SettlementDate,C19,"mf",TRUE,Trigger)</f>
        <v>42768</v>
      </c>
      <c r="F19" s="105">
        <f>_xll.qlDayCounterYearFraction(DayCounter,D19,E19,,,Trigger)</f>
        <v>8.611111111111111E-2</v>
      </c>
      <c r="G19" s="119">
        <f>_xll.qlYieldTSDiscount(OvernightCurve,D19,,AllTriggers)</f>
        <v>1.0000352787656608</v>
      </c>
      <c r="H19" s="120">
        <f>_xll.qlYieldTSDiscount(OvernightCurve,E19,,AllTriggers)</f>
        <v>1.0003350458344147</v>
      </c>
      <c r="I19" s="121">
        <f t="shared" si="5"/>
        <v>-3.4800000002182547E-3</v>
      </c>
      <c r="J19" s="121">
        <f t="shared" si="6"/>
        <v>-3.6800000068452328E-3</v>
      </c>
      <c r="K19" s="121">
        <f t="shared" si="7"/>
        <v>-3.6800000068452328E-3</v>
      </c>
      <c r="L19" s="121">
        <f t="shared" si="8"/>
        <v>-3.6800000068452328E-3</v>
      </c>
      <c r="AB19" s="114">
        <f>_xll.qlCalendarAdvance(Calendar,AB18,"1d","mf",,Trigger)</f>
        <v>42759</v>
      </c>
      <c r="AC19" s="100">
        <f>_xll.qlDayCounterYearFraction(DayCounter,SettlementDate,AB19,,,Trigger)</f>
        <v>6.1111111111111109E-2</v>
      </c>
      <c r="AD19" s="112">
        <f t="shared" si="0"/>
        <v>-2.0006168120245346E-4</v>
      </c>
      <c r="AE19" s="112">
        <f t="shared" si="1"/>
        <v>-1.9542939851777835E-4</v>
      </c>
      <c r="AF19" s="112">
        <f t="shared" si="2"/>
        <v>-1.8724353585993799E-4</v>
      </c>
    </row>
    <row r="20" spans="3:32" ht="12.2" customHeight="1" x14ac:dyDescent="0.2">
      <c r="AB20" s="114">
        <f>_xll.qlCalendarAdvance(Calendar,AB19,"1d","mf",,Trigger)</f>
        <v>42760</v>
      </c>
      <c r="AC20" s="100">
        <f>_xll.qlDayCounterYearFraction(DayCounter,SettlementDate,AB20,,,Trigger)</f>
        <v>6.3888888888888884E-2</v>
      </c>
      <c r="AD20" s="112">
        <f t="shared" si="0"/>
        <v>-2.0006168120245346E-4</v>
      </c>
      <c r="AE20" s="112">
        <f t="shared" si="1"/>
        <v>-1.9471673964321294E-4</v>
      </c>
      <c r="AF20" s="112">
        <f t="shared" si="2"/>
        <v>-1.8598836767815192E-4</v>
      </c>
    </row>
    <row r="21" spans="3:32" ht="12.2" customHeight="1" x14ac:dyDescent="0.2">
      <c r="C21" s="87" t="s">
        <v>105</v>
      </c>
      <c r="AB21" s="114">
        <f>_xll.qlCalendarAdvance(Calendar,AB20,"1d","mf",,Trigger)</f>
        <v>42761</v>
      </c>
      <c r="AC21" s="100">
        <f>_xll.qlDayCounterYearFraction(DayCounter,SettlementDate,AB21,,,Trigger)</f>
        <v>6.6666666666666666E-2</v>
      </c>
      <c r="AD21" s="112">
        <f t="shared" si="0"/>
        <v>-2.0006168120245346E-4</v>
      </c>
      <c r="AE21" s="112">
        <f t="shared" si="1"/>
        <v>-1.9400408076864753E-4</v>
      </c>
      <c r="AF21" s="112">
        <f t="shared" si="2"/>
        <v>-1.8480553407066195E-4</v>
      </c>
    </row>
    <row r="22" spans="3:32" ht="12.2" customHeight="1" x14ac:dyDescent="0.2">
      <c r="C22" s="124" t="s">
        <v>90</v>
      </c>
      <c r="AB22" s="114">
        <f>_xll.qlCalendarAdvance(Calendar,AB21,"1d","mf",,Trigger)</f>
        <v>42762</v>
      </c>
      <c r="AC22" s="100">
        <f>_xll.qlDayCounterYearFraction(DayCounter,SettlementDate,AB22,,,Trigger)</f>
        <v>6.9444444444444448E-2</v>
      </c>
      <c r="AD22" s="112">
        <f t="shared" si="0"/>
        <v>-2.0006168120245346E-4</v>
      </c>
      <c r="AE22" s="112">
        <f t="shared" si="1"/>
        <v>-1.9329142189408215E-4</v>
      </c>
      <c r="AF22" s="112">
        <f t="shared" si="2"/>
        <v>-1.8369503503746809E-4</v>
      </c>
    </row>
    <row r="23" spans="3:32" ht="12.2" customHeight="1" x14ac:dyDescent="0.2">
      <c r="C23" s="112">
        <f>IF($C$22="FLAT",J15,IF($C$22="linear",K15,L15))</f>
        <v>-3.9317261681182103E-3</v>
      </c>
      <c r="AB23" s="114">
        <f>_xll.qlCalendarAdvance(Calendar,AB22,"1d","mf",,Trigger)</f>
        <v>42765</v>
      </c>
      <c r="AC23" s="100">
        <f>_xll.qlDayCounterYearFraction(DayCounter,SettlementDate,AB23,,,Trigger)</f>
        <v>7.7777777777777779E-2</v>
      </c>
      <c r="AD23" s="112">
        <f t="shared" si="0"/>
        <v>-2.0006168120245346E-4</v>
      </c>
      <c r="AE23" s="112">
        <f t="shared" si="1"/>
        <v>-1.9115344527038594E-4</v>
      </c>
      <c r="AF23" s="112">
        <f t="shared" si="2"/>
        <v>-1.8079754538366299E-4</v>
      </c>
    </row>
    <row r="24" spans="3:32" ht="12.2" customHeight="1" x14ac:dyDescent="0.2">
      <c r="C24" s="112">
        <f>IF($C$22="FLAT",J16,IF($C$22="linear",K16,L16))</f>
        <v>-3.7136435420917885E-3</v>
      </c>
      <c r="AB24" s="114">
        <f>_xll.qlCalendarAdvance(Calendar,AB23,"1d","mf",,Trigger)</f>
        <v>42766</v>
      </c>
      <c r="AC24" s="100">
        <f>_xll.qlDayCounterYearFraction(DayCounter,SettlementDate,AB24,,,Trigger)</f>
        <v>8.0555555555555561E-2</v>
      </c>
      <c r="AD24" s="112">
        <f t="shared" si="0"/>
        <v>-2.0006168120245346E-4</v>
      </c>
      <c r="AE24" s="112">
        <f t="shared" ref="AE24:AE26" si="9">$S$10+$S$9*AC24</f>
        <v>-1.9044078639582053E-4</v>
      </c>
      <c r="AF24" s="112">
        <f t="shared" ref="AF24:AF26" si="10">($S$5+$S$4*AC24+$S$3*AC24^2)</f>
        <v>-1.7997638464765345E-4</v>
      </c>
    </row>
    <row r="25" spans="3:32" ht="12.2" customHeight="1" x14ac:dyDescent="0.2">
      <c r="C25" s="112">
        <f>IF($C$22="FLAT",J17,IF($C$22="linear",K17,L17))</f>
        <v>-3.7053118242961042E-3</v>
      </c>
      <c r="AB25" s="114">
        <f>_xll.qlCalendarAdvance(Calendar,AB24,"1d","mf",,Trigger)</f>
        <v>42767</v>
      </c>
      <c r="AC25" s="100">
        <f>_xll.qlDayCounterYearFraction(DayCounter,SettlementDate,AB25,,,Trigger)</f>
        <v>8.3333333333333329E-2</v>
      </c>
      <c r="AD25" s="112">
        <f t="shared" si="0"/>
        <v>-2.0006168120245346E-4</v>
      </c>
      <c r="AE25" s="112">
        <f t="shared" si="9"/>
        <v>-1.8972812752125515E-4</v>
      </c>
      <c r="AF25" s="112">
        <f t="shared" si="10"/>
        <v>-1.7922755848594001E-4</v>
      </c>
    </row>
    <row r="26" spans="3:32" ht="12.2" customHeight="1" x14ac:dyDescent="0.2">
      <c r="C26" s="112">
        <f>IF($C$22="FLAT",J18,IF($C$22="linear",K18,L18))</f>
        <v>-3.6981625138705304E-3</v>
      </c>
      <c r="AB26" s="118">
        <f>_xll.qlCalendarAdvance(Calendar,AB25,"1d","mf",,Trigger)</f>
        <v>42768</v>
      </c>
      <c r="AC26" s="105">
        <f>_xll.qlDayCounterYearFraction(DayCounter,SettlementDate,AB26,,,Trigger)</f>
        <v>8.611111111111111E-2</v>
      </c>
      <c r="AD26" s="121">
        <f t="shared" si="0"/>
        <v>-2.0006168120245346E-4</v>
      </c>
      <c r="AE26" s="121">
        <f t="shared" si="9"/>
        <v>-1.8901546864668974E-4</v>
      </c>
      <c r="AF26" s="121">
        <f t="shared" si="10"/>
        <v>-1.7855106689852266E-4</v>
      </c>
    </row>
    <row r="27" spans="3:32" ht="12.2" customHeight="1" x14ac:dyDescent="0.2">
      <c r="C27" s="121">
        <f>IF($C$22="FLAT",J19,IF($C$22="linear",K19,L19))</f>
        <v>-3.6800000068452328E-3</v>
      </c>
    </row>
    <row r="28" spans="3:32" ht="12.2" customHeight="1" x14ac:dyDescent="0.2"/>
    <row r="29" spans="3:32" ht="12.2" customHeight="1" x14ac:dyDescent="0.2"/>
    <row r="30" spans="3:32" ht="12.2" customHeight="1" x14ac:dyDescent="0.2"/>
    <row r="31" spans="3:32" ht="12.2" customHeight="1" x14ac:dyDescent="0.2"/>
    <row r="32" spans="3:32" ht="12.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118</v>
      </c>
      <c r="G2" s="87" t="s">
        <v>119</v>
      </c>
      <c r="H2" s="87" t="s">
        <v>117</v>
      </c>
      <c r="I2" s="87" t="s">
        <v>120</v>
      </c>
      <c r="J2" s="87" t="s">
        <v>121</v>
      </c>
      <c r="K2" s="87" t="s">
        <v>125</v>
      </c>
      <c r="L2" s="87" t="s">
        <v>126</v>
      </c>
      <c r="M2" s="87" t="s">
        <v>96</v>
      </c>
      <c r="N2" s="88" t="s">
        <v>97</v>
      </c>
      <c r="O2" s="87" t="s">
        <v>98</v>
      </c>
      <c r="P2" s="87" t="s">
        <v>104</v>
      </c>
      <c r="W2" s="77" t="s">
        <v>94</v>
      </c>
      <c r="AA2" s="411" t="s">
        <v>93</v>
      </c>
      <c r="AB2" s="411"/>
      <c r="AC2" s="411"/>
      <c r="AF2" s="87" t="s">
        <v>80</v>
      </c>
      <c r="AG2" s="87" t="s">
        <v>117</v>
      </c>
      <c r="AH2" s="87" t="s">
        <v>34</v>
      </c>
      <c r="AI2" s="87" t="s">
        <v>87</v>
      </c>
      <c r="AJ2" s="87" t="s">
        <v>88</v>
      </c>
    </row>
    <row r="3" spans="1:36" ht="12.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42737</v>
      </c>
      <c r="E3" s="93">
        <f>_xll.qlInterestRateIndexMaturity($D$10,D3)</f>
        <v>42828</v>
      </c>
      <c r="F3" s="127">
        <f>_xll.qlYieldTSDiscount(OvernightCurve,D3,,AllTriggers)</f>
        <v>1.0000352787656608</v>
      </c>
      <c r="G3" s="127">
        <f>_xll.qlYieldTSDiscount(OvernightCurve,E3,,AllTriggers)</f>
        <v>1.0009153176886199</v>
      </c>
      <c r="H3" s="128">
        <f>_xll.qlDayCounterYearFraction(DayCounter,D3,E3,,,Trigger)</f>
        <v>0.25277777777777777</v>
      </c>
      <c r="I3" s="129">
        <f>(F3/G3-1)/H3</f>
        <v>-3.4782889228784737E-3</v>
      </c>
      <c r="J3" s="94">
        <f>'Delta 3M'!P3</f>
        <v>7.2934502340939696E-5</v>
      </c>
      <c r="K3" s="95">
        <f>_xll.qlDayCounterYearFraction(DayCounter,SettlementDate,D3,,,Trigger)</f>
        <v>0</v>
      </c>
      <c r="L3" s="95">
        <f>_xll.qlDayCounterYearFraction(DayCounter,SettlementDate,E3,,,Trigger)</f>
        <v>0.25277777777777777</v>
      </c>
      <c r="M3" s="95">
        <f>L3-K3</f>
        <v>0.25277777777777777</v>
      </c>
      <c r="N3" s="95">
        <f>(L3^2-K3^2)/2</f>
        <v>3.1948302469135798E-2</v>
      </c>
      <c r="O3" s="95">
        <f>(L3^3-K3^3)/3</f>
        <v>5.3838806012802909E-3</v>
      </c>
      <c r="P3" s="96" t="b">
        <f>IF(D12="fixing",TRUE,FALSE)</f>
        <v>0</v>
      </c>
      <c r="R3" s="412" t="s">
        <v>90</v>
      </c>
      <c r="S3" s="72">
        <f t="array" ref="S3:S5">_xll.ohFilter(O3:O7,P3:P7)</f>
        <v>5.3838806012802909E-3</v>
      </c>
      <c r="T3" s="78">
        <f t="array" ref="T3:T5">_xll.ohFilter(N3:N7,P3:P7)</f>
        <v>3.1948302469135798E-2</v>
      </c>
      <c r="U3" s="73">
        <f t="array" ref="U3:U5">_xll.ohFilter(M3:M7,P3:P7)</f>
        <v>0.25277777777777777</v>
      </c>
      <c r="V3" s="79"/>
      <c r="W3" s="74">
        <f t="array" ref="W3:W5">MMULT(AA3:AC5,Y3:Y5)</f>
        <v>-8.6827783845928874E-4</v>
      </c>
      <c r="X3" s="80"/>
      <c r="Y3" s="75">
        <f t="array" ref="Y3:Y5">_xll.ohFilter(J3:J7,P3:P7)</f>
        <v>7.3703850208764796E-5</v>
      </c>
      <c r="AA3" s="72">
        <f t="array" ref="AA3:AC5">MINVERSE(S3:U5)</f>
        <v>761.61877627567367</v>
      </c>
      <c r="AB3" s="78">
        <v>-1204.1269784107922</v>
      </c>
      <c r="AC3" s="73">
        <v>438.92269006612361</v>
      </c>
      <c r="AF3" s="109">
        <f>SettlementDate</f>
        <v>42737</v>
      </c>
      <c r="AG3" s="100">
        <f>_xll.qlDayCounterYearFraction(DayCounter,SettlementDate,AF3,,,Trigger)</f>
        <v>0</v>
      </c>
      <c r="AH3" s="125">
        <f t="shared" ref="AH3:AH65" si="0">$W$13</f>
        <v>2.9157567115555304E-4</v>
      </c>
      <c r="AI3" s="125">
        <f t="shared" ref="AI3:AI65" si="1">$W$10+$W$9*AG3</f>
        <v>2.3955270353435705E-4</v>
      </c>
      <c r="AJ3" s="125">
        <f t="shared" ref="AJ3:AJ34" si="2">($W$5+$W$4*AG3+$W$3*AG3^2)</f>
        <v>2.2587773099989406E-4</v>
      </c>
    </row>
    <row r="4" spans="1:36" ht="12.2" customHeight="1" x14ac:dyDescent="0.2">
      <c r="A4" s="272" t="str">
        <f>IF(_xll.qlIMMIsIMMdate(D4,FALSE),_xll.qlIMMcode(D4),"0")</f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42737</v>
      </c>
      <c r="E4" s="98">
        <f>_xll.qlInterestRateIndexMaturity($D$10,D4)</f>
        <v>42828</v>
      </c>
      <c r="F4" s="130">
        <f>_xll.qlYieldTSDiscount(OvernightCurve,D4,,AllTriggers)</f>
        <v>1.0000352787656608</v>
      </c>
      <c r="G4" s="130">
        <f>_xll.qlYieldTSDiscount(OvernightCurve,E4,,AllTriggers)</f>
        <v>1.0009153176886199</v>
      </c>
      <c r="H4" s="131">
        <f>_xll.qlDayCounterYearFraction(DayCounter,D4,E4,,,Trigger)</f>
        <v>0.25277777777777777</v>
      </c>
      <c r="I4" s="132">
        <f t="shared" ref="I4:I7" si="3">(F4/G4-1)/H4</f>
        <v>-3.4782889228784737E-3</v>
      </c>
      <c r="J4" s="99">
        <f>LN((1+(_xll.qlInterpolationInterpolate(B3Minterpolation,D4,TRUE,AllTriggers)+I4)*H4)/(1+I4*H4))</f>
        <v>7.3703850208764796E-5</v>
      </c>
      <c r="K4" s="100">
        <f>_xll.qlDayCounterYearFraction(DayCounter,SettlementDate,D4,,,Trigger)</f>
        <v>0</v>
      </c>
      <c r="L4" s="100">
        <f>_xll.qlDayCounterYearFraction(DayCounter,SettlementDate,E4,,,Trigger)</f>
        <v>0.25277777777777777</v>
      </c>
      <c r="M4" s="100">
        <f>L4-K4</f>
        <v>0.25277777777777777</v>
      </c>
      <c r="N4" s="100">
        <f>(L4^2-K4^2)/2</f>
        <v>3.1948302469135798E-2</v>
      </c>
      <c r="O4" s="100">
        <f>(L4^3-K4^3)/3</f>
        <v>5.3838806012802909E-3</v>
      </c>
      <c r="P4" s="101" t="b">
        <f>IF(D12="fixing",FALSE,TRUE)</f>
        <v>1</v>
      </c>
      <c r="R4" s="412"/>
      <c r="S4" s="72">
        <v>8.4799382716049393E-3</v>
      </c>
      <c r="T4" s="78">
        <v>4.2361111111111113E-2</v>
      </c>
      <c r="U4" s="73">
        <v>0.25</v>
      </c>
      <c r="V4" s="81" t="s">
        <v>32</v>
      </c>
      <c r="W4" s="74">
        <v>6.6612877315428733E-4</v>
      </c>
      <c r="X4" s="81" t="s">
        <v>33</v>
      </c>
      <c r="Y4" s="75">
        <v>7.7324445251132995E-5</v>
      </c>
      <c r="AA4" s="72">
        <v>-315.13579601521042</v>
      </c>
      <c r="AB4" s="78">
        <v>445.86924032627002</v>
      </c>
      <c r="AC4" s="73">
        <v>-128.66150777505791</v>
      </c>
      <c r="AF4" s="114">
        <f>_xll.qlCalendarAdvance(Calendar,AF3,"1d","mf",,Trigger)</f>
        <v>42738</v>
      </c>
      <c r="AG4" s="100">
        <f>_xll.qlDayCounterYearFraction(DayCounter,SettlementDate,AF4,,,Trigger)</f>
        <v>2.7777777777777779E-3</v>
      </c>
      <c r="AH4" s="112">
        <f t="shared" si="0"/>
        <v>2.9157567115555304E-4</v>
      </c>
      <c r="AI4" s="112">
        <f t="shared" si="1"/>
        <v>2.4069606546009762E-4</v>
      </c>
      <c r="AJ4" s="112">
        <f t="shared" si="2"/>
        <v>2.2772138902842092E-4</v>
      </c>
    </row>
    <row r="5" spans="1:36" ht="12.2" customHeight="1" x14ac:dyDescent="0.2">
      <c r="A5" s="62">
        <f>MONTH(D5)</f>
        <v>1</v>
      </c>
      <c r="B5" s="61">
        <f>MONTH(E5)</f>
        <v>4</v>
      </c>
      <c r="C5" s="97" t="str">
        <f>"Delta("&amp;A5&amp;"M,"&amp;B5&amp;"M)"</f>
        <v>Delta(1M,4M)</v>
      </c>
      <c r="D5" s="98">
        <f>_xll.qlIMMNextDate(D4,FALSE)</f>
        <v>42753</v>
      </c>
      <c r="E5" s="98">
        <f>_xll.qlInterestRateIndexMaturity($D$10,D5)</f>
        <v>42843</v>
      </c>
      <c r="F5" s="130">
        <f>_xll.qlYieldTSDiscount(OvernightCurve,D5,,AllTriggers)</f>
        <v>1.0001904198834466</v>
      </c>
      <c r="G5" s="130">
        <f>_xll.qlYieldTSDiscount(OvernightCurve,E5,,AllTriggers)</f>
        <v>1.0010609126270009</v>
      </c>
      <c r="H5" s="131">
        <f>_xll.qlDayCounterYearFraction(DayCounter,D5,E5,,,Trigger)</f>
        <v>0.25</v>
      </c>
      <c r="I5" s="132">
        <f t="shared" si="3"/>
        <v>-3.4782808221729411E-3</v>
      </c>
      <c r="J5" s="99">
        <f>LN((1+(_xll.qlInterpolationInterpolate(B3Minterpolation,D5,TRUE,AllTriggers)+I5)*H5)/(1+I5*H5))</f>
        <v>7.7324445251132995E-5</v>
      </c>
      <c r="K5" s="100">
        <f>_xll.qlDayCounterYearFraction(DayCounter,SettlementDate,D5,,,Trigger)</f>
        <v>4.4444444444444446E-2</v>
      </c>
      <c r="L5" s="100">
        <f>_xll.qlDayCounterYearFraction(DayCounter,SettlementDate,E5,,,Trigger)</f>
        <v>0.29444444444444445</v>
      </c>
      <c r="M5" s="100">
        <f>L5-K5</f>
        <v>0.25</v>
      </c>
      <c r="N5" s="100">
        <f>(L5^2-K5^2)/2</f>
        <v>4.2361111111111113E-2</v>
      </c>
      <c r="O5" s="100">
        <f>(L5^3-K5^3)/3</f>
        <v>8.4799382716049393E-3</v>
      </c>
      <c r="P5" s="101" t="b">
        <v>1</v>
      </c>
      <c r="R5" s="412"/>
      <c r="S5" s="72">
        <v>1.6199795667581163E-2</v>
      </c>
      <c r="T5" s="78">
        <v>6.0775462962962976E-2</v>
      </c>
      <c r="U5" s="73">
        <v>0.24722222222222223</v>
      </c>
      <c r="V5" s="62"/>
      <c r="W5" s="74">
        <v>2.2587773099989406E-4</v>
      </c>
      <c r="X5" s="81"/>
      <c r="Y5" s="75">
        <v>8.2260355623979851E-5</v>
      </c>
      <c r="AA5" s="72">
        <v>27.564089043103074</v>
      </c>
      <c r="AB5" s="78">
        <v>-30.706375929560537</v>
      </c>
      <c r="AC5" s="73">
        <v>6.9128284352591978</v>
      </c>
      <c r="AF5" s="114">
        <f>_xll.qlCalendarAdvance(Calendar,AF4,"1d","mf",,Trigger)</f>
        <v>42739</v>
      </c>
      <c r="AG5" s="100">
        <f>_xll.qlDayCounterYearFraction(DayCounter,SettlementDate,AF5,,,Trigger)</f>
        <v>5.5555555555555558E-3</v>
      </c>
      <c r="AH5" s="112">
        <f t="shared" si="0"/>
        <v>2.9157567115555304E-4</v>
      </c>
      <c r="AI5" s="112">
        <f t="shared" si="1"/>
        <v>2.4183942738583819E-4</v>
      </c>
      <c r="AJ5" s="112">
        <f t="shared" si="2"/>
        <v>2.2955164770758888E-4</v>
      </c>
    </row>
    <row r="6" spans="1:36" ht="12.2" customHeight="1" x14ac:dyDescent="0.2">
      <c r="A6" s="62">
        <f t="shared" ref="A6:A7" si="4">MONTH(D6)</f>
        <v>2</v>
      </c>
      <c r="B6" s="61">
        <f t="shared" ref="B6:B7" si="5">MONTH(E6)</f>
        <v>5</v>
      </c>
      <c r="C6" s="97" t="str">
        <f t="shared" ref="C6:C7" si="6">"Delta("&amp;A6&amp;"M,"&amp;B6&amp;"M)"</f>
        <v>Delta(2M,5M)</v>
      </c>
      <c r="D6" s="98">
        <f>_xll.qlIMMNextDate(D5,FALSE)</f>
        <v>42781</v>
      </c>
      <c r="E6" s="98">
        <f>_xll.qlInterestRateIndexMaturity($D$10,D6)</f>
        <v>42870</v>
      </c>
      <c r="F6" s="130">
        <f>_xll.qlYieldTSDiscount(OvernightCurve,D6,,AllTriggers)</f>
        <v>1.0004608172189202</v>
      </c>
      <c r="G6" s="130">
        <f>_xll.qlYieldTSDiscount(OvernightCurve,E6,,AllTriggers)</f>
        <v>1.0013223651135759</v>
      </c>
      <c r="H6" s="131">
        <f>_xll.qlDayCounterYearFraction(DayCounter,D6,E6,,,Trigger)</f>
        <v>0.24722222222222223</v>
      </c>
      <c r="I6" s="132">
        <f t="shared" si="3"/>
        <v>-3.4803105910051245E-3</v>
      </c>
      <c r="J6" s="99">
        <f>LN((1+(_xll.qlInterpolationInterpolate(B3Minterpolation,D6,TRUE,AllTriggers)+I6)*H6)/(1+I6*H6))</f>
        <v>8.2260355623979851E-5</v>
      </c>
      <c r="K6" s="100">
        <f>_xll.qlDayCounterYearFraction(DayCounter,SettlementDate,D6,,,Trigger)</f>
        <v>0.12222222222222222</v>
      </c>
      <c r="L6" s="100">
        <f>_xll.qlDayCounterYearFraction(DayCounter,SettlementDate,E6,,,Trigger)</f>
        <v>0.36944444444444446</v>
      </c>
      <c r="M6" s="100">
        <f>L6-K6</f>
        <v>0.24722222222222223</v>
      </c>
      <c r="N6" s="100">
        <f>(L6^2-K6^2)/2</f>
        <v>6.0775462962962976E-2</v>
      </c>
      <c r="O6" s="100">
        <f>(L6^3-K6^3)/3</f>
        <v>1.6199795667581163E-2</v>
      </c>
      <c r="P6" s="101" t="b">
        <v>1</v>
      </c>
      <c r="W6" s="76"/>
      <c r="X6" s="69"/>
      <c r="Y6" s="70"/>
      <c r="AF6" s="114">
        <f>_xll.qlCalendarAdvance(Calendar,AF5,"1d","mf",,Trigger)</f>
        <v>42740</v>
      </c>
      <c r="AG6" s="100">
        <f>_xll.qlDayCounterYearFraction(DayCounter,SettlementDate,AF6,,,Trigger)</f>
        <v>8.3333333333333332E-3</v>
      </c>
      <c r="AH6" s="112">
        <f t="shared" si="0"/>
        <v>2.9157567115555304E-4</v>
      </c>
      <c r="AI6" s="112">
        <f t="shared" si="1"/>
        <v>2.4298278931157876E-4</v>
      </c>
      <c r="AJ6" s="112">
        <f t="shared" si="2"/>
        <v>2.3136850703739791E-4</v>
      </c>
    </row>
    <row r="7" spans="1:36" ht="12.2" customHeight="1" x14ac:dyDescent="0.2">
      <c r="A7" s="62">
        <f t="shared" si="4"/>
        <v>3</v>
      </c>
      <c r="B7" s="61">
        <f t="shared" si="5"/>
        <v>6</v>
      </c>
      <c r="C7" s="102" t="str">
        <f t="shared" si="6"/>
        <v>Delta(3M,6M)</v>
      </c>
      <c r="D7" s="103">
        <f>_xll.qlIMMNextDate(D6,FALSE)</f>
        <v>42809</v>
      </c>
      <c r="E7" s="103">
        <f>_xll.qlInterestRateIndexMaturity($D$10,D7)</f>
        <v>42901</v>
      </c>
      <c r="F7" s="133">
        <f>_xll.qlYieldTSDiscount(OvernightCurve,D7,,AllTriggers)</f>
        <v>1.0007309278314371</v>
      </c>
      <c r="G7" s="133">
        <f>_xll.qlYieldTSDiscount(OvernightCurve,E7,,AllTriggers)</f>
        <v>1.0016216154345836</v>
      </c>
      <c r="H7" s="134">
        <f>_xll.qlDayCounterYearFraction(DayCounter,D7,E7,,,Trigger)</f>
        <v>0.25555555555555554</v>
      </c>
      <c r="I7" s="135">
        <f t="shared" si="3"/>
        <v>-3.4796566517265692E-3</v>
      </c>
      <c r="J7" s="104">
        <f>LN((1+(_xll.qlInterpolationInterpolate(B3Minterpolation,D7,TRUE,AllTriggers)+I7)*H7)/(1+I7*H7))</f>
        <v>9.3626071192645787E-5</v>
      </c>
      <c r="K7" s="105">
        <f>_xll.qlDayCounterYearFraction(DayCounter,SettlementDate,D7,,,Trigger)</f>
        <v>0.2</v>
      </c>
      <c r="L7" s="105">
        <f>_xll.qlDayCounterYearFraction(DayCounter,SettlementDate,E7,,,Trigger)</f>
        <v>0.45555555555555555</v>
      </c>
      <c r="M7" s="105">
        <f>L7-K7</f>
        <v>0.25555555555555554</v>
      </c>
      <c r="N7" s="105">
        <f>(L7^2-K7^2)/2</f>
        <v>8.3765432098765427E-2</v>
      </c>
      <c r="O7" s="105">
        <f>(L7^3-K7^3)/3</f>
        <v>2.8847279378143572E-2</v>
      </c>
      <c r="P7" s="106" t="b">
        <v>0</v>
      </c>
      <c r="W7" s="76"/>
      <c r="X7" s="69"/>
      <c r="Y7" s="70"/>
      <c r="AF7" s="114">
        <f>_xll.qlCalendarAdvance(Calendar,AF6,"1d","mf",,Trigger)</f>
        <v>42741</v>
      </c>
      <c r="AG7" s="100">
        <f>_xll.qlDayCounterYearFraction(DayCounter,SettlementDate,AF7,,,Trigger)</f>
        <v>1.1111111111111112E-2</v>
      </c>
      <c r="AH7" s="112">
        <f t="shared" si="0"/>
        <v>2.9157567115555304E-4</v>
      </c>
      <c r="AI7" s="112">
        <f t="shared" si="1"/>
        <v>2.4412615123731933E-4</v>
      </c>
      <c r="AJ7" s="112">
        <f t="shared" si="2"/>
        <v>2.3317196701784797E-4</v>
      </c>
    </row>
    <row r="8" spans="1:36" ht="12.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42744</v>
      </c>
      <c r="AG8" s="100">
        <f>_xll.qlDayCounterYearFraction(DayCounter,SettlementDate,AF8,,,Trigger)</f>
        <v>1.9444444444444445E-2</v>
      </c>
      <c r="AH8" s="112">
        <f t="shared" si="0"/>
        <v>2.9157567115555304E-4</v>
      </c>
      <c r="AI8" s="112">
        <f t="shared" si="1"/>
        <v>2.4755623701454104E-4</v>
      </c>
      <c r="AJ8" s="112">
        <f t="shared" si="2"/>
        <v>2.3850195086304451E-4</v>
      </c>
    </row>
    <row r="9" spans="1:36" ht="12.2" customHeight="1" x14ac:dyDescent="0.2">
      <c r="C9" s="87" t="s">
        <v>132</v>
      </c>
      <c r="D9" s="122" t="s">
        <v>36</v>
      </c>
      <c r="R9" s="411" t="s">
        <v>91</v>
      </c>
      <c r="S9" s="71"/>
      <c r="T9" s="72">
        <f t="array" ref="T9:T10">_xll.ohFilter(N3:N7,P3:P7)</f>
        <v>3.1948302469135798E-2</v>
      </c>
      <c r="U9" s="73">
        <f t="array" ref="U9:U10">_xll.ohFilter(M3:M7,P3:P7)</f>
        <v>0.25277777777777777</v>
      </c>
      <c r="V9" s="413" t="s">
        <v>32</v>
      </c>
      <c r="W9" s="74">
        <f t="array" ref="W9:W10">MMULT(AA9:AB10,Y9:Y10)</f>
        <v>4.1161029326660607E-4</v>
      </c>
      <c r="X9" s="413" t="s">
        <v>33</v>
      </c>
      <c r="Y9" s="75">
        <f t="array" ref="Y9:Y10">_xll.ohFilter(J3:J7,P3:P7)</f>
        <v>7.3703850208764796E-5</v>
      </c>
      <c r="AA9" s="72">
        <f t="array" ref="AA9:AB10">MINVERSE(T9:U10)</f>
        <v>-91.882311237149892</v>
      </c>
      <c r="AB9" s="73">
        <v>92.903225806451545</v>
      </c>
      <c r="AF9" s="114">
        <f>_xll.qlCalendarAdvance(Calendar,AF8,"1d","mf",,Trigger)</f>
        <v>42745</v>
      </c>
      <c r="AG9" s="100">
        <f>_xll.qlDayCounterYearFraction(DayCounter,SettlementDate,AF9,,,Trigger)</f>
        <v>2.2222222222222223E-2</v>
      </c>
      <c r="AH9" s="112">
        <f t="shared" si="0"/>
        <v>2.9157567115555304E-4</v>
      </c>
      <c r="AI9" s="112">
        <f t="shared" si="1"/>
        <v>2.4869959894028161E-4</v>
      </c>
      <c r="AJ9" s="112">
        <f t="shared" si="2"/>
        <v>2.4025181344605883E-4</v>
      </c>
    </row>
    <row r="10" spans="1:36" ht="12.2" customHeight="1" x14ac:dyDescent="0.2">
      <c r="C10" s="87" t="s">
        <v>103</v>
      </c>
      <c r="D10" s="122" t="str">
        <f>PROPER(Currency)&amp;IborType&amp;D9</f>
        <v>Euribor3M</v>
      </c>
      <c r="R10" s="411"/>
      <c r="S10" s="71"/>
      <c r="T10" s="72">
        <v>4.2361111111111113E-2</v>
      </c>
      <c r="U10" s="73">
        <v>0.25</v>
      </c>
      <c r="V10" s="413"/>
      <c r="W10" s="74">
        <v>2.3955270353435705E-4</v>
      </c>
      <c r="X10" s="413"/>
      <c r="Y10" s="75">
        <v>7.7324445251132995E-5</v>
      </c>
      <c r="AA10" s="72">
        <v>15.568947181850399</v>
      </c>
      <c r="AB10" s="73">
        <v>-11.741935483870957</v>
      </c>
      <c r="AF10" s="114">
        <f>_xll.qlCalendarAdvance(Calendar,AF9,"1d","mf",,Trigger)</f>
        <v>42746</v>
      </c>
      <c r="AG10" s="100">
        <f>_xll.qlDayCounterYearFraction(DayCounter,SettlementDate,AF10,,,Trigger)</f>
        <v>2.5000000000000001E-2</v>
      </c>
      <c r="AH10" s="112">
        <f t="shared" si="0"/>
        <v>2.9157567115555304E-4</v>
      </c>
      <c r="AI10" s="112">
        <f t="shared" si="1"/>
        <v>2.4984296086602218E-4</v>
      </c>
      <c r="AJ10" s="112">
        <f t="shared" si="2"/>
        <v>2.4198827667971419E-4</v>
      </c>
    </row>
    <row r="11" spans="1:36" ht="12.2" customHeight="1" x14ac:dyDescent="0.2">
      <c r="C11" s="87" t="s">
        <v>124</v>
      </c>
      <c r="D11" s="123" t="s">
        <v>83</v>
      </c>
      <c r="W11" s="76"/>
      <c r="X11" s="69"/>
      <c r="Y11" s="70"/>
      <c r="AF11" s="114">
        <f>_xll.qlCalendarAdvance(Calendar,AF10,"1d","mf",,Trigger)</f>
        <v>42747</v>
      </c>
      <c r="AG11" s="100">
        <f>_xll.qlDayCounterYearFraction(DayCounter,SettlementDate,AF11,,,Trigger)</f>
        <v>2.7777777777777776E-2</v>
      </c>
      <c r="AH11" s="112">
        <f t="shared" si="0"/>
        <v>2.9157567115555304E-4</v>
      </c>
      <c r="AI11" s="112">
        <f t="shared" si="1"/>
        <v>2.5098632279176275E-4</v>
      </c>
      <c r="AJ11" s="112">
        <f t="shared" si="2"/>
        <v>2.4371134056401061E-4</v>
      </c>
    </row>
    <row r="12" spans="1:36" ht="12.2" customHeight="1" x14ac:dyDescent="0.2">
      <c r="C12" s="87" t="s">
        <v>123</v>
      </c>
      <c r="D12" s="122" t="s">
        <v>127</v>
      </c>
      <c r="W12" s="77" t="s">
        <v>30</v>
      </c>
      <c r="X12" s="69"/>
      <c r="Y12" s="70"/>
      <c r="AF12" s="114">
        <f>_xll.qlCalendarAdvance(Calendar,AF11,"1d","mf",,Trigger)</f>
        <v>42748</v>
      </c>
      <c r="AG12" s="100">
        <f>_xll.qlDayCounterYearFraction(DayCounter,SettlementDate,AF12,,,Trigger)</f>
        <v>3.0555555555555555E-2</v>
      </c>
      <c r="AH12" s="112">
        <f t="shared" si="0"/>
        <v>2.9157567115555304E-4</v>
      </c>
      <c r="AI12" s="112">
        <f t="shared" si="1"/>
        <v>2.5212968471750332E-4</v>
      </c>
      <c r="AJ12" s="112">
        <f t="shared" si="2"/>
        <v>2.4542100509894813E-4</v>
      </c>
    </row>
    <row r="13" spans="1:36" ht="12.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0.25277777777777777</v>
      </c>
      <c r="V13" s="82" t="s">
        <v>32</v>
      </c>
      <c r="W13" s="74">
        <f>MMULT(AA13,Y13)</f>
        <v>2.9157567115555304E-4</v>
      </c>
      <c r="X13" s="82" t="s">
        <v>33</v>
      </c>
      <c r="Y13" s="75">
        <f t="array" ref="Y13">_xll.ohFilter(J3:J7,P3:P7)</f>
        <v>7.3703850208764796E-5</v>
      </c>
      <c r="AA13" s="83">
        <f>MINVERSE(U13)</f>
        <v>3.9560439560439562</v>
      </c>
      <c r="AF13" s="114">
        <f>_xll.qlCalendarAdvance(Calendar,AF12,"1d","mf",,Trigger)</f>
        <v>42751</v>
      </c>
      <c r="AG13" s="100">
        <f>_xll.qlDayCounterYearFraction(DayCounter,SettlementDate,AF13,,,Trigger)</f>
        <v>3.888888888888889E-2</v>
      </c>
      <c r="AH13" s="112">
        <f t="shared" si="0"/>
        <v>2.9157567115555304E-4</v>
      </c>
      <c r="AI13" s="112">
        <f t="shared" si="1"/>
        <v>2.5555977049472508E-4</v>
      </c>
      <c r="AJ13" s="112">
        <f t="shared" si="2"/>
        <v>2.5046960260760695E-4</v>
      </c>
    </row>
    <row r="14" spans="1:36" ht="12.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117</v>
      </c>
      <c r="K14" s="88" t="s">
        <v>118</v>
      </c>
      <c r="L14" s="87" t="s">
        <v>119</v>
      </c>
      <c r="M14" s="88" t="s">
        <v>120</v>
      </c>
      <c r="N14" s="90" t="s">
        <v>92</v>
      </c>
      <c r="O14" s="90" t="s">
        <v>91</v>
      </c>
      <c r="P14" s="90" t="s">
        <v>115</v>
      </c>
      <c r="AF14" s="114">
        <f>_xll.qlCalendarAdvance(Calendar,AF13,"1d","mf",,Trigger)</f>
        <v>42752</v>
      </c>
      <c r="AG14" s="100">
        <f>_xll.qlDayCounterYearFraction(DayCounter,SettlementDate,AF14,,,Trigger)</f>
        <v>4.1666666666666664E-2</v>
      </c>
      <c r="AH14" s="112">
        <f t="shared" si="0"/>
        <v>2.9157567115555304E-4</v>
      </c>
      <c r="AI14" s="112">
        <f t="shared" si="1"/>
        <v>2.5670313242046565E-4</v>
      </c>
      <c r="AJ14" s="112">
        <f t="shared" si="2"/>
        <v>2.5212566974510862E-4</v>
      </c>
    </row>
    <row r="15" spans="1:36" ht="12.2" customHeight="1" x14ac:dyDescent="0.2">
      <c r="C15" s="107" t="s">
        <v>38</v>
      </c>
      <c r="D15" s="108">
        <f t="shared" ref="D15:D21" si="7">SettlementDate</f>
        <v>42737</v>
      </c>
      <c r="E15" s="109">
        <f>_xll.qlCalendarAdvance(Calendar,SettlementDate,C15,"Following",,Trigger)</f>
        <v>42738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_xll.qlYieldTSDiscount(OvernightCurve,D15,,AllTriggers)</f>
        <v>1.0000352787656608</v>
      </c>
      <c r="L15" s="111">
        <f>_xll.qlYieldTSDiscount(OvernightCurve,E15,,AllTriggers)</f>
        <v>1.0000455570117563</v>
      </c>
      <c r="M15" s="138">
        <f>(K15/L15-1)/J15</f>
        <v>-3.7000000334774796E-3</v>
      </c>
      <c r="N15" s="125">
        <f>((1+M15*J15)*EXP($W$13*J15)-1)/J15</f>
        <v>-3.4084272409673488E-3</v>
      </c>
      <c r="O15" s="125">
        <f>((1+J15*M15)*EXP($W$10*J15+0.5*$W$9*J15^2)-1)/J15</f>
        <v>-3.4598780368710891E-3</v>
      </c>
      <c r="P15" s="125">
        <f t="shared" ref="P15:P21" si="8">((1+J15*M15)*EXP($W$5*J15+0.5*$W$4*J15^2+1/3*$W$3*J15^3)-1)/J15</f>
        <v>-3.4732016163907531E-3</v>
      </c>
      <c r="AF15" s="114">
        <f>_xll.qlCalendarAdvance(Calendar,AF14,"1d","mf",,Trigger)</f>
        <v>42753</v>
      </c>
      <c r="AG15" s="100">
        <f>_xll.qlDayCounterYearFraction(DayCounter,SettlementDate,AF15,,,Trigger)</f>
        <v>4.4444444444444446E-2</v>
      </c>
      <c r="AH15" s="112">
        <f t="shared" si="0"/>
        <v>2.9157567115555304E-4</v>
      </c>
      <c r="AI15" s="112">
        <f t="shared" si="1"/>
        <v>2.5784649434620622E-4</v>
      </c>
      <c r="AJ15" s="112">
        <f t="shared" si="2"/>
        <v>2.5376833753325143E-4</v>
      </c>
    </row>
    <row r="16" spans="1:36" ht="12.2" customHeight="1" x14ac:dyDescent="0.2">
      <c r="C16" s="113" t="s">
        <v>39</v>
      </c>
      <c r="D16" s="98">
        <f>SettlementDate</f>
        <v>42737</v>
      </c>
      <c r="E16" s="114">
        <f>_xll.qlCalendarAdvance(Calendar,SettlementDate,C16,"Following",,Trigger)</f>
        <v>42744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_xll.qlYieldTSDiscount(OvernightCurve,D16,,AllTriggers)</f>
        <v>1.0000352787656608</v>
      </c>
      <c r="L16" s="115">
        <f>_xll.qlYieldTSDiscount(OvernightCurve,E16,,AllTriggers)</f>
        <v>1.0001031468769588</v>
      </c>
      <c r="M16" s="138">
        <f t="shared" ref="M16:M21" si="9">(K16/L16-1)/J16</f>
        <v>-3.4900000270075638E-3</v>
      </c>
      <c r="N16" s="112">
        <f t="shared" ref="N16:N20" si="10">((1+M16*J16)*EXP($W$13*J16)-1)/J16</f>
        <v>-3.1984433160106968E-3</v>
      </c>
      <c r="O16" s="112">
        <f t="shared" ref="O16:O20" si="11">((1+J16*M16)*EXP($W$10*J16+0.5*$W$9*J16^2)-1)/J16</f>
        <v>-3.2464615079362347E-3</v>
      </c>
      <c r="P16" s="112">
        <f t="shared" si="8"/>
        <v>-3.2577707080783114E-3</v>
      </c>
      <c r="AF16" s="114">
        <f>_xll.qlCalendarAdvance(Calendar,AF15,"1d","mf",,Trigger)</f>
        <v>42754</v>
      </c>
      <c r="AG16" s="100">
        <f>_xll.qlDayCounterYearFraction(DayCounter,SettlementDate,AF16,,,Trigger)</f>
        <v>4.7222222222222221E-2</v>
      </c>
      <c r="AH16" s="112">
        <f t="shared" si="0"/>
        <v>2.9157567115555304E-4</v>
      </c>
      <c r="AI16" s="112">
        <f t="shared" si="1"/>
        <v>2.5898985627194679E-4</v>
      </c>
      <c r="AJ16" s="112">
        <f t="shared" si="2"/>
        <v>2.5539760597203533E-4</v>
      </c>
    </row>
    <row r="17" spans="3:36" ht="12.2" customHeight="1" x14ac:dyDescent="0.2">
      <c r="C17" s="113" t="s">
        <v>40</v>
      </c>
      <c r="D17" s="98">
        <f t="shared" si="7"/>
        <v>42737</v>
      </c>
      <c r="E17" s="114">
        <f>_xll.qlCalendarAdvance(Calendar,SettlementDate,C17,"Following",,Trigger)</f>
        <v>42751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_xll.qlYieldTSDiscount(OvernightCurve,D17,,AllTriggers)</f>
        <v>1.0000352787656608</v>
      </c>
      <c r="L17" s="115">
        <f>_xll.qlYieldTSDiscount(OvernightCurve,E17,,AllTriggers)</f>
        <v>1.0001710242001607</v>
      </c>
      <c r="M17" s="138">
        <f t="shared" si="9"/>
        <v>-3.4900000126790254E-3</v>
      </c>
      <c r="N17" s="112">
        <f t="shared" si="10"/>
        <v>-3.1984622619440906E-3</v>
      </c>
      <c r="O17" s="112">
        <f t="shared" si="11"/>
        <v>-3.2424761830689747E-3</v>
      </c>
      <c r="P17" s="112">
        <f t="shared" si="8"/>
        <v>-3.2516387400963582E-3</v>
      </c>
      <c r="AF17" s="114">
        <f>_xll.qlCalendarAdvance(Calendar,AF16,"1d","mf",,Trigger)</f>
        <v>42755</v>
      </c>
      <c r="AG17" s="100">
        <f>_xll.qlDayCounterYearFraction(DayCounter,SettlementDate,AF17,,,Trigger)</f>
        <v>0.05</v>
      </c>
      <c r="AH17" s="112">
        <f t="shared" si="0"/>
        <v>2.9157567115555304E-4</v>
      </c>
      <c r="AI17" s="112">
        <f t="shared" si="1"/>
        <v>2.6013321819768736E-4</v>
      </c>
      <c r="AJ17" s="112">
        <f t="shared" si="2"/>
        <v>2.5701347506146017E-4</v>
      </c>
    </row>
    <row r="18" spans="3:36" ht="12.2" customHeight="1" x14ac:dyDescent="0.2">
      <c r="C18" s="113" t="s">
        <v>41</v>
      </c>
      <c r="D18" s="98">
        <f t="shared" si="7"/>
        <v>42737</v>
      </c>
      <c r="E18" s="114">
        <f>_xll.qlCalendarAdvance(Calendar,SettlementDate,C18,"Following",,Trigger)</f>
        <v>42758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_xll.qlYieldTSDiscount(OvernightCurve,D18,,AllTriggers)</f>
        <v>1.0000352787656608</v>
      </c>
      <c r="L18" s="115">
        <f>_xll.qlYieldTSDiscount(OvernightCurve,E18,,AllTriggers)</f>
        <v>1.0002389107372385</v>
      </c>
      <c r="M18" s="138">
        <f t="shared" si="9"/>
        <v>-3.4900000000024989E-3</v>
      </c>
      <c r="N18" s="112">
        <f t="shared" si="10"/>
        <v>-3.198481209641787E-3</v>
      </c>
      <c r="O18" s="112">
        <f t="shared" si="11"/>
        <v>-3.238491363922894E-3</v>
      </c>
      <c r="P18" s="112">
        <f t="shared" si="8"/>
        <v>-3.2457263644073259E-3</v>
      </c>
      <c r="AF18" s="114">
        <f>_xll.qlCalendarAdvance(Calendar,AF17,"1d","mf",,Trigger)</f>
        <v>42758</v>
      </c>
      <c r="AG18" s="100">
        <f>_xll.qlDayCounterYearFraction(DayCounter,SettlementDate,AF18,,,Trigger)</f>
        <v>5.8333333333333334E-2</v>
      </c>
      <c r="AH18" s="112">
        <f t="shared" si="0"/>
        <v>2.9157567115555304E-4</v>
      </c>
      <c r="AI18" s="112">
        <f t="shared" si="1"/>
        <v>2.6356330397490907E-4</v>
      </c>
      <c r="AJ18" s="112">
        <f t="shared" si="2"/>
        <v>2.6178068623358128E-4</v>
      </c>
    </row>
    <row r="19" spans="3:36" ht="12.2" customHeight="1" x14ac:dyDescent="0.2">
      <c r="C19" s="113" t="s">
        <v>35</v>
      </c>
      <c r="D19" s="98">
        <f t="shared" si="7"/>
        <v>42737</v>
      </c>
      <c r="E19" s="114">
        <f>_xll.qlCalendarAdvance(Calendar,SettlementDate,C19,"mf",TRUE,Trigger)</f>
        <v>42768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_xll.qlYieldTSDiscount(OvernightCurve,D19,,AllTriggers)</f>
        <v>1.0000352787656608</v>
      </c>
      <c r="L19" s="115">
        <f>_xll.qlYieldTSDiscount(OvernightCurve,E19,,AllTriggers)</f>
        <v>1.0003350458344147</v>
      </c>
      <c r="M19" s="138">
        <f t="shared" si="9"/>
        <v>-3.4800000002182547E-3</v>
      </c>
      <c r="N19" s="112">
        <f t="shared" si="10"/>
        <v>-3.1885080452112671E-3</v>
      </c>
      <c r="O19" s="112">
        <f t="shared" si="11"/>
        <v>-3.2227994344916524E-3</v>
      </c>
      <c r="P19" s="112">
        <f t="shared" si="8"/>
        <v>-3.2276607511002695E-3</v>
      </c>
      <c r="AF19" s="114">
        <f>_xll.qlCalendarAdvance(Calendar,AF18,"1d","mf",,Trigger)</f>
        <v>42759</v>
      </c>
      <c r="AG19" s="100">
        <f>_xll.qlDayCounterYearFraction(DayCounter,SettlementDate,AF19,,,Trigger)</f>
        <v>6.1111111111111109E-2</v>
      </c>
      <c r="AH19" s="112">
        <f t="shared" si="0"/>
        <v>2.9157567115555304E-4</v>
      </c>
      <c r="AI19" s="112">
        <f t="shared" si="1"/>
        <v>2.6470666590064964E-4</v>
      </c>
      <c r="AJ19" s="112">
        <f t="shared" si="2"/>
        <v>2.6334295792557048E-4</v>
      </c>
    </row>
    <row r="20" spans="3:36" ht="12.2" customHeight="1" x14ac:dyDescent="0.2">
      <c r="C20" s="113" t="s">
        <v>42</v>
      </c>
      <c r="D20" s="98">
        <f t="shared" si="7"/>
        <v>42737</v>
      </c>
      <c r="E20" s="114">
        <f>_xll.qlCalendarAdvance(Calendar,SettlementDate,C20,"mf",TRUE,Trigger)</f>
        <v>42796</v>
      </c>
      <c r="F20" s="136"/>
      <c r="G20" s="136"/>
      <c r="H20" s="136"/>
      <c r="I20" s="136"/>
      <c r="J20" s="100">
        <f>_xll.qlDayCounterYearFraction(DayCounter,D20,E20,,,Trigger)</f>
        <v>0.16388888888888889</v>
      </c>
      <c r="K20" s="139">
        <f>_xll.qlYieldTSDiscount(OvernightCurve,D20,,AllTriggers)</f>
        <v>1.0000352787656608</v>
      </c>
      <c r="L20" s="115">
        <f>_xll.qlYieldTSDiscount(OvernightCurve,E20,,AllTriggers)</f>
        <v>1.0006059576967901</v>
      </c>
      <c r="M20" s="138">
        <f t="shared" si="9"/>
        <v>-3.4799999995299043E-3</v>
      </c>
      <c r="N20" s="112">
        <f t="shared" si="10"/>
        <v>-3.1885836609421335E-3</v>
      </c>
      <c r="O20" s="112">
        <f t="shared" si="11"/>
        <v>-3.2068678644953767E-3</v>
      </c>
      <c r="P20" s="112">
        <f t="shared" si="8"/>
        <v>-3.2074600060440521E-3</v>
      </c>
      <c r="AF20" s="114">
        <f>_xll.qlCalendarAdvance(Calendar,AF19,"1d","mf",,Trigger)</f>
        <v>42760</v>
      </c>
      <c r="AG20" s="100">
        <f>_xll.qlDayCounterYearFraction(DayCounter,SettlementDate,AF20,,,Trigger)</f>
        <v>6.3888888888888884E-2</v>
      </c>
      <c r="AH20" s="112">
        <f t="shared" si="0"/>
        <v>2.9157567115555304E-4</v>
      </c>
      <c r="AI20" s="112">
        <f t="shared" si="1"/>
        <v>2.6585002782639021E-4</v>
      </c>
      <c r="AJ20" s="112">
        <f t="shared" si="2"/>
        <v>2.6489183026820066E-4</v>
      </c>
    </row>
    <row r="21" spans="3:36" ht="12.2" customHeight="1" x14ac:dyDescent="0.2">
      <c r="C21" s="117" t="s">
        <v>36</v>
      </c>
      <c r="D21" s="103">
        <f t="shared" si="7"/>
        <v>42737</v>
      </c>
      <c r="E21" s="118">
        <f>_xll.qlCalendarAdvance(Calendar,SettlementDate,C21,"mf",TRUE,Trigger)</f>
        <v>42828</v>
      </c>
      <c r="F21" s="140"/>
      <c r="G21" s="140"/>
      <c r="H21" s="140"/>
      <c r="I21" s="140"/>
      <c r="J21" s="105">
        <f>_xll.qlDayCounterYearFraction(DayCounter,D21,E21,,,Trigger)</f>
        <v>0.25277777777777777</v>
      </c>
      <c r="K21" s="141">
        <f>_xll.qlYieldTSDiscount(OvernightCurve,D21,,AllTriggers)</f>
        <v>1.0000352787656608</v>
      </c>
      <c r="L21" s="119">
        <f>_xll.qlYieldTSDiscount(OvernightCurve,E21,,AllTriggers)</f>
        <v>1.0009153176886199</v>
      </c>
      <c r="M21" s="142">
        <f t="shared" si="9"/>
        <v>-3.4782889228784737E-3</v>
      </c>
      <c r="N21" s="121">
        <f>((1+M21*J21)*EXP($W$13*J21)-1)/J21</f>
        <v>-3.1869588790677263E-3</v>
      </c>
      <c r="O21" s="121">
        <f>((1+J21*M21)*EXP($W$10*J21+0.5*$W$9*J21^2)-1)/J21</f>
        <v>-3.1869588790677263E-3</v>
      </c>
      <c r="P21" s="121">
        <f t="shared" si="8"/>
        <v>-3.1869588790677263E-3</v>
      </c>
      <c r="AF21" s="114">
        <f>_xll.qlCalendarAdvance(Calendar,AF20,"1d","mf",,Trigger)</f>
        <v>42761</v>
      </c>
      <c r="AG21" s="100">
        <f>_xll.qlDayCounterYearFraction(DayCounter,SettlementDate,AF21,,,Trigger)</f>
        <v>6.6666666666666666E-2</v>
      </c>
      <c r="AH21" s="112">
        <f t="shared" si="0"/>
        <v>2.9157567115555304E-4</v>
      </c>
      <c r="AI21" s="112">
        <f t="shared" si="1"/>
        <v>2.6699338975213078E-4</v>
      </c>
      <c r="AJ21" s="112">
        <f t="shared" si="2"/>
        <v>2.6642730326147194E-4</v>
      </c>
    </row>
    <row r="22" spans="3:36" ht="12.2" customHeight="1" x14ac:dyDescent="0.2">
      <c r="AF22" s="114">
        <f>_xll.qlCalendarAdvance(Calendar,AF21,"1d","mf",,Trigger)</f>
        <v>42762</v>
      </c>
      <c r="AG22" s="100">
        <f>_xll.qlDayCounterYearFraction(DayCounter,SettlementDate,AF22,,,Trigger)</f>
        <v>6.9444444444444448E-2</v>
      </c>
      <c r="AH22" s="112">
        <f t="shared" si="0"/>
        <v>2.9157567115555304E-4</v>
      </c>
      <c r="AI22" s="112">
        <f t="shared" si="1"/>
        <v>2.6813675167787135E-4</v>
      </c>
      <c r="AJ22" s="112">
        <f t="shared" si="2"/>
        <v>2.6794937690538431E-4</v>
      </c>
    </row>
    <row r="23" spans="3:36" ht="12.2" customHeight="1" x14ac:dyDescent="0.2">
      <c r="C23" s="87" t="s">
        <v>105</v>
      </c>
      <c r="AF23" s="114">
        <f>_xll.qlCalendarAdvance(Calendar,AF22,"1d","mf",,Trigger)</f>
        <v>42765</v>
      </c>
      <c r="AG23" s="100">
        <f>_xll.qlDayCounterYearFraction(DayCounter,SettlementDate,AF23,,,Trigger)</f>
        <v>7.7777777777777779E-2</v>
      </c>
      <c r="AH23" s="112">
        <f t="shared" si="0"/>
        <v>2.9157567115555304E-4</v>
      </c>
      <c r="AI23" s="112">
        <f t="shared" si="1"/>
        <v>2.7156683745509306E-4</v>
      </c>
      <c r="AJ23" s="112">
        <f t="shared" si="2"/>
        <v>2.7243520174096759E-4</v>
      </c>
    </row>
    <row r="24" spans="3:36" ht="12.2" customHeight="1" x14ac:dyDescent="0.2">
      <c r="C24" s="124" t="s">
        <v>90</v>
      </c>
      <c r="AF24" s="114">
        <f>_xll.qlCalendarAdvance(Calendar,AF23,"1d","mf",,Trigger)</f>
        <v>42766</v>
      </c>
      <c r="AG24" s="100">
        <f>_xll.qlDayCounterYearFraction(DayCounter,SettlementDate,AF24,,,Trigger)</f>
        <v>8.0555555555555561E-2</v>
      </c>
      <c r="AH24" s="112">
        <f t="shared" si="0"/>
        <v>2.9157567115555304E-4</v>
      </c>
      <c r="AI24" s="112">
        <f t="shared" si="1"/>
        <v>2.7271019938083363E-4</v>
      </c>
      <c r="AJ24" s="112">
        <f t="shared" si="2"/>
        <v>2.7390367798744422E-4</v>
      </c>
    </row>
    <row r="25" spans="3:36" ht="12.2" customHeight="1" x14ac:dyDescent="0.2">
      <c r="C25" s="112">
        <f t="shared" ref="C25:C31" si="12">IF($C$24="FLAT",N15,IF($C$24="linear",O15,P15))</f>
        <v>-3.4732016163907531E-3</v>
      </c>
      <c r="AF25" s="114">
        <f>_xll.qlCalendarAdvance(Calendar,AF24,"1d","mf",,Trigger)</f>
        <v>42767</v>
      </c>
      <c r="AG25" s="100">
        <f>_xll.qlDayCounterYearFraction(DayCounter,SettlementDate,AF25,,,Trigger)</f>
        <v>8.3333333333333329E-2</v>
      </c>
      <c r="AH25" s="112">
        <f t="shared" si="0"/>
        <v>2.9157567115555304E-4</v>
      </c>
      <c r="AI25" s="112">
        <f t="shared" si="1"/>
        <v>2.738535613065742E-4</v>
      </c>
      <c r="AJ25" s="112">
        <f t="shared" si="2"/>
        <v>2.7535875488456183E-4</v>
      </c>
    </row>
    <row r="26" spans="3:36" ht="12.2" customHeight="1" x14ac:dyDescent="0.2">
      <c r="C26" s="112">
        <f t="shared" si="12"/>
        <v>-3.2577707080783114E-3</v>
      </c>
      <c r="AF26" s="114">
        <f>_xll.qlCalendarAdvance(Calendar,AF25,"1d","mf",,Trigger)</f>
        <v>42768</v>
      </c>
      <c r="AG26" s="100">
        <f>_xll.qlDayCounterYearFraction(DayCounter,SettlementDate,AF26,,,Trigger)</f>
        <v>8.611111111111111E-2</v>
      </c>
      <c r="AH26" s="112">
        <f t="shared" si="0"/>
        <v>2.9157567115555304E-4</v>
      </c>
      <c r="AI26" s="112">
        <f t="shared" si="1"/>
        <v>2.7499692323231477E-4</v>
      </c>
      <c r="AJ26" s="112">
        <f t="shared" si="2"/>
        <v>2.7680043243232054E-4</v>
      </c>
    </row>
    <row r="27" spans="3:36" ht="12.2" customHeight="1" x14ac:dyDescent="0.2">
      <c r="C27" s="112">
        <f t="shared" si="12"/>
        <v>-3.2516387400963582E-3</v>
      </c>
      <c r="AF27" s="114">
        <f>_xll.qlCalendarAdvance(Calendar,AF26,"1d","mf",,Trigger)</f>
        <v>42769</v>
      </c>
      <c r="AG27" s="100">
        <f>_xll.qlDayCounterYearFraction(DayCounter,SettlementDate,AF27,,,Trigger)</f>
        <v>8.8888888888888892E-2</v>
      </c>
      <c r="AH27" s="112">
        <f t="shared" si="0"/>
        <v>2.9157567115555304E-4</v>
      </c>
      <c r="AI27" s="112">
        <f t="shared" si="1"/>
        <v>2.7614028515805539E-4</v>
      </c>
      <c r="AJ27" s="112">
        <f t="shared" si="2"/>
        <v>2.7822871063072028E-4</v>
      </c>
    </row>
    <row r="28" spans="3:36" ht="12.2" customHeight="1" x14ac:dyDescent="0.2">
      <c r="C28" s="112">
        <f t="shared" si="12"/>
        <v>-3.2457263644073259E-3</v>
      </c>
      <c r="AF28" s="114">
        <f>_xll.qlCalendarAdvance(Calendar,AF27,"1d","mf",,Trigger)</f>
        <v>42772</v>
      </c>
      <c r="AG28" s="100">
        <f>_xll.qlDayCounterYearFraction(DayCounter,SettlementDate,AF28,,,Trigger)</f>
        <v>9.7222222222222224E-2</v>
      </c>
      <c r="AH28" s="112">
        <f t="shared" si="0"/>
        <v>2.9157567115555304E-4</v>
      </c>
      <c r="AI28" s="112">
        <f t="shared" si="1"/>
        <v>2.795703709352771E-4</v>
      </c>
      <c r="AJ28" s="112">
        <f t="shared" si="2"/>
        <v>2.8243314912976589E-4</v>
      </c>
    </row>
    <row r="29" spans="3:36" ht="12.2" customHeight="1" x14ac:dyDescent="0.2">
      <c r="C29" s="112">
        <f t="shared" si="12"/>
        <v>-3.2276607511002695E-3</v>
      </c>
      <c r="AF29" s="114">
        <f>_xll.qlCalendarAdvance(Calendar,AF28,"1d","mf",,Trigger)</f>
        <v>42773</v>
      </c>
      <c r="AG29" s="100">
        <f>_xll.qlDayCounterYearFraction(DayCounter,SettlementDate,AF29,,,Trigger)</f>
        <v>0.1</v>
      </c>
      <c r="AH29" s="112">
        <f t="shared" si="0"/>
        <v>2.9157567115555304E-4</v>
      </c>
      <c r="AI29" s="112">
        <f t="shared" si="1"/>
        <v>2.8071373286101767E-4</v>
      </c>
      <c r="AJ29" s="112">
        <f t="shared" si="2"/>
        <v>2.838078299307299E-4</v>
      </c>
    </row>
    <row r="30" spans="3:36" ht="12.2" customHeight="1" x14ac:dyDescent="0.2">
      <c r="C30" s="112">
        <f t="shared" si="12"/>
        <v>-3.2074600060440521E-3</v>
      </c>
      <c r="AF30" s="114">
        <f>_xll.qlCalendarAdvance(Calendar,AF29,"1d","mf",,Trigger)</f>
        <v>42774</v>
      </c>
      <c r="AG30" s="100">
        <f>_xll.qlDayCounterYearFraction(DayCounter,SettlementDate,AF30,,,Trigger)</f>
        <v>0.10277777777777777</v>
      </c>
      <c r="AH30" s="112">
        <f t="shared" si="0"/>
        <v>2.9157567115555304E-4</v>
      </c>
      <c r="AI30" s="112">
        <f t="shared" si="1"/>
        <v>2.8185709478675824E-4</v>
      </c>
      <c r="AJ30" s="112">
        <f t="shared" si="2"/>
        <v>2.8516911138233493E-4</v>
      </c>
    </row>
    <row r="31" spans="3:36" ht="12.2" customHeight="1" x14ac:dyDescent="0.2">
      <c r="C31" s="121">
        <f t="shared" si="12"/>
        <v>-3.1869588790677263E-3</v>
      </c>
      <c r="AF31" s="114">
        <f>_xll.qlCalendarAdvance(Calendar,AF30,"1d","mf",,Trigger)</f>
        <v>42775</v>
      </c>
      <c r="AG31" s="100">
        <f>_xll.qlDayCounterYearFraction(DayCounter,SettlementDate,AF31,,,Trigger)</f>
        <v>0.10555555555555556</v>
      </c>
      <c r="AH31" s="112">
        <f t="shared" si="0"/>
        <v>2.9157567115555304E-4</v>
      </c>
      <c r="AI31" s="112">
        <f t="shared" si="1"/>
        <v>2.8300045671249881E-4</v>
      </c>
      <c r="AJ31" s="112">
        <f t="shared" si="2"/>
        <v>2.8651699348458112E-4</v>
      </c>
    </row>
    <row r="32" spans="3:36" ht="12.2" customHeight="1" x14ac:dyDescent="0.2">
      <c r="AF32" s="114">
        <f>_xll.qlCalendarAdvance(Calendar,AF31,"1d","mf",,Trigger)</f>
        <v>42776</v>
      </c>
      <c r="AG32" s="100">
        <f>_xll.qlDayCounterYearFraction(DayCounter,SettlementDate,AF32,,,Trigger)</f>
        <v>0.10833333333333334</v>
      </c>
      <c r="AH32" s="112">
        <f t="shared" si="0"/>
        <v>2.9157567115555304E-4</v>
      </c>
      <c r="AI32" s="112">
        <f t="shared" si="1"/>
        <v>2.8414381863823938E-4</v>
      </c>
      <c r="AJ32" s="112">
        <f t="shared" si="2"/>
        <v>2.8785147623746824E-4</v>
      </c>
    </row>
    <row r="33" spans="13:36" x14ac:dyDescent="0.2">
      <c r="AF33" s="114">
        <f>_xll.qlCalendarAdvance(Calendar,AF32,"1d","mf",,Trigger)</f>
        <v>42779</v>
      </c>
      <c r="AG33" s="100">
        <f>_xll.qlDayCounterYearFraction(DayCounter,SettlementDate,AF33,,,Trigger)</f>
        <v>0.11666666666666667</v>
      </c>
      <c r="AH33" s="112">
        <f t="shared" si="0"/>
        <v>2.9157567115555304E-4</v>
      </c>
      <c r="AI33" s="112">
        <f t="shared" si="1"/>
        <v>2.8757390441546109E-4</v>
      </c>
      <c r="AJ33" s="112">
        <f t="shared" si="2"/>
        <v>2.9177452839997613E-4</v>
      </c>
    </row>
    <row r="34" spans="13:36" x14ac:dyDescent="0.2">
      <c r="AF34" s="114">
        <f>_xll.qlCalendarAdvance(Calendar,AF33,"1d","mf",,Trigger)</f>
        <v>42780</v>
      </c>
      <c r="AG34" s="100">
        <f>_xll.qlDayCounterYearFraction(DayCounter,SettlementDate,AF34,,,Trigger)</f>
        <v>0.11944444444444445</v>
      </c>
      <c r="AH34" s="112">
        <f t="shared" si="0"/>
        <v>2.9157567115555304E-4</v>
      </c>
      <c r="AI34" s="112">
        <f t="shared" si="1"/>
        <v>2.8871726634120166E-4</v>
      </c>
      <c r="AJ34" s="112">
        <f t="shared" si="2"/>
        <v>2.9305541375542756E-4</v>
      </c>
    </row>
    <row r="35" spans="13:36" x14ac:dyDescent="0.2">
      <c r="AF35" s="114">
        <f>_xll.qlCalendarAdvance(Calendar,AF34,"1d","mf",,Trigger)</f>
        <v>42781</v>
      </c>
      <c r="AG35" s="100">
        <f>_xll.qlDayCounterYearFraction(DayCounter,SettlementDate,AF35,,,Trigger)</f>
        <v>0.12222222222222222</v>
      </c>
      <c r="AH35" s="112">
        <f t="shared" si="0"/>
        <v>2.9157567115555304E-4</v>
      </c>
      <c r="AI35" s="112">
        <f t="shared" si="1"/>
        <v>2.8986062826694223E-4</v>
      </c>
      <c r="AJ35" s="112">
        <f t="shared" ref="AJ35:AJ65" si="13">($W$5+$W$4*AG35+$W$3*AG35^2)</f>
        <v>2.9432289976152003E-4</v>
      </c>
    </row>
    <row r="36" spans="13:36" x14ac:dyDescent="0.2">
      <c r="AF36" s="114">
        <f>_xll.qlCalendarAdvance(Calendar,AF35,"1d","mf",,Trigger)</f>
        <v>42782</v>
      </c>
      <c r="AG36" s="100">
        <f>_xll.qlDayCounterYearFraction(DayCounter,SettlementDate,AF36,,,Trigger)</f>
        <v>0.125</v>
      </c>
      <c r="AH36" s="112">
        <f t="shared" si="0"/>
        <v>2.9157567115555304E-4</v>
      </c>
      <c r="AI36" s="112">
        <f t="shared" si="1"/>
        <v>2.910039901926828E-4</v>
      </c>
      <c r="AJ36" s="112">
        <f t="shared" si="13"/>
        <v>2.9557698641825359E-4</v>
      </c>
    </row>
    <row r="37" spans="13:36" x14ac:dyDescent="0.2">
      <c r="AF37" s="114">
        <f>_xll.qlCalendarAdvance(Calendar,AF36,"1d","mf",,Trigger)</f>
        <v>42783</v>
      </c>
      <c r="AG37" s="100">
        <f>_xll.qlDayCounterYearFraction(DayCounter,SettlementDate,AF37,,,Trigger)</f>
        <v>0.12777777777777777</v>
      </c>
      <c r="AH37" s="112">
        <f t="shared" si="0"/>
        <v>2.9157567115555304E-4</v>
      </c>
      <c r="AI37" s="112">
        <f t="shared" si="1"/>
        <v>2.9214735211842337E-4</v>
      </c>
      <c r="AJ37" s="112">
        <f t="shared" si="13"/>
        <v>2.9681767372562813E-4</v>
      </c>
    </row>
    <row r="38" spans="13:36" x14ac:dyDescent="0.2">
      <c r="AF38" s="114">
        <f>_xll.qlCalendarAdvance(Calendar,AF37,"1d","mf",,Trigger)</f>
        <v>42786</v>
      </c>
      <c r="AG38" s="100">
        <f>_xll.qlDayCounterYearFraction(DayCounter,SettlementDate,AF38,,,Trigger)</f>
        <v>0.1361111111111111</v>
      </c>
      <c r="AH38" s="112">
        <f t="shared" si="0"/>
        <v>2.9157567115555304E-4</v>
      </c>
      <c r="AI38" s="112">
        <f t="shared" si="1"/>
        <v>2.9557743789564508E-4</v>
      </c>
      <c r="AJ38" s="112">
        <f t="shared" si="13"/>
        <v>3.0045933955159831E-4</v>
      </c>
    </row>
    <row r="39" spans="13:36" x14ac:dyDescent="0.2">
      <c r="AF39" s="114">
        <f>_xll.qlCalendarAdvance(Calendar,AF38,"1d","mf",,Trigger)</f>
        <v>42787</v>
      </c>
      <c r="AG39" s="100">
        <f>_xll.qlDayCounterYearFraction(DayCounter,SettlementDate,AF39,,,Trigger)</f>
        <v>0.1388888888888889</v>
      </c>
      <c r="AH39" s="112">
        <f t="shared" si="0"/>
        <v>2.9157567115555304E-4</v>
      </c>
      <c r="AI39" s="112">
        <f t="shared" si="1"/>
        <v>2.9672079982138565E-4</v>
      </c>
      <c r="AJ39" s="112">
        <f t="shared" si="13"/>
        <v>3.0164642946153717E-4</v>
      </c>
    </row>
    <row r="40" spans="13:36" x14ac:dyDescent="0.2">
      <c r="AF40" s="114">
        <f>_xll.qlCalendarAdvance(Calendar,AF39,"1d","mf",,Trigger)</f>
        <v>42788</v>
      </c>
      <c r="AG40" s="100">
        <f>_xll.qlDayCounterYearFraction(DayCounter,SettlementDate,AF40,,,Trigger)</f>
        <v>0.14166666666666666</v>
      </c>
      <c r="AH40" s="112">
        <f t="shared" si="0"/>
        <v>2.9157567115555304E-4</v>
      </c>
      <c r="AI40" s="112">
        <f t="shared" si="1"/>
        <v>2.9786416174712622E-4</v>
      </c>
      <c r="AJ40" s="112">
        <f t="shared" si="13"/>
        <v>3.0282012002211711E-4</v>
      </c>
    </row>
    <row r="41" spans="13:36" x14ac:dyDescent="0.2">
      <c r="M41" s="85"/>
      <c r="N41" s="85"/>
      <c r="AF41" s="114">
        <f>_xll.qlCalendarAdvance(Calendar,AF40,"1d","mf",,Trigger)</f>
        <v>42789</v>
      </c>
      <c r="AG41" s="100">
        <f>_xll.qlDayCounterYearFraction(DayCounter,SettlementDate,AF41,,,Trigger)</f>
        <v>0.14444444444444443</v>
      </c>
      <c r="AH41" s="112">
        <f t="shared" si="0"/>
        <v>2.9157567115555304E-4</v>
      </c>
      <c r="AI41" s="112">
        <f t="shared" si="1"/>
        <v>2.9900752367286679E-4</v>
      </c>
      <c r="AJ41" s="112">
        <f t="shared" si="13"/>
        <v>3.0398041123333805E-4</v>
      </c>
    </row>
    <row r="42" spans="13:36" x14ac:dyDescent="0.2">
      <c r="AF42" s="114">
        <f>_xll.qlCalendarAdvance(Calendar,AF41,"1d","mf",,Trigger)</f>
        <v>42790</v>
      </c>
      <c r="AG42" s="100">
        <f>_xll.qlDayCounterYearFraction(DayCounter,SettlementDate,AF42,,,Trigger)</f>
        <v>0.14722222222222223</v>
      </c>
      <c r="AH42" s="112">
        <f t="shared" si="0"/>
        <v>2.9157567115555304E-4</v>
      </c>
      <c r="AI42" s="112">
        <f t="shared" si="1"/>
        <v>3.0015088559860736E-4</v>
      </c>
      <c r="AJ42" s="112">
        <f t="shared" si="13"/>
        <v>3.0512730309520007E-4</v>
      </c>
    </row>
    <row r="43" spans="13:36" ht="11.25" customHeight="1" x14ac:dyDescent="0.2">
      <c r="AF43" s="114">
        <f>_xll.qlCalendarAdvance(Calendar,AF42,"1d","mf",,Trigger)</f>
        <v>42793</v>
      </c>
      <c r="AG43" s="100">
        <f>_xll.qlDayCounterYearFraction(DayCounter,SettlementDate,AF43,,,Trigger)</f>
        <v>0.15555555555555556</v>
      </c>
      <c r="AH43" s="112">
        <f t="shared" si="0"/>
        <v>2.9157567115555304E-4</v>
      </c>
      <c r="AI43" s="112">
        <f t="shared" si="1"/>
        <v>3.0358097137582907E-4</v>
      </c>
      <c r="AJ43" s="112">
        <f t="shared" si="13"/>
        <v>3.0848758258463253E-4</v>
      </c>
    </row>
    <row r="44" spans="13:36" x14ac:dyDescent="0.2">
      <c r="Q44" s="84"/>
      <c r="AF44" s="114">
        <f>_xll.qlCalendarAdvance(Calendar,AF43,"1d","mf",,Trigger)</f>
        <v>42794</v>
      </c>
      <c r="AG44" s="100">
        <f>_xll.qlDayCounterYearFraction(DayCounter,SettlementDate,AF44,,,Trigger)</f>
        <v>0.15833333333333333</v>
      </c>
      <c r="AH44" s="112">
        <f t="shared" si="0"/>
        <v>2.9157567115555304E-4</v>
      </c>
      <c r="AI44" s="112">
        <f t="shared" si="1"/>
        <v>3.0472433330156964E-4</v>
      </c>
      <c r="AJ44" s="112">
        <f t="shared" si="13"/>
        <v>3.0958087704905881E-4</v>
      </c>
    </row>
    <row r="45" spans="13:36" x14ac:dyDescent="0.2">
      <c r="Q45" s="84"/>
      <c r="AF45" s="114">
        <f>_xll.qlCalendarAdvance(Calendar,AF44,"1d","mf",,Trigger)</f>
        <v>42795</v>
      </c>
      <c r="AG45" s="100">
        <f>_xll.qlDayCounterYearFraction(DayCounter,SettlementDate,AF45,,,Trigger)</f>
        <v>0.16111111111111112</v>
      </c>
      <c r="AH45" s="112">
        <f t="shared" si="0"/>
        <v>2.9157567115555304E-4</v>
      </c>
      <c r="AI45" s="112">
        <f t="shared" si="1"/>
        <v>3.0586769522731027E-4</v>
      </c>
      <c r="AJ45" s="112">
        <f t="shared" si="13"/>
        <v>3.1066077216412608E-4</v>
      </c>
    </row>
    <row r="46" spans="13:36" x14ac:dyDescent="0.2">
      <c r="Q46" s="84"/>
      <c r="AF46" s="114">
        <f>_xll.qlCalendarAdvance(Calendar,AF45,"1d","mf",,Trigger)</f>
        <v>42796</v>
      </c>
      <c r="AG46" s="100">
        <f>_xll.qlDayCounterYearFraction(DayCounter,SettlementDate,AF46,,,Trigger)</f>
        <v>0.16388888888888889</v>
      </c>
      <c r="AH46" s="112">
        <f t="shared" si="0"/>
        <v>2.9157567115555304E-4</v>
      </c>
      <c r="AI46" s="112">
        <f t="shared" si="1"/>
        <v>3.0701105715305084E-4</v>
      </c>
      <c r="AJ46" s="112">
        <f t="shared" si="13"/>
        <v>3.1172726792983449E-4</v>
      </c>
    </row>
    <row r="47" spans="13:36" x14ac:dyDescent="0.2">
      <c r="Q47" s="84"/>
      <c r="AF47" s="114">
        <f>_xll.qlCalendarAdvance(Calendar,AF46,"1d","mf",,Trigger)</f>
        <v>42797</v>
      </c>
      <c r="AG47" s="100">
        <f>_xll.qlDayCounterYearFraction(DayCounter,SettlementDate,AF47,,,Trigger)</f>
        <v>0.16666666666666666</v>
      </c>
      <c r="AH47" s="112">
        <f t="shared" si="0"/>
        <v>2.9157567115555304E-4</v>
      </c>
      <c r="AI47" s="112">
        <f t="shared" si="1"/>
        <v>3.0815441907879135E-4</v>
      </c>
      <c r="AJ47" s="112">
        <f t="shared" si="13"/>
        <v>3.1278036434618389E-4</v>
      </c>
    </row>
    <row r="48" spans="13:36" x14ac:dyDescent="0.2">
      <c r="Q48" s="84"/>
      <c r="AF48" s="114">
        <f>_xll.qlCalendarAdvance(Calendar,AF47,"1d","mf",,Trigger)</f>
        <v>42800</v>
      </c>
      <c r="AG48" s="100">
        <f>_xll.qlDayCounterYearFraction(DayCounter,SettlementDate,AF48,,,Trigger)</f>
        <v>0.17499999999999999</v>
      </c>
      <c r="AH48" s="112">
        <f t="shared" si="0"/>
        <v>2.9157567115555304E-4</v>
      </c>
      <c r="AI48" s="112">
        <f t="shared" si="1"/>
        <v>3.1158450485601312E-4</v>
      </c>
      <c r="AJ48" s="112">
        <f t="shared" si="13"/>
        <v>3.1585925749907863E-4</v>
      </c>
    </row>
    <row r="49" spans="13:36" x14ac:dyDescent="0.2">
      <c r="AF49" s="114">
        <f>_xll.qlCalendarAdvance(Calendar,AF48,"1d","mf",,Trigger)</f>
        <v>42801</v>
      </c>
      <c r="AG49" s="100">
        <f>_xll.qlDayCounterYearFraction(DayCounter,SettlementDate,AF49,,,Trigger)</f>
        <v>0.17777777777777778</v>
      </c>
      <c r="AH49" s="112">
        <f t="shared" si="0"/>
        <v>2.9157567115555304E-4</v>
      </c>
      <c r="AI49" s="112">
        <f t="shared" si="1"/>
        <v>3.1272786678175369E-4</v>
      </c>
      <c r="AJ49" s="112">
        <f t="shared" si="13"/>
        <v>3.1685875651799234E-4</v>
      </c>
    </row>
    <row r="50" spans="13:36" x14ac:dyDescent="0.2">
      <c r="AF50" s="114">
        <f>_xll.qlCalendarAdvance(Calendar,AF49,"1d","mf",,Trigger)</f>
        <v>42802</v>
      </c>
      <c r="AG50" s="100">
        <f>_xll.qlDayCounterYearFraction(DayCounter,SettlementDate,AF50,,,Trigger)</f>
        <v>0.18055555555555555</v>
      </c>
      <c r="AH50" s="112">
        <f t="shared" si="0"/>
        <v>2.9157567115555304E-4</v>
      </c>
      <c r="AI50" s="112">
        <f t="shared" si="1"/>
        <v>3.1387122870749426E-4</v>
      </c>
      <c r="AJ50" s="112">
        <f t="shared" si="13"/>
        <v>3.1784485618754704E-4</v>
      </c>
    </row>
    <row r="51" spans="13:36" x14ac:dyDescent="0.2">
      <c r="AF51" s="114">
        <f>_xll.qlCalendarAdvance(Calendar,AF50,"1d","mf",,Trigger)</f>
        <v>42803</v>
      </c>
      <c r="AG51" s="100">
        <f>_xll.qlDayCounterYearFraction(DayCounter,SettlementDate,AF51,,,Trigger)</f>
        <v>0.18333333333333332</v>
      </c>
      <c r="AH51" s="112">
        <f t="shared" si="0"/>
        <v>2.9157567115555304E-4</v>
      </c>
      <c r="AI51" s="112">
        <f t="shared" si="1"/>
        <v>3.1501459063323483E-4</v>
      </c>
      <c r="AJ51" s="112">
        <f t="shared" si="13"/>
        <v>3.1881755650774288E-4</v>
      </c>
    </row>
    <row r="52" spans="13:36" x14ac:dyDescent="0.2">
      <c r="AF52" s="114">
        <f>_xll.qlCalendarAdvance(Calendar,AF51,"1d","mf",,Trigger)</f>
        <v>42804</v>
      </c>
      <c r="AG52" s="100">
        <f>_xll.qlDayCounterYearFraction(DayCounter,SettlementDate,AF52,,,Trigger)</f>
        <v>0.18611111111111112</v>
      </c>
      <c r="AH52" s="112">
        <f t="shared" si="0"/>
        <v>2.9157567115555304E-4</v>
      </c>
      <c r="AI52" s="112">
        <f t="shared" si="1"/>
        <v>3.161579525589754E-4</v>
      </c>
      <c r="AJ52" s="112">
        <f t="shared" si="13"/>
        <v>3.1977685747857975E-4</v>
      </c>
    </row>
    <row r="53" spans="13:36" x14ac:dyDescent="0.2">
      <c r="AF53" s="114">
        <f>_xll.qlCalendarAdvance(Calendar,AF52,"1d","mf",,Trigger)</f>
        <v>42807</v>
      </c>
      <c r="AG53" s="100">
        <f>_xll.qlDayCounterYearFraction(DayCounter,SettlementDate,AF53,,,Trigger)</f>
        <v>0.19444444444444445</v>
      </c>
      <c r="AH53" s="112">
        <f t="shared" si="0"/>
        <v>2.9157567115555304E-4</v>
      </c>
      <c r="AI53" s="112">
        <f t="shared" si="1"/>
        <v>3.1958803833619711E-4</v>
      </c>
      <c r="AJ53" s="112">
        <f t="shared" si="13"/>
        <v>3.2257436429493672E-4</v>
      </c>
    </row>
    <row r="54" spans="13:36" x14ac:dyDescent="0.2">
      <c r="AF54" s="114">
        <f>_xll.qlCalendarAdvance(Calendar,AF53,"1d","mf",,Trigger)</f>
        <v>42808</v>
      </c>
      <c r="AG54" s="100">
        <f>_xll.qlDayCounterYearFraction(DayCounter,SettlementDate,AF54,,,Trigger)</f>
        <v>0.19722222222222222</v>
      </c>
      <c r="AH54" s="112">
        <f t="shared" si="0"/>
        <v>2.9157567115555304E-4</v>
      </c>
      <c r="AI54" s="112">
        <f t="shared" si="1"/>
        <v>3.2073140026193768E-4</v>
      </c>
      <c r="AJ54" s="112">
        <f t="shared" si="13"/>
        <v>3.2348006786833781E-4</v>
      </c>
    </row>
    <row r="55" spans="13:36" x14ac:dyDescent="0.2">
      <c r="AF55" s="114">
        <f>_xll.qlCalendarAdvance(Calendar,AF54,"1d","mf",,Trigger)</f>
        <v>42809</v>
      </c>
      <c r="AG55" s="100">
        <f>_xll.qlDayCounterYearFraction(DayCounter,SettlementDate,AF55,,,Trigger)</f>
        <v>0.2</v>
      </c>
      <c r="AH55" s="112">
        <f t="shared" si="0"/>
        <v>2.9157567115555304E-4</v>
      </c>
      <c r="AI55" s="112">
        <f t="shared" si="1"/>
        <v>3.2187476218767825E-4</v>
      </c>
      <c r="AJ55" s="112">
        <f t="shared" si="13"/>
        <v>3.2437237209237998E-4</v>
      </c>
    </row>
    <row r="56" spans="13:36" x14ac:dyDescent="0.2">
      <c r="AF56" s="114">
        <f>_xll.qlCalendarAdvance(Calendar,AF55,"1d","mf",,Trigger)</f>
        <v>42810</v>
      </c>
      <c r="AG56" s="100">
        <f>_xll.qlDayCounterYearFraction(DayCounter,SettlementDate,AF56,,,Trigger)</f>
        <v>0.20277777777777778</v>
      </c>
      <c r="AH56" s="112">
        <f t="shared" si="0"/>
        <v>2.9157567115555304E-4</v>
      </c>
      <c r="AI56" s="112">
        <f t="shared" si="1"/>
        <v>3.2301812411341882E-4</v>
      </c>
      <c r="AJ56" s="112">
        <f t="shared" si="13"/>
        <v>3.2525127696706325E-4</v>
      </c>
    </row>
    <row r="57" spans="13:36" x14ac:dyDescent="0.2">
      <c r="AF57" s="114">
        <f>_xll.qlCalendarAdvance(Calendar,AF56,"1d","mf",,Trigger)</f>
        <v>42811</v>
      </c>
      <c r="AG57" s="100">
        <f>_xll.qlDayCounterYearFraction(DayCounter,SettlementDate,AF57,,,Trigger)</f>
        <v>0.20555555555555555</v>
      </c>
      <c r="AH57" s="112">
        <f t="shared" si="0"/>
        <v>2.9157567115555304E-4</v>
      </c>
      <c r="AI57" s="112">
        <f t="shared" si="1"/>
        <v>3.2416148603915939E-4</v>
      </c>
      <c r="AJ57" s="112">
        <f t="shared" si="13"/>
        <v>3.261167824923875E-4</v>
      </c>
    </row>
    <row r="58" spans="13:36" x14ac:dyDescent="0.2">
      <c r="AF58" s="114">
        <f>_xll.qlCalendarAdvance(Calendar,AF57,"1d","mf",,Trigger)</f>
        <v>42814</v>
      </c>
      <c r="AG58" s="100">
        <f>_xll.qlDayCounterYearFraction(DayCounter,SettlementDate,AF58,,,Trigger)</f>
        <v>0.21388888888888888</v>
      </c>
      <c r="AH58" s="112">
        <f t="shared" si="0"/>
        <v>2.9157567115555304E-4</v>
      </c>
      <c r="AI58" s="112">
        <f t="shared" si="1"/>
        <v>3.275915718163811E-4</v>
      </c>
      <c r="AJ58" s="112">
        <f t="shared" si="13"/>
        <v>3.2863290297220675E-4</v>
      </c>
    </row>
    <row r="59" spans="13:36" x14ac:dyDescent="0.2">
      <c r="AF59" s="114">
        <f>_xll.qlCalendarAdvance(Calendar,AF58,"1d","mf",,Trigger)</f>
        <v>42815</v>
      </c>
      <c r="AG59" s="100">
        <f>_xll.qlDayCounterYearFraction(DayCounter,SettlementDate,AF59,,,Trigger)</f>
        <v>0.21666666666666667</v>
      </c>
      <c r="AH59" s="112">
        <f t="shared" si="0"/>
        <v>2.9157567115555304E-4</v>
      </c>
      <c r="AI59" s="112">
        <f t="shared" si="1"/>
        <v>3.2873493374212172E-4</v>
      </c>
      <c r="AJ59" s="112">
        <f t="shared" si="13"/>
        <v>3.2944481110009521E-4</v>
      </c>
    </row>
    <row r="60" spans="13:36" x14ac:dyDescent="0.2">
      <c r="M60" s="85"/>
      <c r="AF60" s="114">
        <f>_xll.qlCalendarAdvance(Calendar,AF59,"1d","mf",,Trigger)</f>
        <v>42816</v>
      </c>
      <c r="AG60" s="100">
        <f>_xll.qlDayCounterYearFraction(DayCounter,SettlementDate,AF60,,,Trigger)</f>
        <v>0.21944444444444444</v>
      </c>
      <c r="AH60" s="112">
        <f t="shared" si="0"/>
        <v>2.9157567115555304E-4</v>
      </c>
      <c r="AI60" s="112">
        <f t="shared" si="1"/>
        <v>3.2987829566786229E-4</v>
      </c>
      <c r="AJ60" s="112">
        <f t="shared" si="13"/>
        <v>3.3024331987862481E-4</v>
      </c>
    </row>
    <row r="61" spans="13:36" x14ac:dyDescent="0.2">
      <c r="M61" s="85"/>
      <c r="AF61" s="114">
        <f>_xll.qlCalendarAdvance(Calendar,AF60,"1d","mf",,Trigger)</f>
        <v>42817</v>
      </c>
      <c r="AG61" s="100">
        <f>_xll.qlDayCounterYearFraction(DayCounter,SettlementDate,AF61,,,Trigger)</f>
        <v>0.22222222222222221</v>
      </c>
      <c r="AH61" s="112">
        <f t="shared" si="0"/>
        <v>2.9157567115555304E-4</v>
      </c>
      <c r="AI61" s="112">
        <f t="shared" si="1"/>
        <v>3.3102165759360286E-4</v>
      </c>
      <c r="AJ61" s="112">
        <f t="shared" si="13"/>
        <v>3.3102842930779551E-4</v>
      </c>
    </row>
    <row r="62" spans="13:36" x14ac:dyDescent="0.2">
      <c r="M62" s="85"/>
      <c r="AF62" s="114">
        <f>_xll.qlCalendarAdvance(Calendar,AF61,"1d","mf",,Trigger)</f>
        <v>42818</v>
      </c>
      <c r="AG62" s="100">
        <f>_xll.qlDayCounterYearFraction(DayCounter,SettlementDate,AF62,,,Trigger)</f>
        <v>0.22500000000000001</v>
      </c>
      <c r="AH62" s="112">
        <f t="shared" si="0"/>
        <v>2.9157567115555304E-4</v>
      </c>
      <c r="AI62" s="112">
        <f t="shared" si="1"/>
        <v>3.3216501951934343E-4</v>
      </c>
      <c r="AJ62" s="112">
        <f t="shared" si="13"/>
        <v>3.3180013938760718E-4</v>
      </c>
    </row>
    <row r="63" spans="13:36" x14ac:dyDescent="0.2">
      <c r="M63" s="85"/>
      <c r="AF63" s="114">
        <f>_xll.qlCalendarAdvance(Calendar,AF62,"1d","mf",,Trigger)</f>
        <v>42821</v>
      </c>
      <c r="AG63" s="100">
        <f>_xll.qlDayCounterYearFraction(DayCounter,SettlementDate,AF63,,,Trigger)</f>
        <v>0.23333333333333334</v>
      </c>
      <c r="AH63" s="112">
        <f t="shared" si="0"/>
        <v>2.9157567115555304E-4</v>
      </c>
      <c r="AI63" s="112">
        <f t="shared" si="1"/>
        <v>3.3559510529656514E-4</v>
      </c>
      <c r="AJ63" s="112">
        <f t="shared" si="13"/>
        <v>3.3403487353088872E-4</v>
      </c>
    </row>
    <row r="64" spans="13:36" x14ac:dyDescent="0.2">
      <c r="M64" s="85"/>
      <c r="AF64" s="114">
        <f>_xll.qlCalendarAdvance(Calendar,AF63,"1d","mf",,Trigger)</f>
        <v>42822</v>
      </c>
      <c r="AG64" s="100">
        <f>_xll.qlDayCounterYearFraction(DayCounter,SettlementDate,AF64,,,Trigger)</f>
        <v>0.2361111111111111</v>
      </c>
      <c r="AH64" s="112">
        <f t="shared" si="0"/>
        <v>2.9157567115555304E-4</v>
      </c>
      <c r="AI64" s="112">
        <f t="shared" si="1"/>
        <v>3.3673846722230571E-4</v>
      </c>
      <c r="AJ64" s="112">
        <f t="shared" si="13"/>
        <v>3.3475298621326465E-4</v>
      </c>
    </row>
    <row r="65" spans="13:36" x14ac:dyDescent="0.2">
      <c r="M65" s="85"/>
      <c r="AF65" s="118">
        <f>_xll.qlCalendarAdvance(Calendar,AF64,"1d","mf",,Trigger)</f>
        <v>42823</v>
      </c>
      <c r="AG65" s="105">
        <f>_xll.qlDayCounterYearFraction(DayCounter,SettlementDate,AF65,,,Trigger)</f>
        <v>0.2388888888888889</v>
      </c>
      <c r="AH65" s="121">
        <f t="shared" si="0"/>
        <v>2.9157567115555304E-4</v>
      </c>
      <c r="AI65" s="121">
        <f t="shared" si="1"/>
        <v>3.3788182914804628E-4</v>
      </c>
      <c r="AJ65" s="121">
        <f t="shared" si="13"/>
        <v>3.3545769954628168E-4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118</v>
      </c>
      <c r="G2" s="87" t="s">
        <v>119</v>
      </c>
      <c r="H2" s="87" t="s">
        <v>117</v>
      </c>
      <c r="I2" s="87" t="s">
        <v>120</v>
      </c>
      <c r="J2" s="87" t="s">
        <v>121</v>
      </c>
      <c r="K2" s="87" t="s">
        <v>125</v>
      </c>
      <c r="L2" s="87" t="s">
        <v>126</v>
      </c>
      <c r="M2" s="87" t="s">
        <v>96</v>
      </c>
      <c r="N2" s="88" t="s">
        <v>97</v>
      </c>
      <c r="O2" s="87" t="s">
        <v>98</v>
      </c>
      <c r="P2" s="87" t="s">
        <v>104</v>
      </c>
      <c r="W2" s="77" t="s">
        <v>94</v>
      </c>
      <c r="AA2" s="411" t="s">
        <v>93</v>
      </c>
      <c r="AB2" s="411"/>
      <c r="AC2" s="411"/>
      <c r="AF2" s="87" t="s">
        <v>80</v>
      </c>
      <c r="AG2" s="87" t="s">
        <v>117</v>
      </c>
      <c r="AH2" s="87" t="s">
        <v>34</v>
      </c>
      <c r="AI2" s="87" t="s">
        <v>87</v>
      </c>
      <c r="AJ2" s="87" t="s">
        <v>88</v>
      </c>
    </row>
    <row r="3" spans="1:36" ht="12.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42737</v>
      </c>
      <c r="E3" s="93">
        <f>_xll.qlInterestRateIndexMaturity($D$10,D3)</f>
        <v>42919</v>
      </c>
      <c r="F3" s="127">
        <f>_xll.qlYieldTSDiscount(OvernightCurve,D3,,AllTriggers)</f>
        <v>1.0000352787656608</v>
      </c>
      <c r="G3" s="127">
        <f>_xll.qlYieldTSDiscount(OvernightCurve,E3,,AllTriggers)</f>
        <v>1.0017944448536091</v>
      </c>
      <c r="H3" s="128">
        <f>_xll.qlDayCounterYearFraction(DayCounter,D3,E3,,,Trigger)</f>
        <v>0.50555555555555554</v>
      </c>
      <c r="I3" s="129">
        <f>(F3/G3-1)/H3</f>
        <v>-3.4734362950687822E-3</v>
      </c>
      <c r="J3" s="94">
        <f>'Delta 6M '!P3</f>
        <v>6.3965621964441773E-4</v>
      </c>
      <c r="K3" s="95">
        <f>_xll.qlDayCounterYearFraction(DayCounter,SettlementDate,D3,,,Trigger)</f>
        <v>0</v>
      </c>
      <c r="L3" s="95">
        <f>_xll.qlDayCounterYearFraction(DayCounter,SettlementDate,E3,,,Trigger)</f>
        <v>0.50555555555555554</v>
      </c>
      <c r="M3" s="95">
        <f>L3-K3</f>
        <v>0.50555555555555554</v>
      </c>
      <c r="N3" s="95">
        <f>(L3^2-K3^2)/2</f>
        <v>0.12779320987654319</v>
      </c>
      <c r="O3" s="95">
        <f>(L3^3-K3^3)/3</f>
        <v>4.3071044810242327E-2</v>
      </c>
      <c r="P3" s="96" t="b">
        <f>IF(D12="fixing",TRUE,FALSE)</f>
        <v>0</v>
      </c>
      <c r="R3" s="412" t="s">
        <v>90</v>
      </c>
      <c r="S3" s="72">
        <f t="array" ref="S3:S5">_xll.ohFilter(O3:O7,P3:P7)</f>
        <v>4.3071044810242327E-2</v>
      </c>
      <c r="T3" s="78">
        <f t="array" ref="T3:T5">_xll.ohFilter(N3:N7,P3:P7)</f>
        <v>0.12779320987654319</v>
      </c>
      <c r="U3" s="73">
        <f t="array" ref="U3:U5">_xll.ohFilter(M3:M7,P3:P7)</f>
        <v>0.50555555555555554</v>
      </c>
      <c r="V3" s="79"/>
      <c r="W3" s="74">
        <f t="array" ref="W3:W5">MMULT(AA3:AC5,Y3:Y5)</f>
        <v>-3.8293682640036519E-4</v>
      </c>
      <c r="X3" s="80"/>
      <c r="Y3" s="147">
        <f t="array" ref="Y3:Y5">_xll.ohFilter(J3:J7,P3:P7)</f>
        <v>6.3036469085782582E-4</v>
      </c>
      <c r="AA3" s="72">
        <f t="array" ref="AA3:AC5">MINVERSE(S3:U5)</f>
        <v>125.43711385662063</v>
      </c>
      <c r="AB3" s="78">
        <v>-252.2602731702207</v>
      </c>
      <c r="AC3" s="73">
        <v>122.73954151561821</v>
      </c>
      <c r="AF3" s="109">
        <f>SettlementDate</f>
        <v>42737</v>
      </c>
      <c r="AG3" s="100">
        <f>_xll.qlDayCounterYearFraction(DayCounter,SettlementDate,AF3,,,Trigger)</f>
        <v>0</v>
      </c>
      <c r="AH3" s="125">
        <f t="shared" ref="AH3:AH34" si="0">$W$13</f>
        <v>1.2468752126858094E-3</v>
      </c>
      <c r="AI3" s="125">
        <f t="shared" ref="AI3:AI34" si="1">$W$10+$W$9*AG3</f>
        <v>1.0721320394020172E-3</v>
      </c>
      <c r="AJ3" s="125">
        <f t="shared" ref="AJ3:AJ34" si="2">($W$5+$W$4*AG3+$W$3*AG3^2)</f>
        <v>1.0478855415885458E-3</v>
      </c>
    </row>
    <row r="4" spans="1:36" ht="12.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42737</v>
      </c>
      <c r="E4" s="98">
        <f>_xll.qlInterestRateIndexMaturity($D$10,D4)</f>
        <v>42919</v>
      </c>
      <c r="F4" s="130">
        <f>_xll.qlYieldTSDiscount(OvernightCurve,D4,,AllTriggers)</f>
        <v>1.0000352787656608</v>
      </c>
      <c r="G4" s="130">
        <f>_xll.qlYieldTSDiscount(OvernightCurve,E4,,AllTriggers)</f>
        <v>1.0017944448536091</v>
      </c>
      <c r="H4" s="131">
        <f>_xll.qlDayCounterYearFraction(DayCounter,D4,E4,,,Trigger)</f>
        <v>0.50555555555555554</v>
      </c>
      <c r="I4" s="132">
        <f t="shared" ref="I4:I7" si="3">(F4/G4-1)/H4</f>
        <v>-3.4734362950687822E-3</v>
      </c>
      <c r="J4" s="99">
        <f>LN((1+(_xll.qlInterpolationInterpolate(B6Minterpolation,D4,TRUE,AllTriggers)+I4)*H4)/(1+I4*H4))</f>
        <v>6.3036469085782582E-4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0.50555555555555554</v>
      </c>
      <c r="M4" s="100">
        <f>L4-K4</f>
        <v>0.50555555555555554</v>
      </c>
      <c r="N4" s="100">
        <f>(L4^2-K4^2)/2</f>
        <v>0.12779320987654319</v>
      </c>
      <c r="O4" s="100">
        <f>(L4^3-K4^3)/3</f>
        <v>4.3071044810242327E-2</v>
      </c>
      <c r="P4" s="101" t="b">
        <f>IF(D12="fixing",FALSE,TRUE)</f>
        <v>1</v>
      </c>
      <c r="R4" s="412"/>
      <c r="S4" s="72">
        <v>6.7860775320073161E-2</v>
      </c>
      <c r="T4" s="78">
        <v>0.16968750000000002</v>
      </c>
      <c r="U4" s="73">
        <v>0.50277777777777777</v>
      </c>
      <c r="V4" s="81" t="s">
        <v>32</v>
      </c>
      <c r="W4" s="74">
        <v>9.1627577900186413E-4</v>
      </c>
      <c r="X4" s="81" t="s">
        <v>33</v>
      </c>
      <c r="Y4" s="147">
        <v>6.5634772027659157E-4</v>
      </c>
      <c r="AA4" s="72">
        <v>-97.044305085674651</v>
      </c>
      <c r="AB4" s="78">
        <v>171.68478852661187</v>
      </c>
      <c r="AC4" s="73">
        <v>-72.112275256580418</v>
      </c>
      <c r="AF4" s="114">
        <f>_xll.qlCalendarAdvance(Calendar,AF3,"1d","mf",,Trigger)</f>
        <v>42738</v>
      </c>
      <c r="AG4" s="100">
        <f>_xll.qlDayCounterYearFraction(DayCounter,SettlementDate,AF4,,,Trigger)</f>
        <v>2.7777777777777779E-3</v>
      </c>
      <c r="AH4" s="112">
        <f t="shared" si="0"/>
        <v>1.2468752126858094E-3</v>
      </c>
      <c r="AI4" s="112">
        <f t="shared" si="1"/>
        <v>1.0740522940534873E-3</v>
      </c>
      <c r="AJ4" s="112">
        <f t="shared" si="2"/>
        <v>1.0504277973263103E-3</v>
      </c>
    </row>
    <row r="5" spans="1:36" ht="12.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42768</v>
      </c>
      <c r="E5" s="98">
        <f>_xll.qlInterestRateIndexMaturity($D$10,D5)</f>
        <v>42949</v>
      </c>
      <c r="F5" s="130">
        <f>_xll.qlYieldTSDiscount(OvernightCurve,D5,,AllTriggers)</f>
        <v>1.0003350458344147</v>
      </c>
      <c r="G5" s="130">
        <f>_xll.qlYieldTSDiscount(OvernightCurve,E5,,AllTriggers)</f>
        <v>1.002080087952258</v>
      </c>
      <c r="H5" s="131">
        <f>_xll.qlDayCounterYearFraction(DayCounter,D5,E5,,,Trigger)</f>
        <v>0.50277777777777777</v>
      </c>
      <c r="I5" s="132">
        <f t="shared" si="3"/>
        <v>-3.4635974150857879E-3</v>
      </c>
      <c r="J5" s="99">
        <f>LN((1+(_xll.qlInterpolationInterpolate(B6Minterpolation,D5,TRUE,AllTriggers)+I5)*H5)/(1+I5*H5))</f>
        <v>6.5634772027659157E-4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0.58888888888888891</v>
      </c>
      <c r="M5" s="100">
        <f>L5-K5</f>
        <v>0.50277777777777777</v>
      </c>
      <c r="N5" s="100">
        <f>(L5^2-K5^2)/2</f>
        <v>0.16968750000000002</v>
      </c>
      <c r="O5" s="100">
        <f>(L5^3-K5^3)/3</f>
        <v>6.7860775320073161E-2</v>
      </c>
      <c r="P5" s="101" t="b">
        <v>1</v>
      </c>
      <c r="R5" s="412"/>
      <c r="S5" s="72">
        <v>0.10360043724279838</v>
      </c>
      <c r="T5" s="78">
        <v>0.21814814814814817</v>
      </c>
      <c r="U5" s="73">
        <v>0.51666666666666672</v>
      </c>
      <c r="V5" s="62"/>
      <c r="W5" s="74">
        <v>1.0478855415885458E-3</v>
      </c>
      <c r="X5" s="81"/>
      <c r="Y5" s="147">
        <v>7.0161897155155675E-4</v>
      </c>
      <c r="AA5" s="72">
        <v>15.821991485309539</v>
      </c>
      <c r="AB5" s="78">
        <v>-21.906665966833909</v>
      </c>
      <c r="AC5" s="73">
        <v>7.7715273638204385</v>
      </c>
      <c r="AF5" s="114">
        <f>_xll.qlCalendarAdvance(Calendar,AF4,"1d","mf",,Trigger)</f>
        <v>42739</v>
      </c>
      <c r="AG5" s="100">
        <f>_xll.qlDayCounterYearFraction(DayCounter,SettlementDate,AF5,,,Trigger)</f>
        <v>5.5555555555555558E-3</v>
      </c>
      <c r="AH5" s="112">
        <f t="shared" si="0"/>
        <v>1.2468752126858094E-3</v>
      </c>
      <c r="AI5" s="112">
        <f t="shared" si="1"/>
        <v>1.0759725487049577E-3</v>
      </c>
      <c r="AJ5" s="112">
        <f t="shared" si="2"/>
        <v>1.0529641435451486E-3</v>
      </c>
    </row>
    <row r="6" spans="1:36" ht="12.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42796</v>
      </c>
      <c r="E6" s="98">
        <f>_xll.qlInterestRateIndexMaturity($D$10,D6)</f>
        <v>42982</v>
      </c>
      <c r="F6" s="130">
        <f>_xll.qlYieldTSDiscount(OvernightCurve,D6,,AllTriggers)</f>
        <v>1.0006059576967901</v>
      </c>
      <c r="G6" s="130">
        <f>_xll.qlYieldTSDiscount(OvernightCurve,E6,,AllTriggers)</f>
        <v>1.0023958476558112</v>
      </c>
      <c r="H6" s="131">
        <f>_xll.qlDayCounterYearFraction(DayCounter,D6,E6,,,Trigger)</f>
        <v>0.51666666666666672</v>
      </c>
      <c r="I6" s="132">
        <f t="shared" si="3"/>
        <v>-3.4560230417894407E-3</v>
      </c>
      <c r="J6" s="99">
        <f>LN((1+(_xll.qlInterpolationInterpolate(B6Minterpolation,D6,TRUE,AllTriggers)+I6)*H6)/(1+I6*H6))</f>
        <v>7.0161897155155675E-4</v>
      </c>
      <c r="K6" s="100">
        <f>_xll.qlDayCounterYearFraction(DayCounter,SettlementDate,D6,,,Trigger)</f>
        <v>0.16388888888888889</v>
      </c>
      <c r="L6" s="100">
        <f>_xll.qlDayCounterYearFraction(DayCounter,SettlementDate,E6,,,Trigger)</f>
        <v>0.68055555555555558</v>
      </c>
      <c r="M6" s="100">
        <f>L6-K6</f>
        <v>0.51666666666666672</v>
      </c>
      <c r="N6" s="100">
        <f>(L6^2-K6^2)/2</f>
        <v>0.21814814814814817</v>
      </c>
      <c r="O6" s="100">
        <f>(L6^3-K6^3)/3</f>
        <v>0.10360043724279838</v>
      </c>
      <c r="P6" s="101" t="b">
        <v>1</v>
      </c>
      <c r="W6" s="76"/>
      <c r="X6" s="69"/>
      <c r="Y6" s="70"/>
      <c r="AF6" s="114">
        <f>_xll.qlCalendarAdvance(Calendar,AF5,"1d","mf",,Trigger)</f>
        <v>42740</v>
      </c>
      <c r="AG6" s="100">
        <f>_xll.qlDayCounterYearFraction(DayCounter,SettlementDate,AF6,,,Trigger)</f>
        <v>8.3333333333333332E-3</v>
      </c>
      <c r="AH6" s="112">
        <f t="shared" si="0"/>
        <v>1.2468752126858094E-3</v>
      </c>
      <c r="AI6" s="112">
        <f t="shared" si="1"/>
        <v>1.0778928033564278E-3</v>
      </c>
      <c r="AJ6" s="112">
        <f t="shared" si="2"/>
        <v>1.0554945802450613E-3</v>
      </c>
    </row>
    <row r="7" spans="1:36" ht="12.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42828</v>
      </c>
      <c r="E7" s="103">
        <f>_xll.qlInterestRateIndexMaturity($D$10,D7)</f>
        <v>43011</v>
      </c>
      <c r="F7" s="133">
        <f>_xll.qlYieldTSDiscount(OvernightCurve,D7,,AllTriggers)</f>
        <v>1.0009153176886199</v>
      </c>
      <c r="G7" s="133">
        <f>_xll.qlYieldTSDiscount(OvernightCurve,E7,,AllTriggers)</f>
        <v>1.0026708442275565</v>
      </c>
      <c r="H7" s="134">
        <f>_xll.qlDayCounterYearFraction(DayCounter,D7,E7,,,Trigger)</f>
        <v>0.5083333333333333</v>
      </c>
      <c r="I7" s="135">
        <f t="shared" si="3"/>
        <v>-3.444295653530717E-3</v>
      </c>
      <c r="J7" s="104">
        <f>LN((1+(_xll.qlInterpolationInterpolate(B6Minterpolation,D7,TRUE,AllTriggers)+I7)*H7)/(1+I7*H7))</f>
        <v>7.2502393247898952E-4</v>
      </c>
      <c r="K7" s="105">
        <f>_xll.qlDayCounterYearFraction(DayCounter,SettlementDate,D7,,,Trigger)</f>
        <v>0.25277777777777777</v>
      </c>
      <c r="L7" s="105">
        <f>_xll.qlDayCounterYearFraction(DayCounter,SettlementDate,E7,,,Trigger)</f>
        <v>0.76111111111111107</v>
      </c>
      <c r="M7" s="105">
        <f>L7-K7</f>
        <v>0.5083333333333333</v>
      </c>
      <c r="N7" s="105">
        <f>(L7^2-K7^2)/2</f>
        <v>0.25769675925925928</v>
      </c>
      <c r="O7" s="105">
        <f>(L7^3-K7^3)/3</f>
        <v>0.14158416923868311</v>
      </c>
      <c r="P7" s="106" t="b">
        <v>0</v>
      </c>
      <c r="W7" s="76"/>
      <c r="X7" s="69"/>
      <c r="Y7" s="70"/>
      <c r="AF7" s="114">
        <f>_xll.qlCalendarAdvance(Calendar,AF6,"1d","mf",,Trigger)</f>
        <v>42741</v>
      </c>
      <c r="AG7" s="100">
        <f>_xll.qlDayCounterYearFraction(DayCounter,SettlementDate,AF7,,,Trigger)</f>
        <v>1.1111111111111112E-2</v>
      </c>
      <c r="AH7" s="112">
        <f t="shared" si="0"/>
        <v>1.2468752126858094E-3</v>
      </c>
      <c r="AI7" s="112">
        <f t="shared" si="1"/>
        <v>1.0798130580078982E-3</v>
      </c>
      <c r="AJ7" s="112">
        <f t="shared" si="2"/>
        <v>1.058019107426048E-3</v>
      </c>
    </row>
    <row r="8" spans="1:36" ht="12.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42744</v>
      </c>
      <c r="AG8" s="100">
        <f>_xll.qlDayCounterYearFraction(DayCounter,SettlementDate,AF8,,,Trigger)</f>
        <v>1.9444444444444445E-2</v>
      </c>
      <c r="AH8" s="112">
        <f t="shared" si="0"/>
        <v>1.2468752126858094E-3</v>
      </c>
      <c r="AI8" s="112">
        <f t="shared" si="1"/>
        <v>1.0855738219623088E-3</v>
      </c>
      <c r="AJ8" s="112">
        <f t="shared" si="2"/>
        <v>1.0655572318554523E-3</v>
      </c>
    </row>
    <row r="9" spans="1:36" ht="12.2" customHeight="1" x14ac:dyDescent="0.2">
      <c r="C9" s="87" t="s">
        <v>132</v>
      </c>
      <c r="D9" s="122" t="s">
        <v>37</v>
      </c>
      <c r="R9" s="411" t="s">
        <v>91</v>
      </c>
      <c r="S9" s="71"/>
      <c r="T9" s="72">
        <f t="array" ref="T9:T10">_xll.ohFilter(N3:N7,P3:P7)</f>
        <v>0.12779320987654319</v>
      </c>
      <c r="U9" s="73">
        <f t="array" ref="U9:U10">_xll.ohFilter(M3:M7,P3:P7)</f>
        <v>0.50555555555555554</v>
      </c>
      <c r="V9" s="413" t="s">
        <v>32</v>
      </c>
      <c r="W9" s="74">
        <f t="array" ref="W9:W10">MMULT(AA9:AB10,Y9:Y10)</f>
        <v>6.9129167452928846E-4</v>
      </c>
      <c r="X9" s="413" t="s">
        <v>33</v>
      </c>
      <c r="Y9" s="147">
        <f t="array" ref="Y9:Y10">_xll.ohFilter(J3:J7,P3:P7)</f>
        <v>6.3036469085782582E-4</v>
      </c>
      <c r="AA9" s="72">
        <f t="array" ref="AA9:AB10">MINVERSE(T9:U10)</f>
        <v>-23.347144658620046</v>
      </c>
      <c r="AB9" s="73">
        <v>23.476134408115186</v>
      </c>
      <c r="AF9" s="114">
        <f>_xll.qlCalendarAdvance(Calendar,AF8,"1d","mf",,Trigger)</f>
        <v>42745</v>
      </c>
      <c r="AG9" s="100">
        <f>_xll.qlDayCounterYearFraction(DayCounter,SettlementDate,AF9,,,Trigger)</f>
        <v>2.2222222222222223E-2</v>
      </c>
      <c r="AH9" s="112">
        <f t="shared" si="0"/>
        <v>1.2468752126858094E-3</v>
      </c>
      <c r="AI9" s="112">
        <f t="shared" si="1"/>
        <v>1.0874940766137792E-3</v>
      </c>
      <c r="AJ9" s="112">
        <f t="shared" si="2"/>
        <v>1.0680581209607353E-3</v>
      </c>
    </row>
    <row r="10" spans="1:36" ht="12.2" customHeight="1" x14ac:dyDescent="0.2">
      <c r="C10" s="87" t="s">
        <v>103</v>
      </c>
      <c r="D10" s="122" t="str">
        <f>PROPER(Currency)&amp;IborType&amp;$D$9</f>
        <v>Euribor6M</v>
      </c>
      <c r="R10" s="411"/>
      <c r="S10" s="71"/>
      <c r="T10" s="72">
        <v>0.16968750000000002</v>
      </c>
      <c r="U10" s="73">
        <v>0.50277777777777777</v>
      </c>
      <c r="V10" s="413"/>
      <c r="W10" s="74">
        <v>1.0721320394020172E-3</v>
      </c>
      <c r="X10" s="413"/>
      <c r="Y10" s="147">
        <v>6.5634772027659157E-4</v>
      </c>
      <c r="AA10" s="72">
        <v>7.8796613222842664</v>
      </c>
      <c r="AB10" s="73">
        <v>-5.9342450864957819</v>
      </c>
      <c r="AF10" s="114">
        <f>_xll.qlCalendarAdvance(Calendar,AF9,"1d","mf",,Trigger)</f>
        <v>42746</v>
      </c>
      <c r="AG10" s="100">
        <f>_xll.qlDayCounterYearFraction(DayCounter,SettlementDate,AF10,,,Trigger)</f>
        <v>2.5000000000000001E-2</v>
      </c>
      <c r="AH10" s="112">
        <f t="shared" si="0"/>
        <v>1.2468752126858094E-3</v>
      </c>
      <c r="AI10" s="112">
        <f t="shared" si="1"/>
        <v>1.0894143312652493E-3</v>
      </c>
      <c r="AJ10" s="112">
        <f t="shared" si="2"/>
        <v>1.0705531005470923E-3</v>
      </c>
    </row>
    <row r="11" spans="1:36" ht="12.2" customHeight="1" x14ac:dyDescent="0.2">
      <c r="C11" s="87" t="s">
        <v>124</v>
      </c>
      <c r="D11" s="123" t="s">
        <v>83</v>
      </c>
      <c r="W11" s="76"/>
      <c r="X11" s="69"/>
      <c r="Y11" s="70"/>
      <c r="AF11" s="114">
        <f>_xll.qlCalendarAdvance(Calendar,AF10,"1d","mf",,Trigger)</f>
        <v>42747</v>
      </c>
      <c r="AG11" s="100">
        <f>_xll.qlDayCounterYearFraction(DayCounter,SettlementDate,AF11,,,Trigger)</f>
        <v>2.7777777777777776E-2</v>
      </c>
      <c r="AH11" s="112">
        <f t="shared" si="0"/>
        <v>1.2468752126858094E-3</v>
      </c>
      <c r="AI11" s="112">
        <f t="shared" si="1"/>
        <v>1.0913345859167197E-3</v>
      </c>
      <c r="AJ11" s="112">
        <f t="shared" si="2"/>
        <v>1.0730421706145231E-3</v>
      </c>
    </row>
    <row r="12" spans="1:36" ht="12.2" customHeight="1" x14ac:dyDescent="0.2">
      <c r="C12" s="87" t="s">
        <v>123</v>
      </c>
      <c r="D12" s="122" t="s">
        <v>128</v>
      </c>
      <c r="Q12" s="85"/>
      <c r="W12" s="77" t="s">
        <v>30</v>
      </c>
      <c r="X12" s="69"/>
      <c r="Y12" s="70"/>
      <c r="AF12" s="114">
        <f>_xll.qlCalendarAdvance(Calendar,AF11,"1d","mf",,Trigger)</f>
        <v>42748</v>
      </c>
      <c r="AG12" s="100">
        <f>_xll.qlDayCounterYearFraction(DayCounter,SettlementDate,AF12,,,Trigger)</f>
        <v>3.0555555555555555E-2</v>
      </c>
      <c r="AH12" s="112">
        <f t="shared" si="0"/>
        <v>1.2468752126858094E-3</v>
      </c>
      <c r="AI12" s="112">
        <f t="shared" si="1"/>
        <v>1.0932548405681898E-3</v>
      </c>
      <c r="AJ12" s="112">
        <f t="shared" si="2"/>
        <v>1.0755253311630283E-3</v>
      </c>
    </row>
    <row r="13" spans="1:36" ht="12.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0.50555555555555554</v>
      </c>
      <c r="V13" s="82" t="s">
        <v>32</v>
      </c>
      <c r="W13" s="74">
        <f>MMULT(AA13,Y13)</f>
        <v>1.2468752126858094E-3</v>
      </c>
      <c r="X13" s="82" t="s">
        <v>33</v>
      </c>
      <c r="Y13" s="147">
        <f t="array" ref="Y13">_xll.ohFilter(J3:J7,P3:P7)</f>
        <v>6.3036469085782582E-4</v>
      </c>
      <c r="AA13" s="83">
        <f>MINVERSE(U13)</f>
        <v>1.9780219780219781</v>
      </c>
      <c r="AF13" s="114">
        <f>_xll.qlCalendarAdvance(Calendar,AF12,"1d","mf",,Trigger)</f>
        <v>42751</v>
      </c>
      <c r="AG13" s="100">
        <f>_xll.qlDayCounterYearFraction(DayCounter,SettlementDate,AF13,,,Trigger)</f>
        <v>3.888888888888889E-2</v>
      </c>
      <c r="AH13" s="112">
        <f t="shared" si="0"/>
        <v>1.2468752126858094E-3</v>
      </c>
      <c r="AI13" s="112">
        <f t="shared" si="1"/>
        <v>1.0990156045226007E-3</v>
      </c>
      <c r="AJ13" s="112">
        <f t="shared" si="2"/>
        <v>1.0829393556949882E-3</v>
      </c>
    </row>
    <row r="14" spans="1:36" ht="12.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117</v>
      </c>
      <c r="K14" s="88" t="s">
        <v>118</v>
      </c>
      <c r="L14" s="88" t="s">
        <v>119</v>
      </c>
      <c r="M14" s="88" t="s">
        <v>120</v>
      </c>
      <c r="N14" s="90" t="s">
        <v>92</v>
      </c>
      <c r="O14" s="90" t="s">
        <v>91</v>
      </c>
      <c r="P14" s="90" t="s">
        <v>115</v>
      </c>
      <c r="Q14" s="85"/>
      <c r="AF14" s="114">
        <f>_xll.qlCalendarAdvance(Calendar,AF13,"1d","mf",,Trigger)</f>
        <v>42752</v>
      </c>
      <c r="AG14" s="100">
        <f>_xll.qlDayCounterYearFraction(DayCounter,SettlementDate,AF14,,,Trigger)</f>
        <v>4.1666666666666664E-2</v>
      </c>
      <c r="AH14" s="112">
        <f t="shared" si="0"/>
        <v>1.2468752126858094E-3</v>
      </c>
      <c r="AI14" s="112">
        <f t="shared" si="1"/>
        <v>1.1009358591740708E-3</v>
      </c>
      <c r="AJ14" s="112">
        <f t="shared" si="2"/>
        <v>1.0853988781677896E-3</v>
      </c>
    </row>
    <row r="15" spans="1:36" ht="12.2" customHeight="1" x14ac:dyDescent="0.2">
      <c r="C15" s="107" t="s">
        <v>38</v>
      </c>
      <c r="D15" s="108">
        <f t="shared" ref="D15:D24" si="5">SettlementDate</f>
        <v>42737</v>
      </c>
      <c r="E15" s="109">
        <f>_xll.qlCalendarAdvance(Calendar,SettlementDate,C15,"Following",,Trigger)</f>
        <v>42738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_xll.qlYieldTSDiscount(OvernightCurve,D15,,AllTriggers)</f>
        <v>1.0000352787656608</v>
      </c>
      <c r="L15" s="137">
        <f>_xll.qlYieldTSDiscount(OvernightCurve,E15,,AllTriggers)</f>
        <v>1.0000455570117563</v>
      </c>
      <c r="M15" s="148">
        <f>(K15/L15-1)/J15</f>
        <v>-3.7000000334774796E-3</v>
      </c>
      <c r="N15" s="112">
        <f t="shared" ref="N15:N24" si="6">((1+M15*J15)*EXP($W$13*J15)-1)/J15</f>
        <v>-2.4531354765944258E-3</v>
      </c>
      <c r="O15" s="112">
        <f>((1+J15*M15)*EXP($W$10*J15+0.5*$W$9*J15^2)-1)/J15</f>
        <v>-2.6269172964088483E-3</v>
      </c>
      <c r="P15" s="112">
        <f>((1+J15*M15)*EXP($W$5*J15+0.5*$W$4*J15^2+1/3*$W$3*J15^3)-1)/J15</f>
        <v>-2.6508521257673223E-3</v>
      </c>
      <c r="Q15" s="85"/>
      <c r="AF15" s="114">
        <f>_xll.qlCalendarAdvance(Calendar,AF14,"1d","mf",,Trigger)</f>
        <v>42753</v>
      </c>
      <c r="AG15" s="100">
        <f>_xll.qlDayCounterYearFraction(DayCounter,SettlementDate,AF15,,,Trigger)</f>
        <v>4.4444444444444446E-2</v>
      </c>
      <c r="AH15" s="112">
        <f t="shared" si="0"/>
        <v>1.2468752126858094E-3</v>
      </c>
      <c r="AI15" s="112">
        <f t="shared" si="1"/>
        <v>1.1028561138255412E-3</v>
      </c>
      <c r="AJ15" s="112">
        <f t="shared" si="2"/>
        <v>1.0878524911216651E-3</v>
      </c>
    </row>
    <row r="16" spans="1:36" ht="12.2" customHeight="1" x14ac:dyDescent="0.2">
      <c r="C16" s="113" t="s">
        <v>39</v>
      </c>
      <c r="D16" s="98">
        <f>SettlementDate</f>
        <v>42737</v>
      </c>
      <c r="E16" s="114">
        <f>_xll.qlCalendarAdvance(Calendar,SettlementDate,C16,"Following",,Trigger)</f>
        <v>42744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_xll.qlYieldTSDiscount(OvernightCurve,D16,,AllTriggers)</f>
        <v>1.0000352787656608</v>
      </c>
      <c r="L16" s="139">
        <f>_xll.qlYieldTSDiscount(OvernightCurve,E16,,AllTriggers)</f>
        <v>1.0001031468769588</v>
      </c>
      <c r="M16" s="149">
        <f t="shared" ref="M16:M24" si="7">(K16/L16-1)/J16</f>
        <v>-3.4900000270075638E-3</v>
      </c>
      <c r="N16" s="112">
        <f t="shared" si="6"/>
        <v>-2.2431943144482092E-3</v>
      </c>
      <c r="O16" s="112">
        <f t="shared" ref="O16:O24" si="8">((1+J16*M16)*EXP($W$10*J16+0.5*$W$9*J16^2)-1)/J16</f>
        <v>-2.4112089932521691E-3</v>
      </c>
      <c r="P16" s="112">
        <f t="shared" ref="P16:P24" si="9">((1+J16*M16)*EXP($W$5*J16+0.5*$W$4*J16^2+1/3*$W$3*J16^3)-1)/J16</f>
        <v>-2.4333153654249834E-3</v>
      </c>
      <c r="Q16" s="85"/>
      <c r="AF16" s="114">
        <f>_xll.qlCalendarAdvance(Calendar,AF15,"1d","mf",,Trigger)</f>
        <v>42754</v>
      </c>
      <c r="AG16" s="100">
        <f>_xll.qlDayCounterYearFraction(DayCounter,SettlementDate,AF16,,,Trigger)</f>
        <v>4.7222222222222221E-2</v>
      </c>
      <c r="AH16" s="112">
        <f t="shared" si="0"/>
        <v>1.2468752126858094E-3</v>
      </c>
      <c r="AI16" s="112">
        <f t="shared" si="1"/>
        <v>1.1047763684770113E-3</v>
      </c>
      <c r="AJ16" s="112">
        <f t="shared" si="2"/>
        <v>1.0903001945566145E-3</v>
      </c>
    </row>
    <row r="17" spans="3:36" ht="12.2" customHeight="1" x14ac:dyDescent="0.2">
      <c r="C17" s="113" t="s">
        <v>40</v>
      </c>
      <c r="D17" s="98">
        <f t="shared" si="5"/>
        <v>42737</v>
      </c>
      <c r="E17" s="114">
        <f>_xll.qlCalendarAdvance(Calendar,SettlementDate,C17,"Following",,Trigger)</f>
        <v>42751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_xll.qlYieldTSDiscount(OvernightCurve,D17,,AllTriggers)</f>
        <v>1.0000352787656608</v>
      </c>
      <c r="L17" s="139">
        <f>_xll.qlYieldTSDiscount(OvernightCurve,E17,,AllTriggers)</f>
        <v>1.0001710242001607</v>
      </c>
      <c r="M17" s="149">
        <f t="shared" si="7"/>
        <v>-3.4900000126790254E-3</v>
      </c>
      <c r="N17" s="112">
        <f t="shared" si="6"/>
        <v>-2.2432638020467416E-3</v>
      </c>
      <c r="O17" s="112">
        <f t="shared" si="8"/>
        <v>-2.4045506152917512E-3</v>
      </c>
      <c r="P17" s="112">
        <f t="shared" si="9"/>
        <v>-2.424613582370862E-3</v>
      </c>
      <c r="Q17" s="85"/>
      <c r="AF17" s="114">
        <f>_xll.qlCalendarAdvance(Calendar,AF16,"1d","mf",,Trigger)</f>
        <v>42755</v>
      </c>
      <c r="AG17" s="100">
        <f>_xll.qlDayCounterYearFraction(DayCounter,SettlementDate,AF17,,,Trigger)</f>
        <v>0.05</v>
      </c>
      <c r="AH17" s="112">
        <f t="shared" si="0"/>
        <v>1.2468752126858094E-3</v>
      </c>
      <c r="AI17" s="112">
        <f t="shared" si="1"/>
        <v>1.1066966231284817E-3</v>
      </c>
      <c r="AJ17" s="112">
        <f t="shared" si="2"/>
        <v>1.0927419884726381E-3</v>
      </c>
    </row>
    <row r="18" spans="3:36" ht="12.2" customHeight="1" x14ac:dyDescent="0.2">
      <c r="C18" s="113" t="s">
        <v>41</v>
      </c>
      <c r="D18" s="98">
        <f t="shared" si="5"/>
        <v>42737</v>
      </c>
      <c r="E18" s="114">
        <f>_xll.qlCalendarAdvance(Calendar,SettlementDate,C18,"Following",,Trigger)</f>
        <v>42758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_xll.qlYieldTSDiscount(OvernightCurve,D18,,AllTriggers)</f>
        <v>1.0000352787656608</v>
      </c>
      <c r="L18" s="139">
        <f>_xll.qlYieldTSDiscount(OvernightCurve,E18,,AllTriggers)</f>
        <v>1.0002389107372385</v>
      </c>
      <c r="M18" s="149">
        <f t="shared" si="7"/>
        <v>-3.4900000000024989E-3</v>
      </c>
      <c r="N18" s="112">
        <f t="shared" si="6"/>
        <v>-2.2433332931091699E-3</v>
      </c>
      <c r="O18" s="112">
        <f t="shared" si="8"/>
        <v>-2.3978928671304039E-3</v>
      </c>
      <c r="P18" s="112">
        <f t="shared" si="9"/>
        <v>-2.4160091342206869E-3</v>
      </c>
      <c r="Q18" s="85"/>
      <c r="AF18" s="114">
        <f>_xll.qlCalendarAdvance(Calendar,AF17,"1d","mf",,Trigger)</f>
        <v>42758</v>
      </c>
      <c r="AG18" s="100">
        <f>_xll.qlDayCounterYearFraction(DayCounter,SettlementDate,AF18,,,Trigger)</f>
        <v>5.8333333333333334E-2</v>
      </c>
      <c r="AH18" s="112">
        <f t="shared" si="0"/>
        <v>1.2468752126858094E-3</v>
      </c>
      <c r="AI18" s="112">
        <f t="shared" si="1"/>
        <v>1.1124573870828923E-3</v>
      </c>
      <c r="AJ18" s="112">
        <f t="shared" si="2"/>
        <v>1.1000319131071535E-3</v>
      </c>
    </row>
    <row r="19" spans="3:36" ht="12.2" customHeight="1" x14ac:dyDescent="0.2">
      <c r="C19" s="113" t="s">
        <v>35</v>
      </c>
      <c r="D19" s="98">
        <f t="shared" si="5"/>
        <v>42737</v>
      </c>
      <c r="E19" s="114">
        <f>_xll.qlCalendarAdvance(Calendar,SettlementDate,C19,"mf",TRUE,Trigger)</f>
        <v>42768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_xll.qlYieldTSDiscount(OvernightCurve,D19,,AllTriggers)</f>
        <v>1.0000352787656608</v>
      </c>
      <c r="L19" s="139">
        <f>_xll.qlYieldTSDiscount(OvernightCurve,E19,,AllTriggers)</f>
        <v>1.0003350458344147</v>
      </c>
      <c r="M19" s="149">
        <f t="shared" si="7"/>
        <v>-3.4800000002182547E-3</v>
      </c>
      <c r="N19" s="112">
        <f t="shared" si="6"/>
        <v>-2.2334315137575731E-3</v>
      </c>
      <c r="O19" s="112">
        <f t="shared" si="8"/>
        <v>-2.3783819522599403E-3</v>
      </c>
      <c r="P19" s="112">
        <f t="shared" si="9"/>
        <v>-2.3938849563146405E-3</v>
      </c>
      <c r="Q19" s="85"/>
      <c r="AF19" s="114">
        <f>_xll.qlCalendarAdvance(Calendar,AF18,"1d","mf",,Trigger)</f>
        <v>42759</v>
      </c>
      <c r="AG19" s="100">
        <f>_xll.qlDayCounterYearFraction(DayCounter,SettlementDate,AF19,,,Trigger)</f>
        <v>6.1111111111111109E-2</v>
      </c>
      <c r="AH19" s="112">
        <f t="shared" si="0"/>
        <v>1.2468752126858094E-3</v>
      </c>
      <c r="AI19" s="112">
        <f t="shared" si="1"/>
        <v>1.1143776417343626E-3</v>
      </c>
      <c r="AJ19" s="112">
        <f t="shared" si="2"/>
        <v>1.1024500689474732E-3</v>
      </c>
    </row>
    <row r="20" spans="3:36" ht="12.2" customHeight="1" x14ac:dyDescent="0.2">
      <c r="C20" s="113" t="s">
        <v>42</v>
      </c>
      <c r="D20" s="98">
        <f t="shared" si="5"/>
        <v>42737</v>
      </c>
      <c r="E20" s="114">
        <f>_xll.qlCalendarAdvance(Calendar,SettlementDate,C20,"mf",TRUE,Trigger)</f>
        <v>42796</v>
      </c>
      <c r="F20" s="136"/>
      <c r="G20" s="136"/>
      <c r="H20" s="136"/>
      <c r="I20" s="136"/>
      <c r="J20" s="100">
        <f>_xll.qlDayCounterYearFraction(DayCounter,D20,E20,,,Trigger)</f>
        <v>0.16388888888888889</v>
      </c>
      <c r="K20" s="139">
        <f>_xll.qlYieldTSDiscount(OvernightCurve,D20,,AllTriggers)</f>
        <v>1.0000352787656608</v>
      </c>
      <c r="L20" s="139">
        <f>_xll.qlYieldTSDiscount(OvernightCurve,E20,,AllTriggers)</f>
        <v>1.0006059576967901</v>
      </c>
      <c r="M20" s="149">
        <f t="shared" si="7"/>
        <v>-3.4799999995299043E-3</v>
      </c>
      <c r="N20" s="112">
        <f t="shared" si="6"/>
        <v>-2.2337085864789059E-3</v>
      </c>
      <c r="O20" s="112">
        <f t="shared" si="8"/>
        <v>-2.3517598726646998E-3</v>
      </c>
      <c r="P20" s="112">
        <f t="shared" si="9"/>
        <v>-2.3609951110441581E-3</v>
      </c>
      <c r="Q20" s="85"/>
      <c r="AF20" s="114">
        <f>_xll.qlCalendarAdvance(Calendar,AF19,"1d","mf",,Trigger)</f>
        <v>42760</v>
      </c>
      <c r="AG20" s="100">
        <f>_xll.qlDayCounterYearFraction(DayCounter,SettlementDate,AF20,,,Trigger)</f>
        <v>6.3888888888888884E-2</v>
      </c>
      <c r="AH20" s="112">
        <f t="shared" si="0"/>
        <v>1.2468752126858094E-3</v>
      </c>
      <c r="AI20" s="112">
        <f t="shared" si="1"/>
        <v>1.1162978963858328E-3</v>
      </c>
      <c r="AJ20" s="112">
        <f t="shared" si="2"/>
        <v>1.1048623152688671E-3</v>
      </c>
    </row>
    <row r="21" spans="3:36" ht="12.2" customHeight="1" x14ac:dyDescent="0.2">
      <c r="C21" s="113" t="s">
        <v>36</v>
      </c>
      <c r="D21" s="98">
        <f t="shared" si="5"/>
        <v>42737</v>
      </c>
      <c r="E21" s="114">
        <f>_xll.qlCalendarAdvance(Calendar,SettlementDate,C21,"mf",TRUE,Trigger)</f>
        <v>42828</v>
      </c>
      <c r="F21" s="136"/>
      <c r="G21" s="136"/>
      <c r="H21" s="136"/>
      <c r="I21" s="136"/>
      <c r="J21" s="100">
        <f>_xll.qlDayCounterYearFraction(DayCounter,D21,E21,,,Trigger)</f>
        <v>0.25277777777777777</v>
      </c>
      <c r="K21" s="139">
        <f>_xll.qlYieldTSDiscount(OvernightCurve,D21,,AllTriggers)</f>
        <v>1.0000352787656608</v>
      </c>
      <c r="L21" s="139">
        <f>_xll.qlYieldTSDiscount(OvernightCurve,E21,,AllTriggers)</f>
        <v>1.0009153176886199</v>
      </c>
      <c r="M21" s="149">
        <f t="shared" si="7"/>
        <v>-3.4782889228784737E-3</v>
      </c>
      <c r="N21" s="112">
        <f t="shared" si="6"/>
        <v>-2.2323136610659699E-3</v>
      </c>
      <c r="O21" s="112">
        <f t="shared" si="8"/>
        <v>-2.319634981455381E-3</v>
      </c>
      <c r="P21" s="112">
        <f t="shared" si="9"/>
        <v>-2.323599781202796E-3</v>
      </c>
      <c r="Q21" s="85"/>
      <c r="AF21" s="114">
        <f>_xll.qlCalendarAdvance(Calendar,AF20,"1d","mf",,Trigger)</f>
        <v>42761</v>
      </c>
      <c r="AG21" s="100">
        <f>_xll.qlDayCounterYearFraction(DayCounter,SettlementDate,AF21,,,Trigger)</f>
        <v>6.6666666666666666E-2</v>
      </c>
      <c r="AH21" s="112">
        <f t="shared" si="0"/>
        <v>1.2468752126858094E-3</v>
      </c>
      <c r="AI21" s="112">
        <f t="shared" si="1"/>
        <v>1.1182181510373031E-3</v>
      </c>
      <c r="AJ21" s="112">
        <f t="shared" si="2"/>
        <v>1.1072686520713351E-3</v>
      </c>
    </row>
    <row r="22" spans="3:36" ht="12.2" customHeight="1" x14ac:dyDescent="0.2">
      <c r="C22" s="113" t="s">
        <v>43</v>
      </c>
      <c r="D22" s="98">
        <f t="shared" si="5"/>
        <v>42737</v>
      </c>
      <c r="E22" s="114">
        <f>_xll.qlCalendarAdvance(Calendar,SettlementDate,C22,"mf",TRUE,Trigger)</f>
        <v>42857</v>
      </c>
      <c r="F22" s="136"/>
      <c r="G22" s="136"/>
      <c r="H22" s="136"/>
      <c r="I22" s="136"/>
      <c r="J22" s="100">
        <f>_xll.qlDayCounterYearFraction(DayCounter,D22,E22,,,Trigger)</f>
        <v>0.33333333333333331</v>
      </c>
      <c r="K22" s="139">
        <f>_xll.qlYieldTSDiscount(OvernightCurve,D22,,AllTriggers)</f>
        <v>1.0000352787656608</v>
      </c>
      <c r="L22" s="139">
        <f>_xll.qlYieldTSDiscount(OvernightCurve,E22,,AllTriggers)</f>
        <v>1.0011968203438091</v>
      </c>
      <c r="M22" s="149">
        <f t="shared" si="7"/>
        <v>-3.4804592500088383E-3</v>
      </c>
      <c r="N22" s="112">
        <f t="shared" si="6"/>
        <v>-2.2347717519005661E-3</v>
      </c>
      <c r="O22" s="112">
        <f t="shared" si="8"/>
        <v>-2.2942547121925783E-3</v>
      </c>
      <c r="P22" s="112">
        <f t="shared" si="9"/>
        <v>-2.2951859917956785E-3</v>
      </c>
      <c r="Q22" s="85"/>
      <c r="AF22" s="114">
        <f>_xll.qlCalendarAdvance(Calendar,AF21,"1d","mf",,Trigger)</f>
        <v>42762</v>
      </c>
      <c r="AG22" s="100">
        <f>_xll.qlDayCounterYearFraction(DayCounter,SettlementDate,AF22,,,Trigger)</f>
        <v>6.9444444444444448E-2</v>
      </c>
      <c r="AH22" s="112">
        <f t="shared" si="0"/>
        <v>1.2468752126858094E-3</v>
      </c>
      <c r="AI22" s="112">
        <f t="shared" si="1"/>
        <v>1.1201384056887733E-3</v>
      </c>
      <c r="AJ22" s="112">
        <f t="shared" si="2"/>
        <v>1.1096690793548772E-3</v>
      </c>
    </row>
    <row r="23" spans="3:36" ht="12.2" customHeight="1" x14ac:dyDescent="0.2">
      <c r="C23" s="113" t="s">
        <v>44</v>
      </c>
      <c r="D23" s="98">
        <f t="shared" si="5"/>
        <v>42737</v>
      </c>
      <c r="E23" s="114">
        <f>_xll.qlCalendarAdvance(Calendar,SettlementDate,C23,"mf",TRUE,Trigger)</f>
        <v>42888</v>
      </c>
      <c r="F23" s="136"/>
      <c r="G23" s="136"/>
      <c r="H23" s="136"/>
      <c r="I23" s="136"/>
      <c r="J23" s="100">
        <f>_xll.qlDayCounterYearFraction(DayCounter,D23,E23,,,Trigger)</f>
        <v>0.41944444444444445</v>
      </c>
      <c r="K23" s="139">
        <f>_xll.qlYieldTSDiscount(OvernightCurve,D23,,AllTriggers)</f>
        <v>1.0000352787656608</v>
      </c>
      <c r="L23" s="139">
        <f>_xll.qlYieldTSDiscount(OvernightCurve,E23,,AllTriggers)</f>
        <v>1.0014961447971529</v>
      </c>
      <c r="M23" s="149">
        <f t="shared" si="7"/>
        <v>-3.4776563353963491E-3</v>
      </c>
      <c r="N23" s="112">
        <f t="shared" si="6"/>
        <v>-2.2322742833389506E-3</v>
      </c>
      <c r="O23" s="112">
        <f t="shared" si="8"/>
        <v>-2.2620101763888246E-3</v>
      </c>
      <c r="P23" s="112">
        <f t="shared" si="9"/>
        <v>-2.2615301205413003E-3</v>
      </c>
      <c r="Q23" s="85"/>
      <c r="AF23" s="114">
        <f>_xll.qlCalendarAdvance(Calendar,AF22,"1d","mf",,Trigger)</f>
        <v>42765</v>
      </c>
      <c r="AG23" s="100">
        <f>_xll.qlDayCounterYearFraction(DayCounter,SettlementDate,AF23,,,Trigger)</f>
        <v>7.7777777777777779E-2</v>
      </c>
      <c r="AH23" s="112">
        <f t="shared" si="0"/>
        <v>1.2468752126858094E-3</v>
      </c>
      <c r="AI23" s="112">
        <f t="shared" si="1"/>
        <v>1.1258991696431841E-3</v>
      </c>
      <c r="AJ23" s="112">
        <f t="shared" si="2"/>
        <v>1.1168349040919479E-3</v>
      </c>
    </row>
    <row r="24" spans="3:36" ht="12.2" customHeight="1" x14ac:dyDescent="0.2">
      <c r="C24" s="117" t="s">
        <v>37</v>
      </c>
      <c r="D24" s="103">
        <f t="shared" si="5"/>
        <v>42737</v>
      </c>
      <c r="E24" s="118">
        <f>_xll.qlCalendarAdvance(Calendar,SettlementDate,C24,"mf",TRUE,Trigger)</f>
        <v>42919</v>
      </c>
      <c r="F24" s="140"/>
      <c r="G24" s="140"/>
      <c r="H24" s="140"/>
      <c r="I24" s="140"/>
      <c r="J24" s="105">
        <f>_xll.qlDayCounterYearFraction(DayCounter,D24,E24,,,Trigger)</f>
        <v>0.50555555555555554</v>
      </c>
      <c r="K24" s="141">
        <f>_xll.qlYieldTSDiscount(OvernightCurve,D24,,AllTriggers)</f>
        <v>1.0000352787656608</v>
      </c>
      <c r="L24" s="141">
        <f>_xll.qlYieldTSDiscount(OvernightCurve,E24,,AllTriggers)</f>
        <v>1.0017944448536091</v>
      </c>
      <c r="M24" s="150">
        <f t="shared" si="7"/>
        <v>-3.4734362950687822E-3</v>
      </c>
      <c r="N24" s="121">
        <f t="shared" si="6"/>
        <v>-2.2283582285826625E-3</v>
      </c>
      <c r="O24" s="121">
        <f t="shared" si="8"/>
        <v>-2.2283582285826625E-3</v>
      </c>
      <c r="P24" s="121">
        <f t="shared" si="9"/>
        <v>-2.2283582285826625E-3</v>
      </c>
      <c r="AF24" s="114">
        <f>_xll.qlCalendarAdvance(Calendar,AF23,"1d","mf",,Trigger)</f>
        <v>42766</v>
      </c>
      <c r="AG24" s="100">
        <f>_xll.qlDayCounterYearFraction(DayCounter,SettlementDate,AF24,,,Trigger)</f>
        <v>8.0555555555555561E-2</v>
      </c>
      <c r="AH24" s="112">
        <f t="shared" si="0"/>
        <v>1.2468752126858094E-3</v>
      </c>
      <c r="AI24" s="112">
        <f t="shared" si="1"/>
        <v>1.1278194242946543E-3</v>
      </c>
      <c r="AJ24" s="112">
        <f t="shared" si="2"/>
        <v>1.1192116932997862E-3</v>
      </c>
    </row>
    <row r="25" spans="3:36" ht="12.2" customHeight="1" x14ac:dyDescent="0.2">
      <c r="AF25" s="114">
        <f>_xll.qlCalendarAdvance(Calendar,AF24,"1d","mf",,Trigger)</f>
        <v>42767</v>
      </c>
      <c r="AG25" s="100">
        <f>_xll.qlDayCounterYearFraction(DayCounter,SettlementDate,AF25,,,Trigger)</f>
        <v>8.3333333333333329E-2</v>
      </c>
      <c r="AH25" s="112">
        <f t="shared" si="0"/>
        <v>1.2468752126858094E-3</v>
      </c>
      <c r="AI25" s="112">
        <f t="shared" si="1"/>
        <v>1.1297396789461246E-3</v>
      </c>
      <c r="AJ25" s="112">
        <f t="shared" si="2"/>
        <v>1.1215825729886987E-3</v>
      </c>
    </row>
    <row r="26" spans="3:36" ht="12.2" customHeight="1" x14ac:dyDescent="0.2">
      <c r="C26" s="87" t="s">
        <v>105</v>
      </c>
      <c r="AF26" s="114">
        <f>_xll.qlCalendarAdvance(Calendar,AF25,"1d","mf",,Trigger)</f>
        <v>42768</v>
      </c>
      <c r="AG26" s="100">
        <f>_xll.qlDayCounterYearFraction(DayCounter,SettlementDate,AF26,,,Trigger)</f>
        <v>8.611111111111111E-2</v>
      </c>
      <c r="AH26" s="112">
        <f t="shared" si="0"/>
        <v>1.2468752126858094E-3</v>
      </c>
      <c r="AI26" s="112">
        <f t="shared" si="1"/>
        <v>1.1316599335975948E-3</v>
      </c>
      <c r="AJ26" s="112">
        <f t="shared" si="2"/>
        <v>1.1239475431586853E-3</v>
      </c>
    </row>
    <row r="27" spans="3:36" ht="12.2" customHeight="1" x14ac:dyDescent="0.2">
      <c r="C27" s="124" t="s">
        <v>91</v>
      </c>
      <c r="AF27" s="114">
        <f>_xll.qlCalendarAdvance(Calendar,AF26,"1d","mf",,Trigger)</f>
        <v>42769</v>
      </c>
      <c r="AG27" s="100">
        <f>_xll.qlDayCounterYearFraction(DayCounter,SettlementDate,AF27,,,Trigger)</f>
        <v>8.8888888888888892E-2</v>
      </c>
      <c r="AH27" s="112">
        <f t="shared" si="0"/>
        <v>1.2468752126858094E-3</v>
      </c>
      <c r="AI27" s="112">
        <f t="shared" si="1"/>
        <v>1.1335801882490651E-3</v>
      </c>
      <c r="AJ27" s="112">
        <f t="shared" si="2"/>
        <v>1.1263066038097456E-3</v>
      </c>
    </row>
    <row r="28" spans="3:36" ht="12.2" customHeight="1" x14ac:dyDescent="0.2">
      <c r="C28" s="112">
        <f t="shared" ref="C28:C37" si="10">IF($C$27="FLAT",N15,IF($C$27="linear",O15,P15))</f>
        <v>-2.6269172964088483E-3</v>
      </c>
      <c r="AF28" s="114">
        <f>_xll.qlCalendarAdvance(Calendar,AF27,"1d","mf",,Trigger)</f>
        <v>42772</v>
      </c>
      <c r="AG28" s="100">
        <f>_xll.qlDayCounterYearFraction(DayCounter,SettlementDate,AF28,,,Trigger)</f>
        <v>9.7222222222222224E-2</v>
      </c>
      <c r="AH28" s="112">
        <f t="shared" si="0"/>
        <v>1.2468752126858094E-3</v>
      </c>
      <c r="AI28" s="112">
        <f t="shared" si="1"/>
        <v>1.1393409522034758E-3</v>
      </c>
      <c r="AJ28" s="112">
        <f t="shared" si="2"/>
        <v>1.1333483286493718E-3</v>
      </c>
    </row>
    <row r="29" spans="3:36" ht="12.2" customHeight="1" x14ac:dyDescent="0.2">
      <c r="C29" s="112">
        <f t="shared" si="10"/>
        <v>-2.4112089932521691E-3</v>
      </c>
      <c r="AF29" s="114">
        <f>_xll.qlCalendarAdvance(Calendar,AF28,"1d","mf",,Trigger)</f>
        <v>42773</v>
      </c>
      <c r="AG29" s="100">
        <f>_xll.qlDayCounterYearFraction(DayCounter,SettlementDate,AF29,,,Trigger)</f>
        <v>0.1</v>
      </c>
      <c r="AH29" s="112">
        <f t="shared" si="0"/>
        <v>1.2468752126858094E-3</v>
      </c>
      <c r="AI29" s="112">
        <f t="shared" si="1"/>
        <v>1.1412612068549461E-3</v>
      </c>
      <c r="AJ29" s="112">
        <f t="shared" si="2"/>
        <v>1.1356837512247287E-3</v>
      </c>
    </row>
    <row r="30" spans="3:36" ht="12.2" customHeight="1" x14ac:dyDescent="0.2">
      <c r="C30" s="112">
        <f t="shared" si="10"/>
        <v>-2.4045506152917512E-3</v>
      </c>
      <c r="AF30" s="114">
        <f>_xll.qlCalendarAdvance(Calendar,AF29,"1d","mf",,Trigger)</f>
        <v>42774</v>
      </c>
      <c r="AG30" s="100">
        <f>_xll.qlDayCounterYearFraction(DayCounter,SettlementDate,AF30,,,Trigger)</f>
        <v>0.10277777777777777</v>
      </c>
      <c r="AH30" s="112">
        <f t="shared" si="0"/>
        <v>1.2468752126858094E-3</v>
      </c>
      <c r="AI30" s="112">
        <f t="shared" si="1"/>
        <v>1.1431814615064163E-3</v>
      </c>
      <c r="AJ30" s="112">
        <f t="shared" si="2"/>
        <v>1.1380132642811595E-3</v>
      </c>
    </row>
    <row r="31" spans="3:36" ht="12.2" customHeight="1" x14ac:dyDescent="0.2">
      <c r="C31" s="112">
        <f t="shared" si="10"/>
        <v>-2.3978928671304039E-3</v>
      </c>
      <c r="AF31" s="114">
        <f>_xll.qlCalendarAdvance(Calendar,AF30,"1d","mf",,Trigger)</f>
        <v>42775</v>
      </c>
      <c r="AG31" s="100">
        <f>_xll.qlDayCounterYearFraction(DayCounter,SettlementDate,AF31,,,Trigger)</f>
        <v>0.10555555555555556</v>
      </c>
      <c r="AH31" s="112">
        <f t="shared" si="0"/>
        <v>1.2468752126858094E-3</v>
      </c>
      <c r="AI31" s="112">
        <f t="shared" si="1"/>
        <v>1.1451017161578866E-3</v>
      </c>
      <c r="AJ31" s="112">
        <f t="shared" si="2"/>
        <v>1.1403368678186644E-3</v>
      </c>
    </row>
    <row r="32" spans="3:36" ht="12.2" customHeight="1" x14ac:dyDescent="0.2">
      <c r="C32" s="112">
        <f t="shared" si="10"/>
        <v>-2.3783819522599403E-3</v>
      </c>
      <c r="AF32" s="114">
        <f>_xll.qlCalendarAdvance(Calendar,AF31,"1d","mf",,Trigger)</f>
        <v>42776</v>
      </c>
      <c r="AG32" s="100">
        <f>_xll.qlDayCounterYearFraction(DayCounter,SettlementDate,AF32,,,Trigger)</f>
        <v>0.10833333333333334</v>
      </c>
      <c r="AH32" s="112">
        <f t="shared" si="0"/>
        <v>1.2468752126858094E-3</v>
      </c>
      <c r="AI32" s="112">
        <f t="shared" si="1"/>
        <v>1.1470219708093568E-3</v>
      </c>
      <c r="AJ32" s="112">
        <f t="shared" si="2"/>
        <v>1.1426545618372435E-3</v>
      </c>
    </row>
    <row r="33" spans="3:36" ht="12.2" customHeight="1" x14ac:dyDescent="0.2">
      <c r="C33" s="112">
        <f t="shared" si="10"/>
        <v>-2.3517598726646998E-3</v>
      </c>
      <c r="AF33" s="114">
        <f>_xll.qlCalendarAdvance(Calendar,AF32,"1d","mf",,Trigger)</f>
        <v>42779</v>
      </c>
      <c r="AG33" s="100">
        <f>_xll.qlDayCounterYearFraction(DayCounter,SettlementDate,AF33,,,Trigger)</f>
        <v>0.11666666666666667</v>
      </c>
      <c r="AH33" s="112">
        <f t="shared" si="0"/>
        <v>1.2468752126858094E-3</v>
      </c>
      <c r="AI33" s="112">
        <f t="shared" si="1"/>
        <v>1.1527827347637676E-3</v>
      </c>
      <c r="AJ33" s="112">
        <f t="shared" si="2"/>
        <v>1.149572186779425E-3</v>
      </c>
    </row>
    <row r="34" spans="3:36" ht="12.2" customHeight="1" x14ac:dyDescent="0.2">
      <c r="C34" s="112">
        <f t="shared" si="10"/>
        <v>-2.319634981455381E-3</v>
      </c>
      <c r="AF34" s="114">
        <f>_xll.qlCalendarAdvance(Calendar,AF33,"1d","mf",,Trigger)</f>
        <v>42780</v>
      </c>
      <c r="AG34" s="100">
        <f>_xll.qlDayCounterYearFraction(DayCounter,SettlementDate,AF34,,,Trigger)</f>
        <v>0.11944444444444445</v>
      </c>
      <c r="AH34" s="112">
        <f t="shared" si="0"/>
        <v>1.2468752126858094E-3</v>
      </c>
      <c r="AI34" s="112">
        <f t="shared" si="1"/>
        <v>1.1547029894152377E-3</v>
      </c>
      <c r="AJ34" s="112">
        <f t="shared" si="2"/>
        <v>1.1518662427223005E-3</v>
      </c>
    </row>
    <row r="35" spans="3:36" ht="12.2" customHeight="1" x14ac:dyDescent="0.2">
      <c r="C35" s="112">
        <f t="shared" si="10"/>
        <v>-2.2942547121925783E-3</v>
      </c>
      <c r="AF35" s="114">
        <f>_xll.qlCalendarAdvance(Calendar,AF34,"1d","mf",,Trigger)</f>
        <v>42781</v>
      </c>
      <c r="AG35" s="100">
        <f>_xll.qlDayCounterYearFraction(DayCounter,SettlementDate,AF35,,,Trigger)</f>
        <v>0.12222222222222222</v>
      </c>
      <c r="AH35" s="112">
        <f t="shared" ref="AH35:AH66" si="11">$W$13</f>
        <v>1.2468752126858094E-3</v>
      </c>
      <c r="AI35" s="112">
        <f t="shared" ref="AI35:AI66" si="12">$W$10+$W$9*AG35</f>
        <v>1.1566232440667081E-3</v>
      </c>
      <c r="AJ35" s="112">
        <f t="shared" ref="AJ35:AJ66" si="13">($W$5+$W$4*AG35+$W$3*AG35^2)</f>
        <v>1.1541543891462498E-3</v>
      </c>
    </row>
    <row r="36" spans="3:36" ht="12.2" customHeight="1" x14ac:dyDescent="0.2">
      <c r="C36" s="112">
        <f t="shared" si="10"/>
        <v>-2.2620101763888246E-3</v>
      </c>
      <c r="AF36" s="114">
        <f>_xll.qlCalendarAdvance(Calendar,AF35,"1d","mf",,Trigger)</f>
        <v>42782</v>
      </c>
      <c r="AG36" s="100">
        <f>_xll.qlDayCounterYearFraction(DayCounter,SettlementDate,AF36,,,Trigger)</f>
        <v>0.125</v>
      </c>
      <c r="AH36" s="112">
        <f t="shared" si="11"/>
        <v>1.2468752126858094E-3</v>
      </c>
      <c r="AI36" s="112">
        <f t="shared" si="12"/>
        <v>1.1585434987181782E-3</v>
      </c>
      <c r="AJ36" s="112">
        <f t="shared" si="13"/>
        <v>1.1564366260512732E-3</v>
      </c>
    </row>
    <row r="37" spans="3:36" ht="12.2" customHeight="1" x14ac:dyDescent="0.2">
      <c r="C37" s="121">
        <f t="shared" si="10"/>
        <v>-2.2283582285826625E-3</v>
      </c>
      <c r="AF37" s="114">
        <f>_xll.qlCalendarAdvance(Calendar,AF36,"1d","mf",,Trigger)</f>
        <v>42783</v>
      </c>
      <c r="AG37" s="100">
        <f>_xll.qlDayCounterYearFraction(DayCounter,SettlementDate,AF37,,,Trigger)</f>
        <v>0.12777777777777777</v>
      </c>
      <c r="AH37" s="112">
        <f t="shared" si="11"/>
        <v>1.2468752126858094E-3</v>
      </c>
      <c r="AI37" s="112">
        <f t="shared" si="12"/>
        <v>1.1604637533696484E-3</v>
      </c>
      <c r="AJ37" s="112">
        <f t="shared" si="13"/>
        <v>1.1587129534373706E-3</v>
      </c>
    </row>
    <row r="38" spans="3:36" x14ac:dyDescent="0.2">
      <c r="AF38" s="114">
        <f>_xll.qlCalendarAdvance(Calendar,AF37,"1d","mf",,Trigger)</f>
        <v>42786</v>
      </c>
      <c r="AG38" s="100">
        <f>_xll.qlDayCounterYearFraction(DayCounter,SettlementDate,AF38,,,Trigger)</f>
        <v>0.1361111111111111</v>
      </c>
      <c r="AH38" s="112">
        <f t="shared" si="11"/>
        <v>1.2468752126858094E-3</v>
      </c>
      <c r="AI38" s="112">
        <f t="shared" si="12"/>
        <v>1.1662245173240592E-3</v>
      </c>
      <c r="AJ38" s="112">
        <f t="shared" si="13"/>
        <v>1.1655064784821076E-3</v>
      </c>
    </row>
    <row r="39" spans="3:36" x14ac:dyDescent="0.2">
      <c r="AF39" s="114">
        <f>_xll.qlCalendarAdvance(Calendar,AF38,"1d","mf",,Trigger)</f>
        <v>42787</v>
      </c>
      <c r="AG39" s="100">
        <f>_xll.qlDayCounterYearFraction(DayCounter,SettlementDate,AF39,,,Trigger)</f>
        <v>0.1388888888888889</v>
      </c>
      <c r="AH39" s="112">
        <f t="shared" si="11"/>
        <v>1.2468752126858094E-3</v>
      </c>
      <c r="AI39" s="112">
        <f t="shared" si="12"/>
        <v>1.1681447719755294E-3</v>
      </c>
      <c r="AJ39" s="112">
        <f t="shared" si="13"/>
        <v>1.1677591677925014E-3</v>
      </c>
    </row>
    <row r="40" spans="3:36" x14ac:dyDescent="0.2">
      <c r="AF40" s="114">
        <f>_xll.qlCalendarAdvance(Calendar,AF39,"1d","mf",,Trigger)</f>
        <v>42788</v>
      </c>
      <c r="AG40" s="100">
        <f>_xll.qlDayCounterYearFraction(DayCounter,SettlementDate,AF40,,,Trigger)</f>
        <v>0.14166666666666666</v>
      </c>
      <c r="AH40" s="112">
        <f t="shared" si="11"/>
        <v>1.2468752126858094E-3</v>
      </c>
      <c r="AI40" s="112">
        <f t="shared" si="12"/>
        <v>1.1700650266269997E-3</v>
      </c>
      <c r="AJ40" s="112">
        <f t="shared" si="13"/>
        <v>1.1700059475839692E-3</v>
      </c>
    </row>
    <row r="41" spans="3:36" x14ac:dyDescent="0.2">
      <c r="N41" s="85"/>
      <c r="O41" s="85"/>
      <c r="AF41" s="114">
        <f>_xll.qlCalendarAdvance(Calendar,AF40,"1d","mf",,Trigger)</f>
        <v>42789</v>
      </c>
      <c r="AG41" s="100">
        <f>_xll.qlDayCounterYearFraction(DayCounter,SettlementDate,AF41,,,Trigger)</f>
        <v>0.14444444444444443</v>
      </c>
      <c r="AH41" s="112">
        <f t="shared" si="11"/>
        <v>1.2468752126858094E-3</v>
      </c>
      <c r="AI41" s="112">
        <f t="shared" si="12"/>
        <v>1.1719852812784699E-3</v>
      </c>
      <c r="AJ41" s="112">
        <f t="shared" si="13"/>
        <v>1.1722468178565113E-3</v>
      </c>
    </row>
    <row r="42" spans="3:36" x14ac:dyDescent="0.2">
      <c r="AF42" s="114">
        <f>_xll.qlCalendarAdvance(Calendar,AF41,"1d","mf",,Trigger)</f>
        <v>42790</v>
      </c>
      <c r="AG42" s="100">
        <f>_xll.qlDayCounterYearFraction(DayCounter,SettlementDate,AF42,,,Trigger)</f>
        <v>0.14722222222222223</v>
      </c>
      <c r="AH42" s="112">
        <f t="shared" si="11"/>
        <v>1.2468752126858094E-3</v>
      </c>
      <c r="AI42" s="112">
        <f t="shared" si="12"/>
        <v>1.1739055359299402E-3</v>
      </c>
      <c r="AJ42" s="112">
        <f t="shared" si="13"/>
        <v>1.1744817786101273E-3</v>
      </c>
    </row>
    <row r="43" spans="3:36" ht="11.25" customHeight="1" x14ac:dyDescent="0.2">
      <c r="AF43" s="114">
        <f>_xll.qlCalendarAdvance(Calendar,AF42,"1d","mf",,Trigger)</f>
        <v>42793</v>
      </c>
      <c r="AG43" s="100">
        <f>_xll.qlDayCounterYearFraction(DayCounter,SettlementDate,AF43,,,Trigger)</f>
        <v>0.15555555555555556</v>
      </c>
      <c r="AH43" s="112">
        <f t="shared" si="11"/>
        <v>1.2468752126858094E-3</v>
      </c>
      <c r="AI43" s="112">
        <f t="shared" si="12"/>
        <v>1.1796662998843509E-3</v>
      </c>
      <c r="AJ43" s="112">
        <f t="shared" si="13"/>
        <v>1.1811512037574194E-3</v>
      </c>
    </row>
    <row r="44" spans="3:36" x14ac:dyDescent="0.2">
      <c r="AF44" s="114">
        <f>_xll.qlCalendarAdvance(Calendar,AF43,"1d","mf",,Trigger)</f>
        <v>42794</v>
      </c>
      <c r="AG44" s="100">
        <f>_xll.qlDayCounterYearFraction(DayCounter,SettlementDate,AF44,,,Trigger)</f>
        <v>0.15833333333333333</v>
      </c>
      <c r="AH44" s="112">
        <f t="shared" si="11"/>
        <v>1.2468752126858094E-3</v>
      </c>
      <c r="AI44" s="112">
        <f t="shared" si="12"/>
        <v>1.1815865545358212E-3</v>
      </c>
      <c r="AJ44" s="112">
        <f t="shared" si="13"/>
        <v>1.1833625264353318E-3</v>
      </c>
    </row>
    <row r="45" spans="3:36" x14ac:dyDescent="0.2">
      <c r="AF45" s="114">
        <f>_xll.qlCalendarAdvance(Calendar,AF44,"1d","mf",,Trigger)</f>
        <v>42795</v>
      </c>
      <c r="AG45" s="100">
        <f>_xll.qlDayCounterYearFraction(DayCounter,SettlementDate,AF45,,,Trigger)</f>
        <v>0.16111111111111112</v>
      </c>
      <c r="AH45" s="112">
        <f t="shared" si="11"/>
        <v>1.2468752126858094E-3</v>
      </c>
      <c r="AI45" s="112">
        <f t="shared" si="12"/>
        <v>1.1835068091872914E-3</v>
      </c>
      <c r="AJ45" s="112">
        <f t="shared" si="13"/>
        <v>1.1855679395943181E-3</v>
      </c>
    </row>
    <row r="46" spans="3:36" x14ac:dyDescent="0.2">
      <c r="AF46" s="114">
        <f>_xll.qlCalendarAdvance(Calendar,AF45,"1d","mf",,Trigger)</f>
        <v>42796</v>
      </c>
      <c r="AG46" s="100">
        <f>_xll.qlDayCounterYearFraction(DayCounter,SettlementDate,AF46,,,Trigger)</f>
        <v>0.16388888888888889</v>
      </c>
      <c r="AH46" s="112">
        <f t="shared" si="11"/>
        <v>1.2468752126858094E-3</v>
      </c>
      <c r="AI46" s="112">
        <f t="shared" si="12"/>
        <v>1.1854270638387617E-3</v>
      </c>
      <c r="AJ46" s="112">
        <f t="shared" si="13"/>
        <v>1.1877674432343786E-3</v>
      </c>
    </row>
    <row r="47" spans="3:36" x14ac:dyDescent="0.2">
      <c r="AF47" s="114">
        <f>_xll.qlCalendarAdvance(Calendar,AF46,"1d","mf",,Trigger)</f>
        <v>42797</v>
      </c>
      <c r="AG47" s="100">
        <f>_xll.qlDayCounterYearFraction(DayCounter,SettlementDate,AF47,,,Trigger)</f>
        <v>0.16666666666666666</v>
      </c>
      <c r="AH47" s="112">
        <f t="shared" si="11"/>
        <v>1.2468752126858094E-3</v>
      </c>
      <c r="AI47" s="112">
        <f t="shared" si="12"/>
        <v>1.1873473184902319E-3</v>
      </c>
      <c r="AJ47" s="112">
        <f t="shared" si="13"/>
        <v>1.189961037355513E-3</v>
      </c>
    </row>
    <row r="48" spans="3:36" x14ac:dyDescent="0.2">
      <c r="AF48" s="114">
        <f>_xll.qlCalendarAdvance(Calendar,AF47,"1d","mf",,Trigger)</f>
        <v>42800</v>
      </c>
      <c r="AG48" s="100">
        <f>_xll.qlDayCounterYearFraction(DayCounter,SettlementDate,AF48,,,Trigger)</f>
        <v>0.17499999999999999</v>
      </c>
      <c r="AH48" s="112">
        <f t="shared" si="11"/>
        <v>1.2468752126858094E-3</v>
      </c>
      <c r="AI48" s="112">
        <f t="shared" si="12"/>
        <v>1.1931080824446427E-3</v>
      </c>
      <c r="AJ48" s="112">
        <f t="shared" si="13"/>
        <v>1.1965063626053608E-3</v>
      </c>
    </row>
    <row r="49" spans="14:36" x14ac:dyDescent="0.2">
      <c r="AF49" s="114">
        <f>_xll.qlCalendarAdvance(Calendar,AF48,"1d","mf",,Trigger)</f>
        <v>42801</v>
      </c>
      <c r="AG49" s="100">
        <f>_xll.qlDayCounterYearFraction(DayCounter,SettlementDate,AF49,,,Trigger)</f>
        <v>0.17777777777777778</v>
      </c>
      <c r="AH49" s="112">
        <f t="shared" si="11"/>
        <v>1.2468752126858094E-3</v>
      </c>
      <c r="AI49" s="112">
        <f t="shared" si="12"/>
        <v>1.1950283370961128E-3</v>
      </c>
      <c r="AJ49" s="112">
        <f t="shared" si="13"/>
        <v>1.1986763186507916E-3</v>
      </c>
    </row>
    <row r="50" spans="14:36" x14ac:dyDescent="0.2">
      <c r="AF50" s="114">
        <f>_xll.qlCalendarAdvance(Calendar,AF49,"1d","mf",,Trigger)</f>
        <v>42802</v>
      </c>
      <c r="AG50" s="100">
        <f>_xll.qlDayCounterYearFraction(DayCounter,SettlementDate,AF50,,,Trigger)</f>
        <v>0.18055555555555555</v>
      </c>
      <c r="AH50" s="112">
        <f t="shared" si="11"/>
        <v>1.2468752126858094E-3</v>
      </c>
      <c r="AI50" s="112">
        <f t="shared" si="12"/>
        <v>1.1969485917475832E-3</v>
      </c>
      <c r="AJ50" s="112">
        <f t="shared" si="13"/>
        <v>1.2008403651772963E-3</v>
      </c>
    </row>
    <row r="51" spans="14:36" x14ac:dyDescent="0.2">
      <c r="AF51" s="114">
        <f>_xll.qlCalendarAdvance(Calendar,AF50,"1d","mf",,Trigger)</f>
        <v>42803</v>
      </c>
      <c r="AG51" s="100">
        <f>_xll.qlDayCounterYearFraction(DayCounter,SettlementDate,AF51,,,Trigger)</f>
        <v>0.18333333333333332</v>
      </c>
      <c r="AH51" s="112">
        <f t="shared" si="11"/>
        <v>1.2468752126858094E-3</v>
      </c>
      <c r="AI51" s="112">
        <f t="shared" si="12"/>
        <v>1.1988688463990533E-3</v>
      </c>
      <c r="AJ51" s="112">
        <f t="shared" si="13"/>
        <v>1.2029985021848753E-3</v>
      </c>
    </row>
    <row r="52" spans="14:36" x14ac:dyDescent="0.2">
      <c r="AF52" s="114">
        <f>_xll.qlCalendarAdvance(Calendar,AF51,"1d","mf",,Trigger)</f>
        <v>42804</v>
      </c>
      <c r="AG52" s="100">
        <f>_xll.qlDayCounterYearFraction(DayCounter,SettlementDate,AF52,,,Trigger)</f>
        <v>0.18611111111111112</v>
      </c>
      <c r="AH52" s="112">
        <f t="shared" si="11"/>
        <v>1.2468752126858094E-3</v>
      </c>
      <c r="AI52" s="112">
        <f t="shared" si="12"/>
        <v>1.2007891010505237E-3</v>
      </c>
      <c r="AJ52" s="112">
        <f t="shared" si="13"/>
        <v>1.2051507296735283E-3</v>
      </c>
    </row>
    <row r="53" spans="14:36" x14ac:dyDescent="0.2">
      <c r="AF53" s="114">
        <f>_xll.qlCalendarAdvance(Calendar,AF52,"1d","mf",,Trigger)</f>
        <v>42807</v>
      </c>
      <c r="AG53" s="100">
        <f>_xll.qlDayCounterYearFraction(DayCounter,SettlementDate,AF53,,,Trigger)</f>
        <v>0.19444444444444445</v>
      </c>
      <c r="AH53" s="112">
        <f t="shared" si="11"/>
        <v>1.2468752126858094E-3</v>
      </c>
      <c r="AI53" s="112">
        <f t="shared" si="12"/>
        <v>1.2065498650049343E-3</v>
      </c>
      <c r="AJ53" s="112">
        <f t="shared" si="13"/>
        <v>1.2115719550259316E-3</v>
      </c>
    </row>
    <row r="54" spans="14:36" x14ac:dyDescent="0.2">
      <c r="AF54" s="114">
        <f>_xll.qlCalendarAdvance(Calendar,AF53,"1d","mf",,Trigger)</f>
        <v>42808</v>
      </c>
      <c r="AG54" s="100">
        <f>_xll.qlDayCounterYearFraction(DayCounter,SettlementDate,AF54,,,Trigger)</f>
        <v>0.19722222222222222</v>
      </c>
      <c r="AH54" s="112">
        <f t="shared" si="11"/>
        <v>1.2468752126858094E-3</v>
      </c>
      <c r="AI54" s="112">
        <f t="shared" si="12"/>
        <v>1.2084701196564047E-3</v>
      </c>
      <c r="AJ54" s="112">
        <f t="shared" si="13"/>
        <v>1.2137005444388808E-3</v>
      </c>
    </row>
    <row r="55" spans="14:36" x14ac:dyDescent="0.2">
      <c r="AF55" s="114">
        <f>_xll.qlCalendarAdvance(Calendar,AF54,"1d","mf",,Trigger)</f>
        <v>42809</v>
      </c>
      <c r="AG55" s="100">
        <f>_xll.qlDayCounterYearFraction(DayCounter,SettlementDate,AF55,,,Trigger)</f>
        <v>0.2</v>
      </c>
      <c r="AH55" s="112">
        <f t="shared" si="11"/>
        <v>1.2468752126858094E-3</v>
      </c>
      <c r="AI55" s="112">
        <f t="shared" si="12"/>
        <v>1.2103903743078748E-3</v>
      </c>
      <c r="AJ55" s="112">
        <f t="shared" si="13"/>
        <v>1.215823224332904E-3</v>
      </c>
    </row>
    <row r="56" spans="14:36" x14ac:dyDescent="0.2">
      <c r="AF56" s="114">
        <f>_xll.qlCalendarAdvance(Calendar,AF55,"1d","mf",,Trigger)</f>
        <v>42810</v>
      </c>
      <c r="AG56" s="100">
        <f>_xll.qlDayCounterYearFraction(DayCounter,SettlementDate,AF56,,,Trigger)</f>
        <v>0.20277777777777778</v>
      </c>
      <c r="AH56" s="112">
        <f t="shared" si="11"/>
        <v>1.2468752126858094E-3</v>
      </c>
      <c r="AI56" s="112">
        <f t="shared" si="12"/>
        <v>1.2123106289593452E-3</v>
      </c>
      <c r="AJ56" s="112">
        <f t="shared" si="13"/>
        <v>1.2179399947080014E-3</v>
      </c>
    </row>
    <row r="57" spans="14:36" x14ac:dyDescent="0.2">
      <c r="AF57" s="114">
        <f>_xll.qlCalendarAdvance(Calendar,AF56,"1d","mf",,Trigger)</f>
        <v>42811</v>
      </c>
      <c r="AG57" s="100">
        <f>_xll.qlDayCounterYearFraction(DayCounter,SettlementDate,AF57,,,Trigger)</f>
        <v>0.20555555555555555</v>
      </c>
      <c r="AH57" s="112">
        <f t="shared" si="11"/>
        <v>1.2468752126858094E-3</v>
      </c>
      <c r="AI57" s="112">
        <f t="shared" si="12"/>
        <v>1.2142308836108153E-3</v>
      </c>
      <c r="AJ57" s="112">
        <f t="shared" si="13"/>
        <v>1.2200508555641728E-3</v>
      </c>
    </row>
    <row r="58" spans="14:36" x14ac:dyDescent="0.2">
      <c r="AF58" s="114">
        <f>_xll.qlCalendarAdvance(Calendar,AF57,"1d","mf",,Trigger)</f>
        <v>42814</v>
      </c>
      <c r="AG58" s="100">
        <f>_xll.qlDayCounterYearFraction(DayCounter,SettlementDate,AF58,,,Trigger)</f>
        <v>0.21388888888888888</v>
      </c>
      <c r="AH58" s="112">
        <f t="shared" si="11"/>
        <v>1.2468752126858094E-3</v>
      </c>
      <c r="AI58" s="112">
        <f t="shared" si="12"/>
        <v>1.2199916475652262E-3</v>
      </c>
      <c r="AJ58" s="112">
        <f t="shared" si="13"/>
        <v>1.2263479810191316E-3</v>
      </c>
    </row>
    <row r="59" spans="14:36" x14ac:dyDescent="0.2">
      <c r="AF59" s="114">
        <f>_xll.qlCalendarAdvance(Calendar,AF58,"1d","mf",,Trigger)</f>
        <v>42815</v>
      </c>
      <c r="AG59" s="100">
        <f>_xll.qlDayCounterYearFraction(DayCounter,SettlementDate,AF59,,,Trigger)</f>
        <v>0.21666666666666667</v>
      </c>
      <c r="AH59" s="112">
        <f t="shared" si="11"/>
        <v>1.2468752126858094E-3</v>
      </c>
      <c r="AI59" s="112">
        <f t="shared" si="12"/>
        <v>1.2219119022166963E-3</v>
      </c>
      <c r="AJ59" s="112">
        <f t="shared" si="13"/>
        <v>1.2284352037995991E-3</v>
      </c>
    </row>
    <row r="60" spans="14:36" x14ac:dyDescent="0.2">
      <c r="N60" s="85"/>
      <c r="AF60" s="114">
        <f>_xll.qlCalendarAdvance(Calendar,AF59,"1d","mf",,Trigger)</f>
        <v>42816</v>
      </c>
      <c r="AG60" s="100">
        <f>_xll.qlDayCounterYearFraction(DayCounter,SettlementDate,AF60,,,Trigger)</f>
        <v>0.21944444444444444</v>
      </c>
      <c r="AH60" s="112">
        <f t="shared" si="11"/>
        <v>1.2468752126858094E-3</v>
      </c>
      <c r="AI60" s="112">
        <f t="shared" si="12"/>
        <v>1.2238321568681667E-3</v>
      </c>
      <c r="AJ60" s="112">
        <f t="shared" si="13"/>
        <v>1.2305165170611412E-3</v>
      </c>
    </row>
    <row r="61" spans="14:36" x14ac:dyDescent="0.2">
      <c r="N61" s="85"/>
      <c r="AF61" s="114">
        <f>_xll.qlCalendarAdvance(Calendar,AF60,"1d","mf",,Trigger)</f>
        <v>42817</v>
      </c>
      <c r="AG61" s="100">
        <f>_xll.qlDayCounterYearFraction(DayCounter,SettlementDate,AF61,,,Trigger)</f>
        <v>0.22222222222222221</v>
      </c>
      <c r="AH61" s="112">
        <f t="shared" si="11"/>
        <v>1.2468752126858094E-3</v>
      </c>
      <c r="AI61" s="112">
        <f t="shared" si="12"/>
        <v>1.2257524115196368E-3</v>
      </c>
      <c r="AJ61" s="112">
        <f t="shared" si="13"/>
        <v>1.2325919208037569E-3</v>
      </c>
    </row>
    <row r="62" spans="14:36" x14ac:dyDescent="0.2">
      <c r="N62" s="85"/>
      <c r="AF62" s="114">
        <f>_xll.qlCalendarAdvance(Calendar,AF61,"1d","mf",,Trigger)</f>
        <v>42818</v>
      </c>
      <c r="AG62" s="100">
        <f>_xll.qlDayCounterYearFraction(DayCounter,SettlementDate,AF62,,,Trigger)</f>
        <v>0.22500000000000001</v>
      </c>
      <c r="AH62" s="112">
        <f t="shared" si="11"/>
        <v>1.2468752126858094E-3</v>
      </c>
      <c r="AI62" s="112">
        <f t="shared" si="12"/>
        <v>1.2276726661711072E-3</v>
      </c>
      <c r="AJ62" s="112">
        <f t="shared" si="13"/>
        <v>1.2346614150274468E-3</v>
      </c>
    </row>
    <row r="63" spans="14:36" x14ac:dyDescent="0.2">
      <c r="N63" s="85"/>
      <c r="AF63" s="114">
        <f>_xll.qlCalendarAdvance(Calendar,AF62,"1d","mf",,Trigger)</f>
        <v>42821</v>
      </c>
      <c r="AG63" s="100">
        <f>_xll.qlDayCounterYearFraction(DayCounter,SettlementDate,AF63,,,Trigger)</f>
        <v>0.23333333333333334</v>
      </c>
      <c r="AH63" s="112">
        <f t="shared" si="11"/>
        <v>1.2468752126858094E-3</v>
      </c>
      <c r="AI63" s="112">
        <f t="shared" si="12"/>
        <v>1.2334334301255178E-3</v>
      </c>
      <c r="AJ63" s="112">
        <f t="shared" si="13"/>
        <v>1.240834440584961E-3</v>
      </c>
    </row>
    <row r="64" spans="14:36" x14ac:dyDescent="0.2">
      <c r="N64" s="85"/>
      <c r="AF64" s="114">
        <f>_xll.qlCalendarAdvance(Calendar,AF63,"1d","mf",,Trigger)</f>
        <v>42822</v>
      </c>
      <c r="AG64" s="100">
        <f>_xll.qlDayCounterYearFraction(DayCounter,SettlementDate,AF64,,,Trigger)</f>
        <v>0.2361111111111111</v>
      </c>
      <c r="AH64" s="112">
        <f t="shared" si="11"/>
        <v>1.2468752126858094E-3</v>
      </c>
      <c r="AI64" s="112">
        <f t="shared" si="12"/>
        <v>1.235353684776988E-3</v>
      </c>
      <c r="AJ64" s="112">
        <f t="shared" si="13"/>
        <v>1.2428802967329471E-3</v>
      </c>
    </row>
    <row r="65" spans="14:36" x14ac:dyDescent="0.2">
      <c r="N65" s="85"/>
      <c r="AF65" s="114">
        <f>_xll.qlCalendarAdvance(Calendar,AF64,"1d","mf",,Trigger)</f>
        <v>42823</v>
      </c>
      <c r="AG65" s="100">
        <f>_xll.qlDayCounterYearFraction(DayCounter,SettlementDate,AF65,,,Trigger)</f>
        <v>0.2388888888888889</v>
      </c>
      <c r="AH65" s="112">
        <f t="shared" si="11"/>
        <v>1.2468752126858094E-3</v>
      </c>
      <c r="AI65" s="112">
        <f t="shared" si="12"/>
        <v>1.2372739394284583E-3</v>
      </c>
      <c r="AJ65" s="112">
        <f t="shared" si="13"/>
        <v>1.2449202433620072E-3</v>
      </c>
    </row>
    <row r="66" spans="14:36" x14ac:dyDescent="0.2">
      <c r="N66" s="85"/>
      <c r="O66" s="85"/>
      <c r="AF66" s="114">
        <f>_xll.qlCalendarAdvance(Calendar,AF65,"1d","mf",,Trigger)</f>
        <v>42824</v>
      </c>
      <c r="AG66" s="100">
        <f>_xll.qlDayCounterYearFraction(DayCounter,SettlementDate,AF66,,,Trigger)</f>
        <v>0.24166666666666667</v>
      </c>
      <c r="AH66" s="112">
        <f t="shared" si="11"/>
        <v>1.2468752126858094E-3</v>
      </c>
      <c r="AI66" s="112">
        <f t="shared" si="12"/>
        <v>1.2391941940799287E-3</v>
      </c>
      <c r="AJ66" s="112">
        <f t="shared" si="13"/>
        <v>1.2469542804721416E-3</v>
      </c>
    </row>
    <row r="67" spans="14:36" x14ac:dyDescent="0.2">
      <c r="N67" s="85"/>
      <c r="O67" s="85"/>
      <c r="AF67" s="114">
        <f>_xll.qlCalendarAdvance(Calendar,AF66,"1d","mf",,Trigger)</f>
        <v>42825</v>
      </c>
      <c r="AG67" s="100">
        <f>_xll.qlDayCounterYearFraction(DayCounter,SettlementDate,AF67,,,Trigger)</f>
        <v>0.24444444444444444</v>
      </c>
      <c r="AH67" s="112">
        <f t="shared" ref="AH67:AH98" si="14">$W$13</f>
        <v>1.2468752126858094E-3</v>
      </c>
      <c r="AI67" s="112">
        <f t="shared" ref="AI67:AI98" si="15">$W$10+$W$9*AG67</f>
        <v>1.2411144487313988E-3</v>
      </c>
      <c r="AJ67" s="112">
        <f t="shared" ref="AJ67:AJ98" si="16">($W$5+$W$4*AG67+$W$3*AG67^2)</f>
        <v>1.2489824080633501E-3</v>
      </c>
    </row>
    <row r="68" spans="14:36" x14ac:dyDescent="0.2">
      <c r="N68" s="85"/>
      <c r="O68" s="85"/>
      <c r="AF68" s="114">
        <f>_xll.qlCalendarAdvance(Calendar,AF67,"1d","mf",,Trigger)</f>
        <v>42828</v>
      </c>
      <c r="AG68" s="100">
        <f>_xll.qlDayCounterYearFraction(DayCounter,SettlementDate,AF68,,,Trigger)</f>
        <v>0.25277777777777777</v>
      </c>
      <c r="AH68" s="112">
        <f t="shared" si="14"/>
        <v>1.2468752126858094E-3</v>
      </c>
      <c r="AI68" s="112">
        <f t="shared" si="15"/>
        <v>1.2468752126858097E-3</v>
      </c>
      <c r="AJ68" s="112">
        <f t="shared" si="16"/>
        <v>1.2550313337234195E-3</v>
      </c>
    </row>
    <row r="69" spans="14:36" x14ac:dyDescent="0.2">
      <c r="N69" s="85"/>
      <c r="O69" s="85"/>
      <c r="AF69" s="114">
        <f>_xll.qlCalendarAdvance(Calendar,AF68,"1d","mf",,Trigger)</f>
        <v>42829</v>
      </c>
      <c r="AG69" s="100">
        <f>_xll.qlDayCounterYearFraction(DayCounter,SettlementDate,AF69,,,Trigger)</f>
        <v>0.25555555555555554</v>
      </c>
      <c r="AH69" s="112">
        <f t="shared" si="14"/>
        <v>1.2468752126858094E-3</v>
      </c>
      <c r="AI69" s="112">
        <f t="shared" si="15"/>
        <v>1.2487954673372798E-3</v>
      </c>
      <c r="AJ69" s="112">
        <f t="shared" si="16"/>
        <v>1.2570358232389242E-3</v>
      </c>
    </row>
    <row r="70" spans="14:36" x14ac:dyDescent="0.2">
      <c r="N70" s="85"/>
      <c r="O70" s="85"/>
      <c r="AF70" s="114">
        <f>_xll.qlCalendarAdvance(Calendar,AF69,"1d","mf",,Trigger)</f>
        <v>42830</v>
      </c>
      <c r="AG70" s="100">
        <f>_xll.qlDayCounterYearFraction(DayCounter,SettlementDate,AF70,,,Trigger)</f>
        <v>0.25833333333333336</v>
      </c>
      <c r="AH70" s="112">
        <f t="shared" si="14"/>
        <v>1.2468752126858094E-3</v>
      </c>
      <c r="AI70" s="112">
        <f t="shared" si="15"/>
        <v>1.2507157219887499E-3</v>
      </c>
      <c r="AJ70" s="112">
        <f t="shared" si="16"/>
        <v>1.2590344032355032E-3</v>
      </c>
    </row>
    <row r="71" spans="14:36" x14ac:dyDescent="0.2">
      <c r="N71" s="85"/>
      <c r="O71" s="85"/>
      <c r="AF71" s="114">
        <f>_xll.qlCalendarAdvance(Calendar,AF70,"1d","mf",,Trigger)</f>
        <v>42831</v>
      </c>
      <c r="AG71" s="100">
        <f>_xll.qlDayCounterYearFraction(DayCounter,SettlementDate,AF71,,,Trigger)</f>
        <v>0.26111111111111113</v>
      </c>
      <c r="AH71" s="112">
        <f t="shared" si="14"/>
        <v>1.2468752126858094E-3</v>
      </c>
      <c r="AI71" s="112">
        <f t="shared" si="15"/>
        <v>1.2526359766402203E-3</v>
      </c>
      <c r="AJ71" s="112">
        <f t="shared" si="16"/>
        <v>1.2610270737131559E-3</v>
      </c>
    </row>
    <row r="72" spans="14:36" x14ac:dyDescent="0.2">
      <c r="N72" s="85"/>
      <c r="O72" s="85"/>
      <c r="AF72" s="114">
        <f>_xll.qlCalendarAdvance(Calendar,AF71,"1d","mf",,Trigger)</f>
        <v>42832</v>
      </c>
      <c r="AG72" s="100">
        <f>_xll.qlDayCounterYearFraction(DayCounter,SettlementDate,AF72,,,Trigger)</f>
        <v>0.2638888888888889</v>
      </c>
      <c r="AH72" s="112">
        <f t="shared" si="14"/>
        <v>1.2468752126858094E-3</v>
      </c>
      <c r="AI72" s="112">
        <f t="shared" si="15"/>
        <v>1.2545562312916906E-3</v>
      </c>
      <c r="AJ72" s="112">
        <f t="shared" si="16"/>
        <v>1.2630138346718827E-3</v>
      </c>
    </row>
    <row r="73" spans="14:36" x14ac:dyDescent="0.2">
      <c r="N73" s="85"/>
      <c r="O73" s="85"/>
      <c r="AF73" s="114">
        <f>_xll.qlCalendarAdvance(Calendar,AF72,"1d","mf",,Trigger)</f>
        <v>42835</v>
      </c>
      <c r="AG73" s="100">
        <f>_xll.qlDayCounterYearFraction(DayCounter,SettlementDate,AF73,,,Trigger)</f>
        <v>0.2722222222222222</v>
      </c>
      <c r="AH73" s="112">
        <f t="shared" si="14"/>
        <v>1.2468752126858094E-3</v>
      </c>
      <c r="AI73" s="112">
        <f t="shared" si="15"/>
        <v>1.2603169952461013E-3</v>
      </c>
      <c r="AJ73" s="112">
        <f t="shared" si="16"/>
        <v>1.2689386604345077E-3</v>
      </c>
    </row>
    <row r="74" spans="14:36" x14ac:dyDescent="0.2">
      <c r="N74" s="85"/>
      <c r="O74" s="85"/>
      <c r="AF74" s="114">
        <f>_xll.qlCalendarAdvance(Calendar,AF73,"1d","mf",,Trigger)</f>
        <v>42836</v>
      </c>
      <c r="AG74" s="100">
        <f>_xll.qlDayCounterYearFraction(DayCounter,SettlementDate,AF74,,,Trigger)</f>
        <v>0.27500000000000002</v>
      </c>
      <c r="AH74" s="112">
        <f t="shared" si="14"/>
        <v>1.2468752126858094E-3</v>
      </c>
      <c r="AI74" s="112">
        <f t="shared" si="15"/>
        <v>1.2622372498975716E-3</v>
      </c>
      <c r="AJ74" s="112">
        <f t="shared" si="16"/>
        <v>1.2709017833175309E-3</v>
      </c>
    </row>
    <row r="75" spans="14:36" x14ac:dyDescent="0.2">
      <c r="N75" s="85"/>
      <c r="O75" s="85"/>
      <c r="AF75" s="114">
        <f>_xll.qlCalendarAdvance(Calendar,AF74,"1d","mf",,Trigger)</f>
        <v>42837</v>
      </c>
      <c r="AG75" s="100">
        <f>_xll.qlDayCounterYearFraction(DayCounter,SettlementDate,AF75,,,Trigger)</f>
        <v>0.27777777777777779</v>
      </c>
      <c r="AH75" s="112">
        <f t="shared" si="14"/>
        <v>1.2468752126858094E-3</v>
      </c>
      <c r="AI75" s="112">
        <f t="shared" si="15"/>
        <v>1.2641575045490418E-3</v>
      </c>
      <c r="AJ75" s="112">
        <f t="shared" si="16"/>
        <v>1.272858996681628E-3</v>
      </c>
    </row>
    <row r="76" spans="14:36" x14ac:dyDescent="0.2">
      <c r="N76" s="85"/>
      <c r="O76" s="85"/>
      <c r="AF76" s="114">
        <f>_xll.qlCalendarAdvance(Calendar,AF75,"1d","mf",,Trigger)</f>
        <v>42838</v>
      </c>
      <c r="AG76" s="100">
        <f>_xll.qlDayCounterYearFraction(DayCounter,SettlementDate,AF76,,,Trigger)</f>
        <v>0.28055555555555556</v>
      </c>
      <c r="AH76" s="112">
        <f t="shared" si="14"/>
        <v>1.2468752126858094E-3</v>
      </c>
      <c r="AI76" s="112">
        <f t="shared" si="15"/>
        <v>1.2660777592005119E-3</v>
      </c>
      <c r="AJ76" s="112">
        <f t="shared" si="16"/>
        <v>1.2748103005267993E-3</v>
      </c>
    </row>
    <row r="77" spans="14:36" x14ac:dyDescent="0.2">
      <c r="N77" s="85"/>
      <c r="O77" s="85"/>
      <c r="AF77" s="114">
        <f>_xll.qlCalendarAdvance(Calendar,AF76,"1d","mf",,Trigger)</f>
        <v>42843</v>
      </c>
      <c r="AG77" s="100">
        <f>_xll.qlDayCounterYearFraction(DayCounter,SettlementDate,AF77,,,Trigger)</f>
        <v>0.29444444444444445</v>
      </c>
      <c r="AH77" s="112">
        <f t="shared" si="14"/>
        <v>1.2468752126858094E-3</v>
      </c>
      <c r="AI77" s="112">
        <f t="shared" si="15"/>
        <v>1.2756790324578633E-3</v>
      </c>
      <c r="AJ77" s="112">
        <f t="shared" si="16"/>
        <v>1.2844781769687668E-3</v>
      </c>
    </row>
    <row r="78" spans="14:36" x14ac:dyDescent="0.2">
      <c r="N78" s="85"/>
      <c r="O78" s="85"/>
      <c r="AF78" s="114">
        <f>_xll.qlCalendarAdvance(Calendar,AF77,"1d","mf",,Trigger)</f>
        <v>42844</v>
      </c>
      <c r="AG78" s="100">
        <f>_xll.qlDayCounterYearFraction(DayCounter,SettlementDate,AF78,,,Trigger)</f>
        <v>0.29722222222222222</v>
      </c>
      <c r="AH78" s="112">
        <f t="shared" si="14"/>
        <v>1.2468752126858094E-3</v>
      </c>
      <c r="AI78" s="112">
        <f t="shared" si="15"/>
        <v>1.2775992871093334E-3</v>
      </c>
      <c r="AJ78" s="112">
        <f t="shared" si="16"/>
        <v>1.2863940237003825E-3</v>
      </c>
    </row>
    <row r="79" spans="14:36" x14ac:dyDescent="0.2">
      <c r="N79" s="85"/>
      <c r="O79" s="85"/>
      <c r="AF79" s="114">
        <f>_xll.qlCalendarAdvance(Calendar,AF78,"1d","mf",,Trigger)</f>
        <v>42845</v>
      </c>
      <c r="AG79" s="100">
        <f>_xll.qlDayCounterYearFraction(DayCounter,SettlementDate,AF79,,,Trigger)</f>
        <v>0.3</v>
      </c>
      <c r="AH79" s="112">
        <f t="shared" si="14"/>
        <v>1.2468752126858094E-3</v>
      </c>
      <c r="AI79" s="112">
        <f t="shared" si="15"/>
        <v>1.2795195417608038E-3</v>
      </c>
      <c r="AJ79" s="112">
        <f t="shared" si="16"/>
        <v>1.2883039609130722E-3</v>
      </c>
    </row>
    <row r="80" spans="14:36" x14ac:dyDescent="0.2">
      <c r="N80" s="85"/>
      <c r="O80" s="85"/>
      <c r="AF80" s="114">
        <f>_xll.qlCalendarAdvance(Calendar,AF79,"1d","mf",,Trigger)</f>
        <v>42846</v>
      </c>
      <c r="AG80" s="100">
        <f>_xll.qlDayCounterYearFraction(DayCounter,SettlementDate,AF80,,,Trigger)</f>
        <v>0.30277777777777776</v>
      </c>
      <c r="AH80" s="112">
        <f t="shared" si="14"/>
        <v>1.2468752126858094E-3</v>
      </c>
      <c r="AI80" s="112">
        <f t="shared" si="15"/>
        <v>1.2814397964122739E-3</v>
      </c>
      <c r="AJ80" s="112">
        <f t="shared" si="16"/>
        <v>1.290207988606836E-3</v>
      </c>
    </row>
    <row r="81" spans="14:36" x14ac:dyDescent="0.2">
      <c r="N81" s="85"/>
      <c r="O81" s="85"/>
      <c r="AF81" s="114">
        <f>_xll.qlCalendarAdvance(Calendar,AF80,"1d","mf",,Trigger)</f>
        <v>42849</v>
      </c>
      <c r="AG81" s="100">
        <f>_xll.qlDayCounterYearFraction(DayCounter,SettlementDate,AF81,,,Trigger)</f>
        <v>0.31111111111111112</v>
      </c>
      <c r="AH81" s="112">
        <f t="shared" si="14"/>
        <v>1.2468752126858094E-3</v>
      </c>
      <c r="AI81" s="112">
        <f t="shared" si="15"/>
        <v>1.2872005603666848E-3</v>
      </c>
      <c r="AJ81" s="112">
        <f t="shared" si="16"/>
        <v>1.295884614574572E-3</v>
      </c>
    </row>
    <row r="82" spans="14:36" x14ac:dyDescent="0.2">
      <c r="N82" s="85"/>
      <c r="O82" s="85"/>
      <c r="AF82" s="114">
        <f>_xll.qlCalendarAdvance(Calendar,AF81,"1d","mf",,Trigger)</f>
        <v>42850</v>
      </c>
      <c r="AG82" s="100">
        <f>_xll.qlDayCounterYearFraction(DayCounter,SettlementDate,AF82,,,Trigger)</f>
        <v>0.31388888888888888</v>
      </c>
      <c r="AH82" s="112">
        <f t="shared" si="14"/>
        <v>1.2468752126858094E-3</v>
      </c>
      <c r="AI82" s="112">
        <f t="shared" si="15"/>
        <v>1.2891208150181549E-3</v>
      </c>
      <c r="AJ82" s="112">
        <f t="shared" si="16"/>
        <v>1.2977650041926321E-3</v>
      </c>
    </row>
    <row r="83" spans="14:36" x14ac:dyDescent="0.2">
      <c r="N83" s="85"/>
      <c r="O83" s="85"/>
      <c r="AF83" s="114">
        <f>_xll.qlCalendarAdvance(Calendar,AF82,"1d","mf",,Trigger)</f>
        <v>42851</v>
      </c>
      <c r="AG83" s="100">
        <f>_xll.qlDayCounterYearFraction(DayCounter,SettlementDate,AF83,,,Trigger)</f>
        <v>0.31666666666666665</v>
      </c>
      <c r="AH83" s="112">
        <f t="shared" si="14"/>
        <v>1.2468752126858094E-3</v>
      </c>
      <c r="AI83" s="112">
        <f t="shared" si="15"/>
        <v>1.2910410696696253E-3</v>
      </c>
      <c r="AJ83" s="112">
        <f t="shared" si="16"/>
        <v>1.2996394842917662E-3</v>
      </c>
    </row>
    <row r="84" spans="14:36" x14ac:dyDescent="0.2">
      <c r="N84" s="85"/>
      <c r="O84" s="85"/>
      <c r="AF84" s="114">
        <f>_xll.qlCalendarAdvance(Calendar,AF83,"1d","mf",,Trigger)</f>
        <v>42852</v>
      </c>
      <c r="AG84" s="100">
        <f>_xll.qlDayCounterYearFraction(DayCounter,SettlementDate,AF84,,,Trigger)</f>
        <v>0.31944444444444442</v>
      </c>
      <c r="AH84" s="112">
        <f t="shared" si="14"/>
        <v>1.2468752126858094E-3</v>
      </c>
      <c r="AI84" s="112">
        <f t="shared" si="15"/>
        <v>1.2929613243210954E-3</v>
      </c>
      <c r="AJ84" s="112">
        <f t="shared" si="16"/>
        <v>1.3015080548719746E-3</v>
      </c>
    </row>
    <row r="85" spans="14:36" x14ac:dyDescent="0.2">
      <c r="N85" s="85"/>
      <c r="O85" s="85"/>
      <c r="AF85" s="114">
        <f>_xll.qlCalendarAdvance(Calendar,AF84,"1d","mf",,Trigger)</f>
        <v>42853</v>
      </c>
      <c r="AG85" s="100">
        <f>_xll.qlDayCounterYearFraction(DayCounter,SettlementDate,AF85,,,Trigger)</f>
        <v>0.32222222222222224</v>
      </c>
      <c r="AH85" s="112">
        <f t="shared" si="14"/>
        <v>1.2468752126858094E-3</v>
      </c>
      <c r="AI85" s="112">
        <f t="shared" si="15"/>
        <v>1.2948815789725658E-3</v>
      </c>
      <c r="AJ85" s="112">
        <f t="shared" si="16"/>
        <v>1.3033707159332568E-3</v>
      </c>
    </row>
    <row r="86" spans="14:36" x14ac:dyDescent="0.2">
      <c r="N86" s="85"/>
      <c r="O86" s="85"/>
      <c r="AF86" s="114">
        <f>_xll.qlCalendarAdvance(Calendar,AF85,"1d","mf",,Trigger)</f>
        <v>42857</v>
      </c>
      <c r="AG86" s="100">
        <f>_xll.qlDayCounterYearFraction(DayCounter,SettlementDate,AF86,,,Trigger)</f>
        <v>0.33333333333333331</v>
      </c>
      <c r="AH86" s="112">
        <f t="shared" si="14"/>
        <v>1.2468752126858094E-3</v>
      </c>
      <c r="AI86" s="112">
        <f t="shared" si="15"/>
        <v>1.3025625975784467E-3</v>
      </c>
      <c r="AJ86" s="112">
        <f t="shared" si="16"/>
        <v>1.3107622649891266E-3</v>
      </c>
    </row>
    <row r="87" spans="14:36" x14ac:dyDescent="0.2">
      <c r="N87" s="85"/>
      <c r="O87" s="85"/>
      <c r="AF87" s="114">
        <f>_xll.qlCalendarAdvance(Calendar,AF86,"1d","mf",,Trigger)</f>
        <v>42858</v>
      </c>
      <c r="AG87" s="100">
        <f>_xll.qlDayCounterYearFraction(DayCounter,SettlementDate,AF87,,,Trigger)</f>
        <v>0.33611111111111114</v>
      </c>
      <c r="AH87" s="112">
        <f t="shared" si="14"/>
        <v>1.2468752126858094E-3</v>
      </c>
      <c r="AI87" s="112">
        <f t="shared" si="15"/>
        <v>1.3044828522299169E-3</v>
      </c>
      <c r="AJ87" s="112">
        <f t="shared" si="16"/>
        <v>1.3125953784557793E-3</v>
      </c>
    </row>
    <row r="88" spans="14:36" x14ac:dyDescent="0.2">
      <c r="N88" s="85"/>
      <c r="O88" s="85"/>
      <c r="AF88" s="114">
        <f>_xll.qlCalendarAdvance(Calendar,AF87,"1d","mf",,Trigger)</f>
        <v>42859</v>
      </c>
      <c r="AG88" s="100">
        <f>_xll.qlDayCounterYearFraction(DayCounter,SettlementDate,AF88,,,Trigger)</f>
        <v>0.33888888888888891</v>
      </c>
      <c r="AH88" s="112">
        <f t="shared" si="14"/>
        <v>1.2468752126858094E-3</v>
      </c>
      <c r="AI88" s="112">
        <f t="shared" si="15"/>
        <v>1.3064031068813872E-3</v>
      </c>
      <c r="AJ88" s="112">
        <f t="shared" si="16"/>
        <v>1.3144225824035061E-3</v>
      </c>
    </row>
    <row r="89" spans="14:36" x14ac:dyDescent="0.2">
      <c r="N89" s="85"/>
      <c r="O89" s="85"/>
      <c r="AF89" s="114">
        <f>_xll.qlCalendarAdvance(Calendar,AF88,"1d","mf",,Trigger)</f>
        <v>42860</v>
      </c>
      <c r="AG89" s="100">
        <f>_xll.qlDayCounterYearFraction(DayCounter,SettlementDate,AF89,,,Trigger)</f>
        <v>0.34166666666666667</v>
      </c>
      <c r="AH89" s="112">
        <f t="shared" si="14"/>
        <v>1.2468752126858094E-3</v>
      </c>
      <c r="AI89" s="112">
        <f t="shared" si="15"/>
        <v>1.3083233615328574E-3</v>
      </c>
      <c r="AJ89" s="112">
        <f t="shared" si="16"/>
        <v>1.3162438768323068E-3</v>
      </c>
    </row>
    <row r="90" spans="14:36" x14ac:dyDescent="0.2">
      <c r="N90" s="85"/>
      <c r="O90" s="85"/>
      <c r="AF90" s="114">
        <f>_xll.qlCalendarAdvance(Calendar,AF89,"1d","mf",,Trigger)</f>
        <v>42863</v>
      </c>
      <c r="AG90" s="100">
        <f>_xll.qlDayCounterYearFraction(DayCounter,SettlementDate,AF90,,,Trigger)</f>
        <v>0.35</v>
      </c>
      <c r="AH90" s="112">
        <f t="shared" si="14"/>
        <v>1.2468752126858094E-3</v>
      </c>
      <c r="AI90" s="112">
        <f t="shared" si="15"/>
        <v>1.3140841254872682E-3</v>
      </c>
      <c r="AJ90" s="112">
        <f t="shared" si="16"/>
        <v>1.3216723030051536E-3</v>
      </c>
    </row>
    <row r="91" spans="14:36" x14ac:dyDescent="0.2">
      <c r="N91" s="85"/>
      <c r="O91" s="85"/>
      <c r="AF91" s="114">
        <f>_xll.qlCalendarAdvance(Calendar,AF90,"1d","mf",,Trigger)</f>
        <v>42864</v>
      </c>
      <c r="AG91" s="100">
        <f>_xll.qlDayCounterYearFraction(DayCounter,SettlementDate,AF91,,,Trigger)</f>
        <v>0.3527777777777778</v>
      </c>
      <c r="AH91" s="112">
        <f t="shared" si="14"/>
        <v>1.2468752126858094E-3</v>
      </c>
      <c r="AI91" s="112">
        <f t="shared" si="15"/>
        <v>1.3160043801387384E-3</v>
      </c>
      <c r="AJ91" s="112">
        <f t="shared" si="16"/>
        <v>1.3234699593582505E-3</v>
      </c>
    </row>
    <row r="92" spans="14:36" x14ac:dyDescent="0.2">
      <c r="N92" s="85"/>
      <c r="O92" s="85"/>
      <c r="AF92" s="114">
        <f>_xll.qlCalendarAdvance(Calendar,AF91,"1d","mf",,Trigger)</f>
        <v>42865</v>
      </c>
      <c r="AG92" s="100">
        <f>_xll.qlDayCounterYearFraction(DayCounter,SettlementDate,AF92,,,Trigger)</f>
        <v>0.35555555555555557</v>
      </c>
      <c r="AH92" s="112">
        <f t="shared" si="14"/>
        <v>1.2468752126858094E-3</v>
      </c>
      <c r="AI92" s="112">
        <f t="shared" si="15"/>
        <v>1.3179246347902085E-3</v>
      </c>
      <c r="AJ92" s="112">
        <f t="shared" si="16"/>
        <v>1.3252617061924217E-3</v>
      </c>
    </row>
    <row r="93" spans="14:36" x14ac:dyDescent="0.2">
      <c r="N93" s="85"/>
      <c r="O93" s="85"/>
      <c r="AF93" s="114">
        <f>_xll.qlCalendarAdvance(Calendar,AF92,"1d","mf",,Trigger)</f>
        <v>42866</v>
      </c>
      <c r="AG93" s="100">
        <f>_xll.qlDayCounterYearFraction(DayCounter,SettlementDate,AF93,,,Trigger)</f>
        <v>0.35833333333333334</v>
      </c>
      <c r="AH93" s="112">
        <f t="shared" si="14"/>
        <v>1.2468752126858094E-3</v>
      </c>
      <c r="AI93" s="112">
        <f t="shared" si="15"/>
        <v>1.3198448894416789E-3</v>
      </c>
      <c r="AJ93" s="112">
        <f t="shared" si="16"/>
        <v>1.3270475435076671E-3</v>
      </c>
    </row>
    <row r="94" spans="14:36" x14ac:dyDescent="0.2">
      <c r="N94" s="85"/>
      <c r="O94" s="85"/>
      <c r="AF94" s="114">
        <f>_xll.qlCalendarAdvance(Calendar,AF93,"1d","mf",,Trigger)</f>
        <v>42867</v>
      </c>
      <c r="AG94" s="100">
        <f>_xll.qlDayCounterYearFraction(DayCounter,SettlementDate,AF94,,,Trigger)</f>
        <v>0.3611111111111111</v>
      </c>
      <c r="AH94" s="112">
        <f t="shared" si="14"/>
        <v>1.2468752126858094E-3</v>
      </c>
      <c r="AI94" s="112">
        <f t="shared" si="15"/>
        <v>1.3217651440931492E-3</v>
      </c>
      <c r="AJ94" s="112">
        <f t="shared" si="16"/>
        <v>1.3288274713039862E-3</v>
      </c>
    </row>
    <row r="95" spans="14:36" x14ac:dyDescent="0.2">
      <c r="N95" s="85"/>
      <c r="O95" s="85"/>
      <c r="AF95" s="114">
        <f>_xll.qlCalendarAdvance(Calendar,AF94,"1d","mf",,Trigger)</f>
        <v>42870</v>
      </c>
      <c r="AG95" s="100">
        <f>_xll.qlDayCounterYearFraction(DayCounter,SettlementDate,AF95,,,Trigger)</f>
        <v>0.36944444444444446</v>
      </c>
      <c r="AH95" s="112">
        <f t="shared" si="14"/>
        <v>1.2468752126858094E-3</v>
      </c>
      <c r="AI95" s="112">
        <f t="shared" si="15"/>
        <v>1.3275259080475599E-3</v>
      </c>
      <c r="AJ95" s="112">
        <f t="shared" si="16"/>
        <v>1.3341317975793885E-3</v>
      </c>
    </row>
    <row r="96" spans="14:36" x14ac:dyDescent="0.2">
      <c r="N96" s="85"/>
      <c r="O96" s="85"/>
      <c r="AF96" s="114">
        <f>_xll.qlCalendarAdvance(Calendar,AF95,"1d","mf",,Trigger)</f>
        <v>42871</v>
      </c>
      <c r="AG96" s="100">
        <f>_xll.qlDayCounterYearFraction(DayCounter,SettlementDate,AF96,,,Trigger)</f>
        <v>0.37222222222222223</v>
      </c>
      <c r="AH96" s="112">
        <f t="shared" si="14"/>
        <v>1.2468752126858094E-3</v>
      </c>
      <c r="AI96" s="112">
        <f t="shared" si="15"/>
        <v>1.3294461626990302E-3</v>
      </c>
      <c r="AJ96" s="112">
        <f t="shared" si="16"/>
        <v>1.335888087300004E-3</v>
      </c>
    </row>
    <row r="97" spans="14:36" x14ac:dyDescent="0.2">
      <c r="N97" s="85"/>
      <c r="O97" s="85"/>
      <c r="AF97" s="114">
        <f>_xll.qlCalendarAdvance(Calendar,AF96,"1d","mf",,Trigger)</f>
        <v>42872</v>
      </c>
      <c r="AG97" s="100">
        <f>_xll.qlDayCounterYearFraction(DayCounter,SettlementDate,AF97,,,Trigger)</f>
        <v>0.375</v>
      </c>
      <c r="AH97" s="112">
        <f t="shared" si="14"/>
        <v>1.2468752126858094E-3</v>
      </c>
      <c r="AI97" s="112">
        <f t="shared" si="15"/>
        <v>1.3313664173505004E-3</v>
      </c>
      <c r="AJ97" s="112">
        <f t="shared" si="16"/>
        <v>1.3376384675016935E-3</v>
      </c>
    </row>
    <row r="98" spans="14:36" x14ac:dyDescent="0.2">
      <c r="N98" s="85"/>
      <c r="O98" s="85"/>
      <c r="AF98" s="114">
        <f>_xll.qlCalendarAdvance(Calendar,AF97,"1d","mf",,Trigger)</f>
        <v>42873</v>
      </c>
      <c r="AG98" s="100">
        <f>_xll.qlDayCounterYearFraction(DayCounter,SettlementDate,AF98,,,Trigger)</f>
        <v>0.37777777777777777</v>
      </c>
      <c r="AH98" s="112">
        <f t="shared" si="14"/>
        <v>1.2468752126858094E-3</v>
      </c>
      <c r="AI98" s="112">
        <f t="shared" si="15"/>
        <v>1.3332866720019705E-3</v>
      </c>
      <c r="AJ98" s="112">
        <f t="shared" si="16"/>
        <v>1.3393829381844573E-3</v>
      </c>
    </row>
    <row r="99" spans="14:36" x14ac:dyDescent="0.2">
      <c r="N99" s="85"/>
      <c r="O99" s="85"/>
      <c r="AF99" s="114">
        <f>_xll.qlCalendarAdvance(Calendar,AF98,"1d","mf",,Trigger)</f>
        <v>42874</v>
      </c>
      <c r="AG99" s="100">
        <f>_xll.qlDayCounterYearFraction(DayCounter,SettlementDate,AF99,,,Trigger)</f>
        <v>0.38055555555555554</v>
      </c>
      <c r="AH99" s="112">
        <f t="shared" ref="AH99:AH132" si="17">$W$13</f>
        <v>1.2468752126858094E-3</v>
      </c>
      <c r="AI99" s="112">
        <f t="shared" ref="AI99:AI132" si="18">$W$10+$W$9*AG99</f>
        <v>1.3352069266534409E-3</v>
      </c>
      <c r="AJ99" s="112">
        <f t="shared" ref="AJ99:AJ132" si="19">($W$5+$W$4*AG99+$W$3*AG99^2)</f>
        <v>1.3411214993482949E-3</v>
      </c>
    </row>
    <row r="100" spans="14:36" x14ac:dyDescent="0.2">
      <c r="N100" s="85"/>
      <c r="O100" s="85"/>
      <c r="AF100" s="114">
        <f>_xll.qlCalendarAdvance(Calendar,AF99,"1d","mf",,Trigger)</f>
        <v>42877</v>
      </c>
      <c r="AG100" s="100">
        <f>_xll.qlDayCounterYearFraction(DayCounter,SettlementDate,AF100,,,Trigger)</f>
        <v>0.3888888888888889</v>
      </c>
      <c r="AH100" s="112">
        <f t="shared" si="17"/>
        <v>1.2468752126858094E-3</v>
      </c>
      <c r="AI100" s="112">
        <f t="shared" si="18"/>
        <v>1.3409676906078515E-3</v>
      </c>
      <c r="AJ100" s="112">
        <f t="shared" si="19"/>
        <v>1.3463017257262526E-3</v>
      </c>
    </row>
    <row r="101" spans="14:36" x14ac:dyDescent="0.2">
      <c r="N101" s="85"/>
      <c r="O101" s="85"/>
      <c r="AF101" s="114">
        <f>_xll.qlCalendarAdvance(Calendar,AF100,"1d","mf",,Trigger)</f>
        <v>42878</v>
      </c>
      <c r="AG101" s="100">
        <f>_xll.qlDayCounterYearFraction(DayCounter,SettlementDate,AF101,,,Trigger)</f>
        <v>0.39166666666666666</v>
      </c>
      <c r="AH101" s="112">
        <f t="shared" si="17"/>
        <v>1.2468752126858094E-3</v>
      </c>
      <c r="AI101" s="112">
        <f t="shared" si="18"/>
        <v>1.3428879452593218E-3</v>
      </c>
      <c r="AJ101" s="112">
        <f t="shared" si="19"/>
        <v>1.3480166488143866E-3</v>
      </c>
    </row>
    <row r="102" spans="14:36" x14ac:dyDescent="0.2">
      <c r="N102" s="85"/>
      <c r="O102" s="85"/>
      <c r="AF102" s="114">
        <f>_xll.qlCalendarAdvance(Calendar,AF101,"1d","mf",,Trigger)</f>
        <v>42879</v>
      </c>
      <c r="AG102" s="100">
        <f>_xll.qlDayCounterYearFraction(DayCounter,SettlementDate,AF102,,,Trigger)</f>
        <v>0.39444444444444443</v>
      </c>
      <c r="AH102" s="112">
        <f t="shared" si="17"/>
        <v>1.2468752126858094E-3</v>
      </c>
      <c r="AI102" s="112">
        <f t="shared" si="18"/>
        <v>1.3448081999107922E-3</v>
      </c>
      <c r="AJ102" s="112">
        <f t="shared" si="19"/>
        <v>1.3497256623835948E-3</v>
      </c>
    </row>
    <row r="103" spans="14:36" x14ac:dyDescent="0.2">
      <c r="N103" s="85"/>
      <c r="O103" s="85"/>
      <c r="AF103" s="114">
        <f>_xll.qlCalendarAdvance(Calendar,AF102,"1d","mf",,Trigger)</f>
        <v>42880</v>
      </c>
      <c r="AG103" s="100">
        <f>_xll.qlDayCounterYearFraction(DayCounter,SettlementDate,AF103,,,Trigger)</f>
        <v>0.3972222222222222</v>
      </c>
      <c r="AH103" s="112">
        <f t="shared" si="17"/>
        <v>1.2468752126858094E-3</v>
      </c>
      <c r="AI103" s="112">
        <f t="shared" si="18"/>
        <v>1.3467284545622623E-3</v>
      </c>
      <c r="AJ103" s="112">
        <f t="shared" si="19"/>
        <v>1.3514287664338769E-3</v>
      </c>
    </row>
    <row r="104" spans="14:36" x14ac:dyDescent="0.2">
      <c r="N104" s="85"/>
      <c r="O104" s="85"/>
      <c r="AF104" s="114">
        <f>_xll.qlCalendarAdvance(Calendar,AF103,"1d","mf",,Trigger)</f>
        <v>42881</v>
      </c>
      <c r="AG104" s="100">
        <f>_xll.qlDayCounterYearFraction(DayCounter,SettlementDate,AF104,,,Trigger)</f>
        <v>0.4</v>
      </c>
      <c r="AH104" s="112">
        <f t="shared" si="17"/>
        <v>1.2468752126858094E-3</v>
      </c>
      <c r="AI104" s="112">
        <f t="shared" si="18"/>
        <v>1.3486487092137325E-3</v>
      </c>
      <c r="AJ104" s="112">
        <f t="shared" si="19"/>
        <v>1.3531259609652331E-3</v>
      </c>
    </row>
    <row r="105" spans="14:36" x14ac:dyDescent="0.2">
      <c r="N105" s="85"/>
      <c r="O105" s="85"/>
      <c r="AF105" s="114">
        <f>_xll.qlCalendarAdvance(Calendar,AF104,"1d","mf",,Trigger)</f>
        <v>42884</v>
      </c>
      <c r="AG105" s="100">
        <f>_xll.qlDayCounterYearFraction(DayCounter,SettlementDate,AF105,,,Trigger)</f>
        <v>0.40833333333333333</v>
      </c>
      <c r="AH105" s="112">
        <f t="shared" si="17"/>
        <v>1.2468752126858094E-3</v>
      </c>
      <c r="AI105" s="112">
        <f t="shared" si="18"/>
        <v>1.3544094731681433E-3</v>
      </c>
      <c r="AJ105" s="112">
        <f t="shared" si="19"/>
        <v>1.3581820874457463E-3</v>
      </c>
    </row>
    <row r="106" spans="14:36" x14ac:dyDescent="0.2">
      <c r="N106" s="85"/>
      <c r="O106" s="85"/>
      <c r="AF106" s="114">
        <f>_xll.qlCalendarAdvance(Calendar,AF105,"1d","mf",,Trigger)</f>
        <v>42885</v>
      </c>
      <c r="AG106" s="100">
        <f>_xll.qlDayCounterYearFraction(DayCounter,SettlementDate,AF106,,,Trigger)</f>
        <v>0.41111111111111109</v>
      </c>
      <c r="AH106" s="112">
        <f t="shared" si="17"/>
        <v>1.2468752126858094E-3</v>
      </c>
      <c r="AI106" s="112">
        <f t="shared" si="18"/>
        <v>1.3563297278196135E-3</v>
      </c>
      <c r="AJ106" s="112">
        <f t="shared" si="19"/>
        <v>1.3598556439013987E-3</v>
      </c>
    </row>
    <row r="107" spans="14:36" x14ac:dyDescent="0.2">
      <c r="N107" s="85"/>
      <c r="O107" s="85"/>
      <c r="AF107" s="114">
        <f>_xll.qlCalendarAdvance(Calendar,AF106,"1d","mf",,Trigger)</f>
        <v>42886</v>
      </c>
      <c r="AG107" s="100">
        <f>_xll.qlDayCounterYearFraction(DayCounter,SettlementDate,AF107,,,Trigger)</f>
        <v>0.41388888888888886</v>
      </c>
      <c r="AH107" s="112">
        <f t="shared" si="17"/>
        <v>1.2468752126858094E-3</v>
      </c>
      <c r="AI107" s="112">
        <f t="shared" si="18"/>
        <v>1.3582499824710838E-3</v>
      </c>
      <c r="AJ107" s="112">
        <f t="shared" si="19"/>
        <v>1.3615232908381252E-3</v>
      </c>
    </row>
    <row r="108" spans="14:36" x14ac:dyDescent="0.2">
      <c r="N108" s="85"/>
      <c r="O108" s="85"/>
      <c r="AF108" s="114">
        <f>_xll.qlCalendarAdvance(Calendar,AF107,"1d","mf",,Trigger)</f>
        <v>42887</v>
      </c>
      <c r="AG108" s="100">
        <f>_xll.qlDayCounterYearFraction(DayCounter,SettlementDate,AF108,,,Trigger)</f>
        <v>0.41666666666666669</v>
      </c>
      <c r="AH108" s="112">
        <f t="shared" si="17"/>
        <v>1.2468752126858094E-3</v>
      </c>
      <c r="AI108" s="112">
        <f t="shared" si="18"/>
        <v>1.3601702371225542E-3</v>
      </c>
      <c r="AJ108" s="112">
        <f t="shared" si="19"/>
        <v>1.3631850282559261E-3</v>
      </c>
    </row>
    <row r="109" spans="14:36" x14ac:dyDescent="0.2">
      <c r="N109" s="85"/>
      <c r="O109" s="85"/>
      <c r="AF109" s="114">
        <f>_xll.qlCalendarAdvance(Calendar,AF108,"1d","mf",,Trigger)</f>
        <v>42888</v>
      </c>
      <c r="AG109" s="100">
        <f>_xll.qlDayCounterYearFraction(DayCounter,SettlementDate,AF109,,,Trigger)</f>
        <v>0.41944444444444445</v>
      </c>
      <c r="AH109" s="112">
        <f t="shared" si="17"/>
        <v>1.2468752126858094E-3</v>
      </c>
      <c r="AI109" s="112">
        <f t="shared" si="18"/>
        <v>1.3620904917740243E-3</v>
      </c>
      <c r="AJ109" s="112">
        <f t="shared" si="19"/>
        <v>1.3648408561548007E-3</v>
      </c>
    </row>
    <row r="110" spans="14:36" x14ac:dyDescent="0.2">
      <c r="N110" s="85"/>
      <c r="O110" s="85"/>
      <c r="AF110" s="114">
        <f>_xll.qlCalendarAdvance(Calendar,AF109,"1d","mf",,Trigger)</f>
        <v>42891</v>
      </c>
      <c r="AG110" s="100">
        <f>_xll.qlDayCounterYearFraction(DayCounter,SettlementDate,AF110,,,Trigger)</f>
        <v>0.42777777777777776</v>
      </c>
      <c r="AH110" s="112">
        <f t="shared" si="17"/>
        <v>1.2468752126858094E-3</v>
      </c>
      <c r="AI110" s="112">
        <f t="shared" si="18"/>
        <v>1.367851255728435E-3</v>
      </c>
      <c r="AJ110" s="112">
        <f t="shared" si="19"/>
        <v>1.3697728827378689E-3</v>
      </c>
    </row>
    <row r="111" spans="14:36" x14ac:dyDescent="0.2">
      <c r="N111" s="85"/>
      <c r="O111" s="85"/>
      <c r="AF111" s="114">
        <f>_xll.qlCalendarAdvance(Calendar,AF110,"1d","mf",,Trigger)</f>
        <v>42892</v>
      </c>
      <c r="AG111" s="100">
        <f>_xll.qlDayCounterYearFraction(DayCounter,SettlementDate,AF111,,,Trigger)</f>
        <v>0.43055555555555558</v>
      </c>
      <c r="AH111" s="112">
        <f t="shared" si="17"/>
        <v>1.2468752126858094E-3</v>
      </c>
      <c r="AI111" s="112">
        <f t="shared" si="18"/>
        <v>1.3697715103799053E-3</v>
      </c>
      <c r="AJ111" s="112">
        <f t="shared" si="19"/>
        <v>1.3714050725610399E-3</v>
      </c>
    </row>
    <row r="112" spans="14:36" x14ac:dyDescent="0.2">
      <c r="N112" s="85"/>
      <c r="O112" s="85"/>
      <c r="AF112" s="114">
        <f>_xll.qlCalendarAdvance(Calendar,AF111,"1d","mf",,Trigger)</f>
        <v>42893</v>
      </c>
      <c r="AG112" s="100">
        <f>_xll.qlDayCounterYearFraction(DayCounter,SettlementDate,AF112,,,Trigger)</f>
        <v>0.43333333333333335</v>
      </c>
      <c r="AH112" s="112">
        <f t="shared" si="17"/>
        <v>1.2468752126858094E-3</v>
      </c>
      <c r="AI112" s="112">
        <f t="shared" si="18"/>
        <v>1.3716917650313755E-3</v>
      </c>
      <c r="AJ112" s="112">
        <f t="shared" si="19"/>
        <v>1.3730313528652852E-3</v>
      </c>
    </row>
    <row r="113" spans="14:36" x14ac:dyDescent="0.2">
      <c r="N113" s="86"/>
      <c r="O113" s="85"/>
      <c r="AF113" s="114">
        <f>_xll.qlCalendarAdvance(Calendar,AF112,"1d","mf",,Trigger)</f>
        <v>42894</v>
      </c>
      <c r="AG113" s="100">
        <f>_xll.qlDayCounterYearFraction(DayCounter,SettlementDate,AF113,,,Trigger)</f>
        <v>0.43611111111111112</v>
      </c>
      <c r="AH113" s="112">
        <f t="shared" si="17"/>
        <v>1.2468752126858094E-3</v>
      </c>
      <c r="AI113" s="112">
        <f t="shared" si="18"/>
        <v>1.3736120196828458E-3</v>
      </c>
      <c r="AJ113" s="112">
        <f t="shared" si="19"/>
        <v>1.3746517236506042E-3</v>
      </c>
    </row>
    <row r="114" spans="14:36" x14ac:dyDescent="0.2">
      <c r="N114" s="86"/>
      <c r="O114" s="85"/>
      <c r="AF114" s="114">
        <f>_xll.qlCalendarAdvance(Calendar,AF113,"1d","mf",,Trigger)</f>
        <v>42895</v>
      </c>
      <c r="AG114" s="100">
        <f>_xll.qlDayCounterYearFraction(DayCounter,SettlementDate,AF114,,,Trigger)</f>
        <v>0.43888888888888888</v>
      </c>
      <c r="AH114" s="112">
        <f t="shared" si="17"/>
        <v>1.2468752126858094E-3</v>
      </c>
      <c r="AI114" s="112">
        <f t="shared" si="18"/>
        <v>1.375532274334316E-3</v>
      </c>
      <c r="AJ114" s="112">
        <f t="shared" si="19"/>
        <v>1.3762661849169974E-3</v>
      </c>
    </row>
    <row r="115" spans="14:36" x14ac:dyDescent="0.2">
      <c r="N115" s="86"/>
      <c r="O115" s="85"/>
      <c r="AF115" s="114">
        <f>_xll.qlCalendarAdvance(Calendar,AF114,"1d","mf",,Trigger)</f>
        <v>42898</v>
      </c>
      <c r="AG115" s="100">
        <f>_xll.qlDayCounterYearFraction(DayCounter,SettlementDate,AF115,,,Trigger)</f>
        <v>0.44722222222222224</v>
      </c>
      <c r="AH115" s="112">
        <f t="shared" si="17"/>
        <v>1.2468752126858094E-3</v>
      </c>
      <c r="AI115" s="112">
        <f t="shared" si="18"/>
        <v>1.3812930382887268E-3</v>
      </c>
      <c r="AJ115" s="112">
        <f t="shared" si="19"/>
        <v>1.3810741116026214E-3</v>
      </c>
    </row>
    <row r="116" spans="14:36" x14ac:dyDescent="0.2">
      <c r="N116" s="86"/>
      <c r="O116" s="85"/>
      <c r="AF116" s="114">
        <f>_xll.qlCalendarAdvance(Calendar,AF115,"1d","mf",,Trigger)</f>
        <v>42899</v>
      </c>
      <c r="AG116" s="100">
        <f>_xll.qlDayCounterYearFraction(DayCounter,SettlementDate,AF116,,,Trigger)</f>
        <v>0.45</v>
      </c>
      <c r="AH116" s="112">
        <f t="shared" si="17"/>
        <v>1.2468752126858094E-3</v>
      </c>
      <c r="AI116" s="112">
        <f t="shared" si="18"/>
        <v>1.3832132929401969E-3</v>
      </c>
      <c r="AJ116" s="112">
        <f t="shared" si="19"/>
        <v>1.3826649347933107E-3</v>
      </c>
    </row>
    <row r="117" spans="14:36" x14ac:dyDescent="0.2">
      <c r="N117" s="86"/>
      <c r="O117" s="85"/>
      <c r="AF117" s="114">
        <f>_xll.qlCalendarAdvance(Calendar,AF116,"1d","mf",,Trigger)</f>
        <v>42900</v>
      </c>
      <c r="AG117" s="100">
        <f>_xll.qlDayCounterYearFraction(DayCounter,SettlementDate,AF117,,,Trigger)</f>
        <v>0.45277777777777778</v>
      </c>
      <c r="AH117" s="112">
        <f t="shared" si="17"/>
        <v>1.2468752126858094E-3</v>
      </c>
      <c r="AI117" s="112">
        <f t="shared" si="18"/>
        <v>1.3851335475916673E-3</v>
      </c>
      <c r="AJ117" s="112">
        <f t="shared" si="19"/>
        <v>1.3842498484650742E-3</v>
      </c>
    </row>
    <row r="118" spans="14:36" x14ac:dyDescent="0.2">
      <c r="N118" s="86"/>
      <c r="O118" s="85"/>
      <c r="AF118" s="114">
        <f>_xll.qlCalendarAdvance(Calendar,AF117,"1d","mf",,Trigger)</f>
        <v>42901</v>
      </c>
      <c r="AG118" s="100">
        <f>_xll.qlDayCounterYearFraction(DayCounter,SettlementDate,AF118,,,Trigger)</f>
        <v>0.45555555555555555</v>
      </c>
      <c r="AH118" s="112">
        <f t="shared" si="17"/>
        <v>1.2468752126858094E-3</v>
      </c>
      <c r="AI118" s="112">
        <f t="shared" si="18"/>
        <v>1.3870538022431374E-3</v>
      </c>
      <c r="AJ118" s="112">
        <f t="shared" si="19"/>
        <v>1.3858288526179118E-3</v>
      </c>
    </row>
    <row r="119" spans="14:36" x14ac:dyDescent="0.2">
      <c r="N119" s="86"/>
      <c r="O119" s="86"/>
      <c r="AF119" s="114">
        <f>_xll.qlCalendarAdvance(Calendar,AF118,"1d","mf",,Trigger)</f>
        <v>42902</v>
      </c>
      <c r="AG119" s="100">
        <f>_xll.qlDayCounterYearFraction(DayCounter,SettlementDate,AF119,,,Trigger)</f>
        <v>0.45833333333333331</v>
      </c>
      <c r="AH119" s="112">
        <f t="shared" si="17"/>
        <v>1.2468752126858094E-3</v>
      </c>
      <c r="AI119" s="112">
        <f t="shared" si="18"/>
        <v>1.3889740568946078E-3</v>
      </c>
      <c r="AJ119" s="112">
        <f t="shared" si="19"/>
        <v>1.3874019472518233E-3</v>
      </c>
    </row>
    <row r="120" spans="14:36" x14ac:dyDescent="0.2">
      <c r="N120" s="86"/>
      <c r="O120" s="86"/>
      <c r="AF120" s="114">
        <f>_xll.qlCalendarAdvance(Calendar,AF119,"1d","mf",,Trigger)</f>
        <v>42905</v>
      </c>
      <c r="AG120" s="100">
        <f>_xll.qlDayCounterYearFraction(DayCounter,SettlementDate,AF120,,,Trigger)</f>
        <v>0.46666666666666667</v>
      </c>
      <c r="AH120" s="112">
        <f t="shared" si="17"/>
        <v>1.2468752126858094E-3</v>
      </c>
      <c r="AI120" s="112">
        <f t="shared" si="18"/>
        <v>1.3947348208490184E-3</v>
      </c>
      <c r="AJ120" s="112">
        <f t="shared" si="19"/>
        <v>1.3920857740400028E-3</v>
      </c>
    </row>
    <row r="121" spans="14:36" x14ac:dyDescent="0.2">
      <c r="N121" s="86"/>
      <c r="O121" s="86"/>
      <c r="AF121" s="114">
        <f>_xll.qlCalendarAdvance(Calendar,AF120,"1d","mf",,Trigger)</f>
        <v>42906</v>
      </c>
      <c r="AG121" s="100">
        <f>_xll.qlDayCounterYearFraction(DayCounter,SettlementDate,AF121,,,Trigger)</f>
        <v>0.46944444444444444</v>
      </c>
      <c r="AH121" s="112">
        <f t="shared" si="17"/>
        <v>1.2468752126858094E-3</v>
      </c>
      <c r="AI121" s="112">
        <f t="shared" si="18"/>
        <v>1.3966550755004888E-3</v>
      </c>
      <c r="AJ121" s="112">
        <f t="shared" si="19"/>
        <v>1.3936352305982109E-3</v>
      </c>
    </row>
    <row r="122" spans="14:36" x14ac:dyDescent="0.2">
      <c r="N122" s="86"/>
      <c r="O122" s="86"/>
      <c r="AF122" s="114">
        <f>_xll.qlCalendarAdvance(Calendar,AF121,"1d","mf",,Trigger)</f>
        <v>42907</v>
      </c>
      <c r="AG122" s="100">
        <f>_xll.qlDayCounterYearFraction(DayCounter,SettlementDate,AF122,,,Trigger)</f>
        <v>0.47222222222222221</v>
      </c>
      <c r="AH122" s="112">
        <f t="shared" si="17"/>
        <v>1.2468752126858094E-3</v>
      </c>
      <c r="AI122" s="112">
        <f t="shared" si="18"/>
        <v>1.3985753301519589E-3</v>
      </c>
      <c r="AJ122" s="112">
        <f t="shared" si="19"/>
        <v>1.395178777637493E-3</v>
      </c>
    </row>
    <row r="123" spans="14:36" x14ac:dyDescent="0.2">
      <c r="N123" s="86"/>
      <c r="O123" s="86"/>
      <c r="AF123" s="114">
        <f>_xll.qlCalendarAdvance(Calendar,AF122,"1d","mf",,Trigger)</f>
        <v>42908</v>
      </c>
      <c r="AG123" s="100">
        <f>_xll.qlDayCounterYearFraction(DayCounter,SettlementDate,AF123,,,Trigger)</f>
        <v>0.47499999999999998</v>
      </c>
      <c r="AH123" s="112">
        <f t="shared" si="17"/>
        <v>1.2468752126858094E-3</v>
      </c>
      <c r="AI123" s="112">
        <f t="shared" si="18"/>
        <v>1.4004955848034291E-3</v>
      </c>
      <c r="AJ123" s="112">
        <f t="shared" si="19"/>
        <v>1.396716415157849E-3</v>
      </c>
    </row>
    <row r="124" spans="14:36" x14ac:dyDescent="0.2">
      <c r="N124" s="86"/>
      <c r="O124" s="86"/>
      <c r="AF124" s="114">
        <f>_xll.qlCalendarAdvance(Calendar,AF123,"1d","mf",,Trigger)</f>
        <v>42909</v>
      </c>
      <c r="AG124" s="100">
        <f>_xll.qlDayCounterYearFraction(DayCounter,SettlementDate,AF124,,,Trigger)</f>
        <v>0.4777777777777778</v>
      </c>
      <c r="AH124" s="112">
        <f t="shared" si="17"/>
        <v>1.2468752126858094E-3</v>
      </c>
      <c r="AI124" s="112">
        <f t="shared" si="18"/>
        <v>1.4024158394548994E-3</v>
      </c>
      <c r="AJ124" s="112">
        <f t="shared" si="19"/>
        <v>1.3982481431592791E-3</v>
      </c>
    </row>
    <row r="125" spans="14:36" x14ac:dyDescent="0.2">
      <c r="N125" s="86"/>
      <c r="O125" s="86"/>
      <c r="AF125" s="114">
        <f>_xll.qlCalendarAdvance(Calendar,AF124,"1d","mf",,Trigger)</f>
        <v>42912</v>
      </c>
      <c r="AG125" s="100">
        <f>_xll.qlDayCounterYearFraction(DayCounter,SettlementDate,AF125,,,Trigger)</f>
        <v>0.4861111111111111</v>
      </c>
      <c r="AH125" s="112">
        <f t="shared" si="17"/>
        <v>1.2468752126858094E-3</v>
      </c>
      <c r="AI125" s="112">
        <f t="shared" si="18"/>
        <v>1.4081766034093101E-3</v>
      </c>
      <c r="AJ125" s="112">
        <f t="shared" si="19"/>
        <v>1.4028078700500139E-3</v>
      </c>
    </row>
    <row r="126" spans="14:36" x14ac:dyDescent="0.2">
      <c r="N126" s="86"/>
      <c r="O126" s="86"/>
      <c r="AF126" s="114">
        <f>_xll.qlCalendarAdvance(Calendar,AF125,"1d","mf",,Trigger)</f>
        <v>42913</v>
      </c>
      <c r="AG126" s="100">
        <f>_xll.qlDayCounterYearFraction(DayCounter,SettlementDate,AF126,,,Trigger)</f>
        <v>0.48888888888888887</v>
      </c>
      <c r="AH126" s="112">
        <f t="shared" si="17"/>
        <v>1.2468752126858094E-3</v>
      </c>
      <c r="AI126" s="112">
        <f t="shared" si="18"/>
        <v>1.4100968580607804E-3</v>
      </c>
      <c r="AJ126" s="112">
        <f t="shared" si="19"/>
        <v>1.4043159599757403E-3</v>
      </c>
    </row>
    <row r="127" spans="14:36" x14ac:dyDescent="0.2">
      <c r="N127" s="86"/>
      <c r="O127" s="86"/>
      <c r="AF127" s="114">
        <f>_xll.qlCalendarAdvance(Calendar,AF126,"1d","mf",,Trigger)</f>
        <v>42914</v>
      </c>
      <c r="AG127" s="100">
        <f>_xll.qlDayCounterYearFraction(DayCounter,SettlementDate,AF127,,,Trigger)</f>
        <v>0.49166666666666664</v>
      </c>
      <c r="AH127" s="112">
        <f t="shared" si="17"/>
        <v>1.2468752126858094E-3</v>
      </c>
      <c r="AI127" s="112">
        <f t="shared" si="18"/>
        <v>1.4120171127122508E-3</v>
      </c>
      <c r="AJ127" s="112">
        <f t="shared" si="19"/>
        <v>1.4058181403825407E-3</v>
      </c>
    </row>
    <row r="128" spans="14:36" x14ac:dyDescent="0.2">
      <c r="N128" s="86"/>
      <c r="O128" s="86"/>
      <c r="AF128" s="114">
        <f>_xll.qlCalendarAdvance(Calendar,AF127,"1d","mf",,Trigger)</f>
        <v>42915</v>
      </c>
      <c r="AG128" s="100">
        <f>_xll.qlDayCounterYearFraction(DayCounter,SettlementDate,AF128,,,Trigger)</f>
        <v>0.49444444444444446</v>
      </c>
      <c r="AH128" s="112">
        <f t="shared" si="17"/>
        <v>1.2468752126858094E-3</v>
      </c>
      <c r="AI128" s="112">
        <f t="shared" si="18"/>
        <v>1.4139373673637209E-3</v>
      </c>
      <c r="AJ128" s="112">
        <f t="shared" si="19"/>
        <v>1.4073144112704155E-3</v>
      </c>
    </row>
    <row r="129" spans="15:36" x14ac:dyDescent="0.2">
      <c r="O129" s="86"/>
      <c r="AF129" s="114">
        <f>_xll.qlCalendarAdvance(Calendar,AF128,"1d","mf",,Trigger)</f>
        <v>42916</v>
      </c>
      <c r="AG129" s="100">
        <f>_xll.qlDayCounterYearFraction(DayCounter,SettlementDate,AF129,,,Trigger)</f>
        <v>0.49722222222222223</v>
      </c>
      <c r="AH129" s="112">
        <f t="shared" si="17"/>
        <v>1.2468752126858094E-3</v>
      </c>
      <c r="AI129" s="112">
        <f t="shared" si="18"/>
        <v>1.4158576220151911E-3</v>
      </c>
      <c r="AJ129" s="112">
        <f t="shared" si="19"/>
        <v>1.408804772639364E-3</v>
      </c>
    </row>
    <row r="130" spans="15:36" x14ac:dyDescent="0.2">
      <c r="O130" s="86"/>
      <c r="AF130" s="114">
        <f>_xll.qlCalendarAdvance(Calendar,AF129,"1d","mf",,Trigger)</f>
        <v>42919</v>
      </c>
      <c r="AG130" s="100">
        <f>_xll.qlDayCounterYearFraction(DayCounter,SettlementDate,AF130,,,Trigger)</f>
        <v>0.50555555555555554</v>
      </c>
      <c r="AH130" s="112">
        <f t="shared" si="17"/>
        <v>1.2468752126858094E-3</v>
      </c>
      <c r="AI130" s="112">
        <f t="shared" si="18"/>
        <v>1.4216183859696019E-3</v>
      </c>
      <c r="AJ130" s="112">
        <f t="shared" si="19"/>
        <v>1.4132403996326541E-3</v>
      </c>
    </row>
    <row r="131" spans="15:36" x14ac:dyDescent="0.2">
      <c r="O131" s="86"/>
      <c r="AF131" s="114">
        <f>_xll.qlCalendarAdvance(Calendar,AF130,"1d","mf",,Trigger)</f>
        <v>42920</v>
      </c>
      <c r="AG131" s="100">
        <f>_xll.qlDayCounterYearFraction(DayCounter,SettlementDate,AF131,,,Trigger)</f>
        <v>0.5083333333333333</v>
      </c>
      <c r="AH131" s="112">
        <f t="shared" si="17"/>
        <v>1.2468752126858094E-3</v>
      </c>
      <c r="AI131" s="112">
        <f t="shared" si="18"/>
        <v>1.423538640621072E-3</v>
      </c>
      <c r="AJ131" s="112">
        <f t="shared" si="19"/>
        <v>1.4147071229258989E-3</v>
      </c>
    </row>
    <row r="132" spans="15:36" x14ac:dyDescent="0.2">
      <c r="O132" s="86"/>
      <c r="AF132" s="118">
        <f>_xll.qlCalendarAdvance(Calendar,AF131,"1d","mf",,Trigger)</f>
        <v>42921</v>
      </c>
      <c r="AG132" s="105">
        <f>_xll.qlDayCounterYearFraction(DayCounter,SettlementDate,AF132,,,Trigger)</f>
        <v>0.51111111111111107</v>
      </c>
      <c r="AH132" s="121">
        <f t="shared" si="17"/>
        <v>1.2468752126858094E-3</v>
      </c>
      <c r="AI132" s="121">
        <f t="shared" si="18"/>
        <v>1.4254588952725424E-3</v>
      </c>
      <c r="AJ132" s="121">
        <f t="shared" si="19"/>
        <v>1.4161679367002181E-3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J259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118</v>
      </c>
      <c r="G2" s="87" t="s">
        <v>119</v>
      </c>
      <c r="H2" s="87" t="s">
        <v>117</v>
      </c>
      <c r="I2" s="87" t="s">
        <v>120</v>
      </c>
      <c r="J2" s="87" t="s">
        <v>121</v>
      </c>
      <c r="K2" s="87" t="s">
        <v>125</v>
      </c>
      <c r="L2" s="87" t="s">
        <v>126</v>
      </c>
      <c r="M2" s="87" t="s">
        <v>96</v>
      </c>
      <c r="N2" s="88" t="s">
        <v>97</v>
      </c>
      <c r="O2" s="87" t="s">
        <v>98</v>
      </c>
      <c r="P2" s="87" t="s">
        <v>104</v>
      </c>
      <c r="W2" s="77" t="s">
        <v>94</v>
      </c>
      <c r="AA2" s="411" t="s">
        <v>93</v>
      </c>
      <c r="AB2" s="411"/>
      <c r="AC2" s="411"/>
      <c r="AF2" s="87" t="s">
        <v>80</v>
      </c>
      <c r="AG2" s="87" t="s">
        <v>117</v>
      </c>
      <c r="AH2" s="87" t="s">
        <v>34</v>
      </c>
      <c r="AI2" s="87" t="s">
        <v>87</v>
      </c>
      <c r="AJ2" s="87" t="s">
        <v>88</v>
      </c>
    </row>
    <row r="3" spans="1:36" ht="12.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42737</v>
      </c>
      <c r="E3" s="93">
        <f>_xll.qlInterestRateIndexMaturity($D$10,D3)</f>
        <v>43102</v>
      </c>
      <c r="F3" s="127">
        <f>_xll.qlYieldTSDiscount(OvernightCurve,D3,,AllTriggers)</f>
        <v>1.0000352787656608</v>
      </c>
      <c r="G3" s="127">
        <f>_xll.qlYieldTSDiscount(OvernightCurve,E3,,AllTriggers)</f>
        <v>1.0035251769469908</v>
      </c>
      <c r="H3" s="128">
        <f>_xll.qlDayCounterYearFraction(DayCounter,D3,E3,,,Trigger)</f>
        <v>1.0138888888888888</v>
      </c>
      <c r="I3" s="129">
        <f>(F3/G3-1)/H3</f>
        <v>-3.430000000000078E-3</v>
      </c>
      <c r="J3" s="94">
        <f>'Delta 6M '!P3</f>
        <v>6.3965621964441773E-4</v>
      </c>
      <c r="K3" s="95">
        <f>_xll.qlDayCounterYearFraction(DayCounter,SettlementDate,D3,,,Trigger)</f>
        <v>0</v>
      </c>
      <c r="L3" s="95">
        <f>_xll.qlDayCounterYearFraction(DayCounter,SettlementDate,E3,,,Trigger)</f>
        <v>1.0138888888888888</v>
      </c>
      <c r="M3" s="95">
        <f>L3-K3</f>
        <v>1.0138888888888888</v>
      </c>
      <c r="N3" s="95">
        <f>(L3^2-K3^2)/2</f>
        <v>0.51398533950617276</v>
      </c>
      <c r="O3" s="95">
        <f>(L3^3-K3^3)/3</f>
        <v>0.34741601651806114</v>
      </c>
      <c r="P3" s="96" t="b">
        <f>IF(D12="fixing",TRUE,FALSE)</f>
        <v>0</v>
      </c>
      <c r="R3" s="412" t="s">
        <v>90</v>
      </c>
      <c r="S3" s="72">
        <f t="array" ref="S3:S5">_xll.ohFilter(O3:O7,P3:P7)</f>
        <v>0.34741601651806114</v>
      </c>
      <c r="T3" s="78">
        <f t="array" ref="T3:T5">_xll.ohFilter(N3:N7,P3:P7)</f>
        <v>0.51398533950617276</v>
      </c>
      <c r="U3" s="73">
        <f t="array" ref="U3:U5">_xll.ohFilter(M3:M7,P3:P7)</f>
        <v>1.0138888888888888</v>
      </c>
      <c r="V3" s="79"/>
      <c r="W3" s="74">
        <f t="array" ref="W3:W5">MMULT(AA3:AC5,Y3:Y5)</f>
        <v>9.8738927544472777E-6</v>
      </c>
      <c r="X3" s="80"/>
      <c r="Y3" s="147">
        <f t="array" ref="Y3:Y5">_xll.ohFilter(J3:J7,P3:P7)</f>
        <v>2.602911496730156E-3</v>
      </c>
      <c r="AA3" s="72">
        <f t="array" ref="AA3:AC5">MINVERSE(S3:U5)</f>
        <v>69.887729652404559</v>
      </c>
      <c r="AB3" s="78">
        <v>-147.26343033899528</v>
      </c>
      <c r="AC3" s="73">
        <v>77.375700686590761</v>
      </c>
      <c r="AF3" s="109">
        <f>SettlementDate</f>
        <v>42737</v>
      </c>
      <c r="AG3" s="100">
        <f>_xll.qlDayCounterYearFraction(DayCounter,SettlementDate,AF3,,,Trigger)</f>
        <v>0</v>
      </c>
      <c r="AH3" s="125">
        <f t="shared" ref="AH3:AH66" si="0">$W$13</f>
        <v>2.5672551748571401E-3</v>
      </c>
      <c r="AI3" s="125">
        <f t="shared" ref="AI3:AI66" si="1">$W$10+$W$9*AG3</f>
        <v>2.1214974245744866E-3</v>
      </c>
      <c r="AJ3" s="125">
        <f t="shared" ref="AJ3:AJ66" si="2">($W$5+$W$4*AG3+$W$3*AG3^2)</f>
        <v>2.1236201337459862E-3</v>
      </c>
    </row>
    <row r="4" spans="1:36" ht="12.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42737</v>
      </c>
      <c r="E4" s="98">
        <f>_xll.qlInterestRateIndexMaturity($D$10,D4)</f>
        <v>43102</v>
      </c>
      <c r="F4" s="130">
        <f>_xll.qlYieldTSDiscount(OvernightCurve,D4,,AllTriggers)</f>
        <v>1.0000352787656608</v>
      </c>
      <c r="G4" s="130">
        <f>_xll.qlYieldTSDiscount(OvernightCurve,E4,,AllTriggers)</f>
        <v>1.0035251769469908</v>
      </c>
      <c r="H4" s="131">
        <f>_xll.qlDayCounterYearFraction(DayCounter,D4,E4,,,Trigger)</f>
        <v>1.0138888888888888</v>
      </c>
      <c r="I4" s="132">
        <f t="shared" ref="I4:I7" si="3">(F4/G4-1)/H4</f>
        <v>-3.430000000000078E-3</v>
      </c>
      <c r="J4" s="99">
        <f>LN((1+(_xll.qlInterpolationInterpolate(B12Minterpolation,D4,TRUE,AllTriggers)+I4)*H4)/(1+I4*H4))</f>
        <v>2.602911496730156E-3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1.0138888888888888</v>
      </c>
      <c r="M4" s="100">
        <f>L4-K4</f>
        <v>1.0138888888888888</v>
      </c>
      <c r="N4" s="100">
        <f>(L4^2-K4^2)/2</f>
        <v>0.51398533950617276</v>
      </c>
      <c r="O4" s="100">
        <f>(L4^3-K4^3)/3</f>
        <v>0.34741601651806114</v>
      </c>
      <c r="P4" s="101" t="b">
        <f>IF(D12="fixing",FALSE,TRUE)</f>
        <v>1</v>
      </c>
      <c r="R4" s="412"/>
      <c r="S4" s="72">
        <v>0.44345382516003667</v>
      </c>
      <c r="T4" s="78">
        <v>0.60129243827160506</v>
      </c>
      <c r="U4" s="73">
        <v>1.0138888888888891</v>
      </c>
      <c r="V4" s="81" t="s">
        <v>32</v>
      </c>
      <c r="W4" s="74">
        <v>8.6844167743183043E-4</v>
      </c>
      <c r="X4" s="81" t="s">
        <v>33</v>
      </c>
      <c r="Y4" s="147">
        <v>2.6796808870566137E-3</v>
      </c>
      <c r="AA4" s="72">
        <v>-88.330324977344574</v>
      </c>
      <c r="AB4" s="78">
        <v>173.44359573259445</v>
      </c>
      <c r="AC4" s="73">
        <v>-85.1132707552499</v>
      </c>
      <c r="AF4" s="114">
        <f>_xll.qlCalendarAdvance(Calendar,AF3,"1d","mf",,Trigger)</f>
        <v>42738</v>
      </c>
      <c r="AG4" s="100">
        <f>_xll.qlDayCounterYearFraction(DayCounter,SettlementDate,AF4,,,Trigger)</f>
        <v>2.7777777777777779E-3</v>
      </c>
      <c r="AH4" s="112">
        <f t="shared" si="0"/>
        <v>2.5672551748571401E-3</v>
      </c>
      <c r="AI4" s="112">
        <f t="shared" si="1"/>
        <v>2.1239399327952135E-3</v>
      </c>
      <c r="AJ4" s="112">
        <f t="shared" si="2"/>
        <v>2.1260325479262963E-3</v>
      </c>
    </row>
    <row r="5" spans="1:36" ht="12.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42768</v>
      </c>
      <c r="E5" s="98">
        <f>_xll.qlInterestRateIndexMaturity($D$10,D5)</f>
        <v>43133</v>
      </c>
      <c r="F5" s="130">
        <f>_xll.qlYieldTSDiscount(OvernightCurve,D5,,AllTriggers)</f>
        <v>1.0003350458344147</v>
      </c>
      <c r="G5" s="130">
        <f>_xll.qlYieldTSDiscount(OvernightCurve,E5,,AllTriggers)</f>
        <v>1.0038130681300788</v>
      </c>
      <c r="H5" s="131">
        <f>_xll.qlDayCounterYearFraction(DayCounter,D5,E5,,,Trigger)</f>
        <v>1.0138888888888888</v>
      </c>
      <c r="I5" s="132">
        <f t="shared" si="3"/>
        <v>-3.4173475754980033E-3</v>
      </c>
      <c r="J5" s="99">
        <f>LN((1+(_xll.qlInterpolationInterpolate(B12Minterpolation,D5,TRUE,AllTriggers)+I5)*H5)/(1+I5*H5))</f>
        <v>2.6796808870566137E-3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1.1000000000000001</v>
      </c>
      <c r="M5" s="100">
        <f>L5-K5</f>
        <v>1.0138888888888891</v>
      </c>
      <c r="N5" s="100">
        <f>(L5^2-K5^2)/2</f>
        <v>0.60129243827160506</v>
      </c>
      <c r="O5" s="100">
        <f>(L5^3-K5^3)/3</f>
        <v>0.44345382516003667</v>
      </c>
      <c r="P5" s="101" t="b">
        <v>1</v>
      </c>
      <c r="R5" s="412"/>
      <c r="S5" s="72">
        <v>0.54312160636716966</v>
      </c>
      <c r="T5" s="78">
        <v>0.680150462962963</v>
      </c>
      <c r="U5" s="73">
        <v>1.0138888888888888</v>
      </c>
      <c r="V5" s="62"/>
      <c r="W5" s="74">
        <v>2.1236201337459862E-3</v>
      </c>
      <c r="X5" s="81"/>
      <c r="Y5" s="147">
        <v>2.7491485912812456E-3</v>
      </c>
      <c r="AA5" s="72">
        <v>21.817356591295678</v>
      </c>
      <c r="AB5" s="78">
        <v>-37.465437788018825</v>
      </c>
      <c r="AC5" s="73">
        <v>16.634382566586169</v>
      </c>
      <c r="AF5" s="114">
        <f>_xll.qlCalendarAdvance(Calendar,AF4,"1d","mf",,Trigger)</f>
        <v>42739</v>
      </c>
      <c r="AG5" s="100">
        <f>_xll.qlDayCounterYearFraction(DayCounter,SettlementDate,AF5,,,Trigger)</f>
        <v>5.5555555555555558E-3</v>
      </c>
      <c r="AH5" s="112">
        <f t="shared" si="0"/>
        <v>2.5672551748571401E-3</v>
      </c>
      <c r="AI5" s="112">
        <f t="shared" si="1"/>
        <v>2.1263824410159404E-3</v>
      </c>
      <c r="AJ5" s="112">
        <f t="shared" si="2"/>
        <v>2.1284451144814947E-3</v>
      </c>
    </row>
    <row r="6" spans="1:36" ht="12.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42796</v>
      </c>
      <c r="E6" s="98">
        <f>_xll.qlInterestRateIndexMaturity($D$10,D6)</f>
        <v>43161</v>
      </c>
      <c r="F6" s="130">
        <f>_xll.qlYieldTSDiscount(OvernightCurve,D6,,AllTriggers)</f>
        <v>1.0006059576967901</v>
      </c>
      <c r="G6" s="130">
        <f>_xll.qlYieldTSDiscount(OvernightCurve,E6,,AllTriggers)</f>
        <v>1.0040731698634651</v>
      </c>
      <c r="H6" s="131">
        <f>_xll.qlDayCounterYearFraction(DayCounter,D6,E6,,,Trigger)</f>
        <v>1.0138888888888888</v>
      </c>
      <c r="I6" s="132">
        <f t="shared" si="3"/>
        <v>-3.4058435303696596E-3</v>
      </c>
      <c r="J6" s="99">
        <f>LN((1+(_xll.qlInterpolationInterpolate(B12Minterpolation,D6,TRUE,AllTriggers)+I6)*H6)/(1+I6*H6))</f>
        <v>2.7491485912812456E-3</v>
      </c>
      <c r="K6" s="100">
        <f>_xll.qlDayCounterYearFraction(DayCounter,SettlementDate,D6,,,Trigger)</f>
        <v>0.16388888888888889</v>
      </c>
      <c r="L6" s="100">
        <f>_xll.qlDayCounterYearFraction(DayCounter,SettlementDate,E6,,,Trigger)</f>
        <v>1.1777777777777778</v>
      </c>
      <c r="M6" s="100">
        <f>L6-K6</f>
        <v>1.0138888888888888</v>
      </c>
      <c r="N6" s="100">
        <f>(L6^2-K6^2)/2</f>
        <v>0.680150462962963</v>
      </c>
      <c r="O6" s="100">
        <f>(L6^3-K6^3)/3</f>
        <v>0.54312160636716966</v>
      </c>
      <c r="P6" s="101" t="b">
        <v>1</v>
      </c>
      <c r="W6" s="76"/>
      <c r="X6" s="69"/>
      <c r="Y6" s="70"/>
      <c r="AF6" s="114">
        <f>_xll.qlCalendarAdvance(Calendar,AF5,"1d","mf",,Trigger)</f>
        <v>42740</v>
      </c>
      <c r="AG6" s="100">
        <f>_xll.qlDayCounterYearFraction(DayCounter,SettlementDate,AF6,,,Trigger)</f>
        <v>8.3333333333333332E-3</v>
      </c>
      <c r="AH6" s="112">
        <f t="shared" si="0"/>
        <v>2.5672551748571401E-3</v>
      </c>
      <c r="AI6" s="112">
        <f t="shared" si="1"/>
        <v>2.1288249492366672E-3</v>
      </c>
      <c r="AJ6" s="112">
        <f t="shared" si="2"/>
        <v>2.1308578334115814E-3</v>
      </c>
    </row>
    <row r="7" spans="1:36" ht="12.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42828</v>
      </c>
      <c r="E7" s="103">
        <f>_xll.qlInterestRateIndexMaturity($D$10,D7)</f>
        <v>43193</v>
      </c>
      <c r="F7" s="133">
        <f>_xll.qlYieldTSDiscount(OvernightCurve,D7,,AllTriggers)</f>
        <v>1.0009153176886199</v>
      </c>
      <c r="G7" s="133">
        <f>_xll.qlYieldTSDiscount(OvernightCurve,E7,,AllTriggers)</f>
        <v>1.0043705115139778</v>
      </c>
      <c r="H7" s="134">
        <f>_xll.qlDayCounterYearFraction(DayCounter,D7,E7,,,Trigger)</f>
        <v>1.0138888888888888</v>
      </c>
      <c r="I7" s="135">
        <f t="shared" si="3"/>
        <v>-3.3930331128059926E-3</v>
      </c>
      <c r="J7" s="104">
        <f>LN((1+(_xll.qlInterpolationInterpolate(B12Minterpolation,D7,TRUE,AllTriggers)+I7)*H7)/(1+I7*H7))</f>
        <v>2.8274259693311212E-3</v>
      </c>
      <c r="K7" s="105">
        <f>_xll.qlDayCounterYearFraction(DayCounter,SettlementDate,D7,,,Trigger)</f>
        <v>0.25277777777777777</v>
      </c>
      <c r="L7" s="105">
        <f>_xll.qlDayCounterYearFraction(DayCounter,SettlementDate,E7,,,Trigger)</f>
        <v>1.2666666666666666</v>
      </c>
      <c r="M7" s="105">
        <f>L7-K7</f>
        <v>1.0138888888888888</v>
      </c>
      <c r="N7" s="105">
        <f>(L7^2-K7^2)/2</f>
        <v>0.77027391975308634</v>
      </c>
      <c r="O7" s="105">
        <f>(L7^3-K7^3)/3</f>
        <v>0.67204821816415172</v>
      </c>
      <c r="P7" s="106" t="b">
        <v>0</v>
      </c>
      <c r="W7" s="76"/>
      <c r="X7" s="69"/>
      <c r="Y7" s="70"/>
      <c r="AF7" s="114">
        <f>_xll.qlCalendarAdvance(Calendar,AF6,"1d","mf",,Trigger)</f>
        <v>42741</v>
      </c>
      <c r="AG7" s="100">
        <f>_xll.qlDayCounterYearFraction(DayCounter,SettlementDate,AF7,,,Trigger)</f>
        <v>1.1111111111111112E-2</v>
      </c>
      <c r="AH7" s="112">
        <f t="shared" si="0"/>
        <v>2.5672551748571401E-3</v>
      </c>
      <c r="AI7" s="112">
        <f t="shared" si="1"/>
        <v>2.1312674574573941E-3</v>
      </c>
      <c r="AJ7" s="112">
        <f t="shared" si="2"/>
        <v>2.1332707047165564E-3</v>
      </c>
    </row>
    <row r="8" spans="1:36" ht="12.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42744</v>
      </c>
      <c r="AG8" s="100">
        <f>_xll.qlDayCounterYearFraction(DayCounter,SettlementDate,AF8,,,Trigger)</f>
        <v>1.9444444444444445E-2</v>
      </c>
      <c r="AH8" s="112">
        <f t="shared" si="0"/>
        <v>2.5672551748571401E-3</v>
      </c>
      <c r="AI8" s="112">
        <f t="shared" si="1"/>
        <v>2.1385949821195746E-3</v>
      </c>
      <c r="AJ8" s="112">
        <f t="shared" si="2"/>
        <v>2.1405102328808101E-3</v>
      </c>
    </row>
    <row r="9" spans="1:36" ht="12.2" customHeight="1" x14ac:dyDescent="0.2">
      <c r="C9" s="87" t="s">
        <v>132</v>
      </c>
      <c r="D9" s="122" t="s">
        <v>23</v>
      </c>
      <c r="R9" s="411" t="s">
        <v>91</v>
      </c>
      <c r="S9" s="71"/>
      <c r="T9" s="72">
        <f t="array" ref="T9:T10">_xll.ohFilter(N3:N7,P3:P7)</f>
        <v>0.51398533950617276</v>
      </c>
      <c r="U9" s="73">
        <f t="array" ref="U9:U10">_xll.ohFilter(M3:M7,P3:P7)</f>
        <v>1.0138888888888888</v>
      </c>
      <c r="V9" s="413" t="s">
        <v>32</v>
      </c>
      <c r="W9" s="74">
        <f t="array" ref="W9:W10">MMULT(AA9:AB10,Y9:Y10)</f>
        <v>8.7930295946167178E-4</v>
      </c>
      <c r="X9" s="413" t="s">
        <v>33</v>
      </c>
      <c r="Y9" s="147">
        <f t="array" ref="Y9:Y10">_xll.ohFilter(J3:J7,P3:P7)</f>
        <v>2.602911496730156E-3</v>
      </c>
      <c r="AA9" s="72">
        <f t="array" ref="AA9:AB10">MINVERSE(T9:U10)</f>
        <v>-11.453822359699512</v>
      </c>
      <c r="AB9" s="73">
        <v>11.453822359699508</v>
      </c>
      <c r="AF9" s="114">
        <f>_xll.qlCalendarAdvance(Calendar,AF8,"1d","mf",,Trigger)</f>
        <v>42745</v>
      </c>
      <c r="AG9" s="100">
        <f>_xll.qlDayCounterYearFraction(DayCounter,SettlementDate,AF9,,,Trigger)</f>
        <v>2.2222222222222223E-2</v>
      </c>
      <c r="AH9" s="112">
        <f t="shared" si="0"/>
        <v>2.5672551748571401E-3</v>
      </c>
      <c r="AI9" s="112">
        <f t="shared" si="1"/>
        <v>2.1410374903403015E-3</v>
      </c>
      <c r="AJ9" s="112">
        <f t="shared" si="2"/>
        <v>2.142923713685338E-3</v>
      </c>
    </row>
    <row r="10" spans="1:36" ht="12.2" customHeight="1" x14ac:dyDescent="0.2">
      <c r="C10" s="87" t="s">
        <v>103</v>
      </c>
      <c r="D10" s="122" t="str">
        <f>PROPER(Currency)&amp;IborType&amp;$D$9</f>
        <v>Euribor1Y</v>
      </c>
      <c r="R10" s="411"/>
      <c r="S10" s="71"/>
      <c r="T10" s="72">
        <v>0.60129243827160506</v>
      </c>
      <c r="U10" s="73">
        <v>1.0138888888888891</v>
      </c>
      <c r="V10" s="413"/>
      <c r="W10" s="74">
        <v>2.1214974245744866E-3</v>
      </c>
      <c r="X10" s="413"/>
      <c r="Y10" s="147">
        <v>2.6796808870566137E-3</v>
      </c>
      <c r="AA10" s="72">
        <v>6.7927529827662383</v>
      </c>
      <c r="AB10" s="73">
        <v>-5.8064516129032224</v>
      </c>
      <c r="AF10" s="114">
        <f>_xll.qlCalendarAdvance(Calendar,AF9,"1d","mf",,Trigger)</f>
        <v>42746</v>
      </c>
      <c r="AG10" s="100">
        <f>_xll.qlDayCounterYearFraction(DayCounter,SettlementDate,AF10,,,Trigger)</f>
        <v>2.5000000000000001E-2</v>
      </c>
      <c r="AH10" s="112">
        <f t="shared" si="0"/>
        <v>2.5672551748571401E-3</v>
      </c>
      <c r="AI10" s="112">
        <f t="shared" si="1"/>
        <v>2.1434799985610284E-3</v>
      </c>
      <c r="AJ10" s="112">
        <f t="shared" si="2"/>
        <v>2.1453373468647533E-3</v>
      </c>
    </row>
    <row r="11" spans="1:36" ht="12.2" customHeight="1" x14ac:dyDescent="0.2">
      <c r="C11" s="87" t="s">
        <v>124</v>
      </c>
      <c r="D11" s="123" t="s">
        <v>83</v>
      </c>
      <c r="W11" s="76"/>
      <c r="X11" s="69"/>
      <c r="Y11" s="70"/>
      <c r="AF11" s="114">
        <f>_xll.qlCalendarAdvance(Calendar,AF10,"1d","mf",,Trigger)</f>
        <v>42747</v>
      </c>
      <c r="AG11" s="100">
        <f>_xll.qlDayCounterYearFraction(DayCounter,SettlementDate,AF11,,,Trigger)</f>
        <v>2.7777777777777776E-2</v>
      </c>
      <c r="AH11" s="112">
        <f t="shared" si="0"/>
        <v>2.5672551748571401E-3</v>
      </c>
      <c r="AI11" s="112">
        <f t="shared" si="1"/>
        <v>2.1459225067817552E-3</v>
      </c>
      <c r="AJ11" s="112">
        <f t="shared" si="2"/>
        <v>2.1477511324190573E-3</v>
      </c>
    </row>
    <row r="12" spans="1:36" ht="12.2" customHeight="1" x14ac:dyDescent="0.2">
      <c r="C12" s="87" t="s">
        <v>123</v>
      </c>
      <c r="D12" s="122" t="s">
        <v>128</v>
      </c>
      <c r="Q12" s="85"/>
      <c r="W12" s="77" t="s">
        <v>30</v>
      </c>
      <c r="X12" s="69"/>
      <c r="Y12" s="70"/>
      <c r="AF12" s="114">
        <f>_xll.qlCalendarAdvance(Calendar,AF11,"1d","mf",,Trigger)</f>
        <v>42748</v>
      </c>
      <c r="AG12" s="100">
        <f>_xll.qlDayCounterYearFraction(DayCounter,SettlementDate,AF12,,,Trigger)</f>
        <v>3.0555555555555555E-2</v>
      </c>
      <c r="AH12" s="112">
        <f t="shared" si="0"/>
        <v>2.5672551748571401E-3</v>
      </c>
      <c r="AI12" s="112">
        <f t="shared" si="1"/>
        <v>2.1483650150024821E-3</v>
      </c>
      <c r="AJ12" s="112">
        <f t="shared" si="2"/>
        <v>2.1501650703482497E-3</v>
      </c>
    </row>
    <row r="13" spans="1:36" ht="12.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1.0138888888888888</v>
      </c>
      <c r="V13" s="292" t="s">
        <v>32</v>
      </c>
      <c r="W13" s="74">
        <f>MMULT(AA13,Y13)</f>
        <v>2.5672551748571401E-3</v>
      </c>
      <c r="X13" s="292" t="s">
        <v>33</v>
      </c>
      <c r="Y13" s="147">
        <f t="array" ref="Y13">_xll.ohFilter(J3:J7,P3:P7)</f>
        <v>2.602911496730156E-3</v>
      </c>
      <c r="AA13" s="83">
        <f>MINVERSE(U13)</f>
        <v>0.98630136986301375</v>
      </c>
      <c r="AF13" s="114">
        <f>_xll.qlCalendarAdvance(Calendar,AF12,"1d","mf",,Trigger)</f>
        <v>42751</v>
      </c>
      <c r="AG13" s="100">
        <f>_xll.qlDayCounterYearFraction(DayCounter,SettlementDate,AF13,,,Trigger)</f>
        <v>3.888888888888889E-2</v>
      </c>
      <c r="AH13" s="112">
        <f t="shared" si="0"/>
        <v>2.5672551748571401E-3</v>
      </c>
      <c r="AI13" s="112">
        <f t="shared" si="1"/>
        <v>2.1556925396646626E-3</v>
      </c>
      <c r="AJ13" s="112">
        <f t="shared" si="2"/>
        <v>2.1574077983851554E-3</v>
      </c>
    </row>
    <row r="14" spans="1:36" ht="12.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117</v>
      </c>
      <c r="K14" s="88" t="s">
        <v>118</v>
      </c>
      <c r="L14" s="88" t="s">
        <v>119</v>
      </c>
      <c r="M14" s="88" t="s">
        <v>120</v>
      </c>
      <c r="N14" s="90" t="s">
        <v>92</v>
      </c>
      <c r="O14" s="90" t="s">
        <v>91</v>
      </c>
      <c r="P14" s="90" t="s">
        <v>115</v>
      </c>
      <c r="Q14" s="85"/>
      <c r="AF14" s="114">
        <f>_xll.qlCalendarAdvance(Calendar,AF13,"1d","mf",,Trigger)</f>
        <v>42752</v>
      </c>
      <c r="AG14" s="100">
        <f>_xll.qlDayCounterYearFraction(DayCounter,SettlementDate,AF14,,,Trigger)</f>
        <v>4.1666666666666664E-2</v>
      </c>
      <c r="AH14" s="112">
        <f t="shared" si="0"/>
        <v>2.5672551748571401E-3</v>
      </c>
      <c r="AI14" s="112">
        <f t="shared" si="1"/>
        <v>2.1581350478853895E-3</v>
      </c>
      <c r="AJ14" s="112">
        <f t="shared" si="2"/>
        <v>2.1598223458139001E-3</v>
      </c>
    </row>
    <row r="15" spans="1:36" ht="12.2" customHeight="1" x14ac:dyDescent="0.2">
      <c r="C15" s="107" t="s">
        <v>38</v>
      </c>
      <c r="D15" s="108">
        <f t="shared" ref="D15:D30" si="5">SettlementDate</f>
        <v>42737</v>
      </c>
      <c r="E15" s="109">
        <f>_xll.qlCalendarAdvance(Calendar,SettlementDate,C15,"Following",,Trigger)</f>
        <v>42738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_xll.qlYieldTSDiscount(OvernightCurve,D15,,AllTriggers)</f>
        <v>1.0000352787656608</v>
      </c>
      <c r="L15" s="137">
        <f>_xll.qlYieldTSDiscount(OvernightCurve,E15,,AllTriggers)</f>
        <v>1.0000455570117563</v>
      </c>
      <c r="M15" s="148">
        <f>(K15/L15-1)/J15</f>
        <v>-3.7000000334774796E-3</v>
      </c>
      <c r="N15" s="112">
        <f t="shared" ref="N15:N22" si="6">((1+M15*J15)*EXP($W$13*J15)-1)/J15</f>
        <v>-1.1327620904477698E-3</v>
      </c>
      <c r="O15" s="112">
        <f>((1+J15*M15)*EXP($W$10*J15+0.5*$W$9*J15^2)-1)/J15</f>
        <v>-1.5772969134397741E-3</v>
      </c>
      <c r="P15" s="112">
        <f>((1+J15*M15)*EXP($W$5*J15+0.5*$W$4*J15^2+1/3*$W$3*J15^3)-1)/J15</f>
        <v>-1.5751892732174255E-3</v>
      </c>
      <c r="Q15" s="85"/>
      <c r="AF15" s="114">
        <f>_xll.qlCalendarAdvance(Calendar,AF14,"1d","mf",,Trigger)</f>
        <v>42753</v>
      </c>
      <c r="AG15" s="100">
        <f>_xll.qlDayCounterYearFraction(DayCounter,SettlementDate,AF15,,,Trigger)</f>
        <v>4.4444444444444446E-2</v>
      </c>
      <c r="AH15" s="112">
        <f t="shared" si="0"/>
        <v>2.5672551748571401E-3</v>
      </c>
      <c r="AI15" s="112">
        <f t="shared" si="1"/>
        <v>2.1605775561061163E-3</v>
      </c>
      <c r="AJ15" s="112">
        <f t="shared" si="2"/>
        <v>2.1622370456175332E-3</v>
      </c>
    </row>
    <row r="16" spans="1:36" ht="12.2" customHeight="1" x14ac:dyDescent="0.2">
      <c r="C16" s="113" t="s">
        <v>39</v>
      </c>
      <c r="D16" s="98">
        <f>SettlementDate</f>
        <v>42737</v>
      </c>
      <c r="E16" s="114">
        <f>_xll.qlCalendarAdvance(Calendar,SettlementDate,C16,"Following",,Trigger)</f>
        <v>42744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_xll.qlYieldTSDiscount(OvernightCurve,D16,,AllTriggers)</f>
        <v>1.0000352787656608</v>
      </c>
      <c r="L16" s="139">
        <f>_xll.qlYieldTSDiscount(OvernightCurve,E16,,AllTriggers)</f>
        <v>1.0001031468769588</v>
      </c>
      <c r="M16" s="149">
        <f t="shared" ref="M16:M22" si="7">(K16/L16-1)/J16</f>
        <v>-3.4900000270075638E-3</v>
      </c>
      <c r="N16" s="112">
        <f t="shared" si="6"/>
        <v>-9.2285499500529709E-4</v>
      </c>
      <c r="O16" s="112">
        <f t="shared" ref="O16:O22" si="8">((1+J16*M16)*EXP($W$10*J16+0.5*$W$9*J16^2)-1)/J16</f>
        <v>-1.3600542626798376E-3</v>
      </c>
      <c r="P16" s="112">
        <f t="shared" ref="P16:P22" si="9">((1+J16*M16)*EXP($W$5*J16+0.5*$W$4*J16^2+1/3*$W$3*J16^3)-1)/J16</f>
        <v>-1.3580359582476831E-3</v>
      </c>
      <c r="Q16" s="85"/>
      <c r="AF16" s="114">
        <f>_xll.qlCalendarAdvance(Calendar,AF15,"1d","mf",,Trigger)</f>
        <v>42754</v>
      </c>
      <c r="AG16" s="100">
        <f>_xll.qlDayCounterYearFraction(DayCounter,SettlementDate,AF16,,,Trigger)</f>
        <v>4.7222222222222221E-2</v>
      </c>
      <c r="AH16" s="112">
        <f t="shared" si="0"/>
        <v>2.5672551748571401E-3</v>
      </c>
      <c r="AI16" s="112">
        <f t="shared" si="1"/>
        <v>2.1630200643268432E-3</v>
      </c>
      <c r="AJ16" s="112">
        <f t="shared" si="2"/>
        <v>2.1646518977960546E-3</v>
      </c>
    </row>
    <row r="17" spans="3:36" ht="12.2" customHeight="1" x14ac:dyDescent="0.2">
      <c r="C17" s="113" t="s">
        <v>40</v>
      </c>
      <c r="D17" s="98">
        <f t="shared" si="5"/>
        <v>42737</v>
      </c>
      <c r="E17" s="114">
        <f>_xll.qlCalendarAdvance(Calendar,SettlementDate,C17,"Following",,Trigger)</f>
        <v>42751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_xll.qlYieldTSDiscount(OvernightCurve,D17,,AllTriggers)</f>
        <v>1.0000352787656608</v>
      </c>
      <c r="L17" s="139">
        <f>_xll.qlYieldTSDiscount(OvernightCurve,E17,,AllTriggers)</f>
        <v>1.0001710242001607</v>
      </c>
      <c r="M17" s="149">
        <f t="shared" si="7"/>
        <v>-3.4900000126790254E-3</v>
      </c>
      <c r="N17" s="112">
        <f t="shared" si="6"/>
        <v>-9.2296513010062644E-4</v>
      </c>
      <c r="O17" s="112">
        <f t="shared" si="8"/>
        <v>-1.3516063641391288E-3</v>
      </c>
      <c r="P17" s="112">
        <f t="shared" si="9"/>
        <v>-1.3496899696503156E-3</v>
      </c>
      <c r="Q17" s="85"/>
      <c r="AF17" s="114">
        <f>_xll.qlCalendarAdvance(Calendar,AF16,"1d","mf",,Trigger)</f>
        <v>42755</v>
      </c>
      <c r="AG17" s="100">
        <f>_xll.qlDayCounterYearFraction(DayCounter,SettlementDate,AF17,,,Trigger)</f>
        <v>0.05</v>
      </c>
      <c r="AH17" s="112">
        <f t="shared" si="0"/>
        <v>2.5672551748571401E-3</v>
      </c>
      <c r="AI17" s="112">
        <f t="shared" si="1"/>
        <v>2.1654625725475701E-3</v>
      </c>
      <c r="AJ17" s="112">
        <f t="shared" si="2"/>
        <v>2.1670669023494639E-3</v>
      </c>
    </row>
    <row r="18" spans="3:36" ht="12.2" customHeight="1" x14ac:dyDescent="0.2">
      <c r="C18" s="113" t="s">
        <v>41</v>
      </c>
      <c r="D18" s="98">
        <f t="shared" si="5"/>
        <v>42737</v>
      </c>
      <c r="E18" s="114">
        <f>_xll.qlCalendarAdvance(Calendar,SettlementDate,C18,"Following",,Trigger)</f>
        <v>42758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_xll.qlYieldTSDiscount(OvernightCurve,D18,,AllTriggers)</f>
        <v>1.0000352787656608</v>
      </c>
      <c r="L18" s="139">
        <f>_xll.qlYieldTSDiscount(OvernightCurve,E18,,AllTriggers)</f>
        <v>1.0002389107372385</v>
      </c>
      <c r="M18" s="149">
        <f t="shared" si="7"/>
        <v>-3.4900000000024989E-3</v>
      </c>
      <c r="N18" s="112">
        <f t="shared" si="6"/>
        <v>-9.2307527341224064E-4</v>
      </c>
      <c r="O18" s="112">
        <f t="shared" si="8"/>
        <v>-1.3431589186208015E-3</v>
      </c>
      <c r="P18" s="112">
        <f t="shared" si="9"/>
        <v>-1.3413419395659684E-3</v>
      </c>
      <c r="Q18" s="85"/>
      <c r="AF18" s="114">
        <f>_xll.qlCalendarAdvance(Calendar,AF17,"1d","mf",,Trigger)</f>
        <v>42758</v>
      </c>
      <c r="AG18" s="100">
        <f>_xll.qlDayCounterYearFraction(DayCounter,SettlementDate,AF18,,,Trigger)</f>
        <v>5.8333333333333334E-2</v>
      </c>
      <c r="AH18" s="112">
        <f t="shared" si="0"/>
        <v>2.5672551748571401E-3</v>
      </c>
      <c r="AI18" s="112">
        <f t="shared" si="1"/>
        <v>2.1727900972097506E-3</v>
      </c>
      <c r="AJ18" s="112">
        <f t="shared" si="2"/>
        <v>2.1743128302590211E-3</v>
      </c>
    </row>
    <row r="19" spans="3:36" ht="12.2" customHeight="1" x14ac:dyDescent="0.2">
      <c r="C19" s="113" t="s">
        <v>35</v>
      </c>
      <c r="D19" s="98">
        <f t="shared" si="5"/>
        <v>42737</v>
      </c>
      <c r="E19" s="114">
        <f>_xll.qlCalendarAdvance(Calendar,SettlementDate,C19,"mf",TRUE,Trigger)</f>
        <v>42768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_xll.qlYieldTSDiscount(OvernightCurve,D19,,AllTriggers)</f>
        <v>1.0000352787656608</v>
      </c>
      <c r="L19" s="139">
        <f>_xll.qlYieldTSDiscount(OvernightCurve,E19,,AllTriggers)</f>
        <v>1.0003350458344147</v>
      </c>
      <c r="M19" s="149">
        <f t="shared" si="7"/>
        <v>-3.4800000002182547E-3</v>
      </c>
      <c r="N19" s="112">
        <f t="shared" si="6"/>
        <v>-9.1323043977416479E-4</v>
      </c>
      <c r="O19" s="112">
        <f t="shared" si="8"/>
        <v>-1.3210900727586483E-3</v>
      </c>
      <c r="P19" s="112">
        <f t="shared" si="9"/>
        <v>-1.3194107876773348E-3</v>
      </c>
      <c r="Q19" s="85"/>
      <c r="AF19" s="114">
        <f>_xll.qlCalendarAdvance(Calendar,AF18,"1d","mf",,Trigger)</f>
        <v>42759</v>
      </c>
      <c r="AG19" s="100">
        <f>_xll.qlDayCounterYearFraction(DayCounter,SettlementDate,AF19,,,Trigger)</f>
        <v>6.1111111111111109E-2</v>
      </c>
      <c r="AH19" s="112">
        <f t="shared" si="0"/>
        <v>2.5672551748571401E-3</v>
      </c>
      <c r="AI19" s="112">
        <f t="shared" si="1"/>
        <v>2.1752326054304775E-3</v>
      </c>
      <c r="AJ19" s="112">
        <f t="shared" si="2"/>
        <v>2.1767284443119832E-3</v>
      </c>
    </row>
    <row r="20" spans="3:36" ht="12.2" customHeight="1" x14ac:dyDescent="0.2">
      <c r="C20" s="113" t="s">
        <v>42</v>
      </c>
      <c r="D20" s="98">
        <f t="shared" si="5"/>
        <v>42737</v>
      </c>
      <c r="E20" s="114">
        <f>_xll.qlCalendarAdvance(Calendar,SettlementDate,C20,"mf",TRUE,Trigger)</f>
        <v>42796</v>
      </c>
      <c r="F20" s="136"/>
      <c r="G20" s="136"/>
      <c r="H20" s="136"/>
      <c r="I20" s="136"/>
      <c r="J20" s="100">
        <f>_xll.qlDayCounterYearFraction(DayCounter,D20,E20,,,Trigger)</f>
        <v>0.16388888888888889</v>
      </c>
      <c r="K20" s="139">
        <f>_xll.qlYieldTSDiscount(OvernightCurve,D20,,AllTriggers)</f>
        <v>1.0000352787656608</v>
      </c>
      <c r="L20" s="139">
        <f>_xll.qlYieldTSDiscount(OvernightCurve,E20,,AllTriggers)</f>
        <v>1.0006059576967901</v>
      </c>
      <c r="M20" s="149">
        <f t="shared" si="7"/>
        <v>-3.4799999995299043E-3</v>
      </c>
      <c r="N20" s="112">
        <f t="shared" si="6"/>
        <v>-9.136691688156265E-4</v>
      </c>
      <c r="O20" s="112">
        <f t="shared" si="8"/>
        <v>-1.2873055261384608E-3</v>
      </c>
      <c r="P20" s="112">
        <f t="shared" si="9"/>
        <v>-1.2859847144330297E-3</v>
      </c>
      <c r="Q20" s="85"/>
      <c r="AF20" s="114">
        <f>_xll.qlCalendarAdvance(Calendar,AF19,"1d","mf",,Trigger)</f>
        <v>42760</v>
      </c>
      <c r="AG20" s="100">
        <f>_xll.qlDayCounterYearFraction(DayCounter,SettlementDate,AF20,,,Trigger)</f>
        <v>6.3888888888888884E-2</v>
      </c>
      <c r="AH20" s="112">
        <f t="shared" si="0"/>
        <v>2.5672551748571401E-3</v>
      </c>
      <c r="AI20" s="112">
        <f t="shared" si="1"/>
        <v>2.1776751136512043E-3</v>
      </c>
      <c r="AJ20" s="112">
        <f t="shared" si="2"/>
        <v>2.179144210739834E-3</v>
      </c>
    </row>
    <row r="21" spans="3:36" ht="12.2" customHeight="1" x14ac:dyDescent="0.2">
      <c r="C21" s="113" t="s">
        <v>36</v>
      </c>
      <c r="D21" s="98">
        <f t="shared" si="5"/>
        <v>42737</v>
      </c>
      <c r="E21" s="114">
        <f>_xll.qlCalendarAdvance(Calendar,SettlementDate,C21,"mf",TRUE,Trigger)</f>
        <v>42828</v>
      </c>
      <c r="F21" s="136"/>
      <c r="G21" s="136"/>
      <c r="H21" s="136"/>
      <c r="I21" s="136"/>
      <c r="J21" s="100">
        <f>_xll.qlDayCounterYearFraction(DayCounter,D21,E21,,,Trigger)</f>
        <v>0.25277777777777777</v>
      </c>
      <c r="K21" s="139">
        <f>_xll.qlYieldTSDiscount(OvernightCurve,D21,,AllTriggers)</f>
        <v>1.0000352787656608</v>
      </c>
      <c r="L21" s="139">
        <f>_xll.qlYieldTSDiscount(OvernightCurve,E21,,AllTriggers)</f>
        <v>1.0009153176886199</v>
      </c>
      <c r="M21" s="149">
        <f t="shared" si="7"/>
        <v>-3.4782889228784737E-3</v>
      </c>
      <c r="N21" s="112">
        <f t="shared" si="6"/>
        <v>-9.1245851499214723E-4</v>
      </c>
      <c r="O21" s="112">
        <f t="shared" si="8"/>
        <v>-1.2469908120717752E-3</v>
      </c>
      <c r="P21" s="112">
        <f t="shared" si="9"/>
        <v>-1.2460308480975292E-3</v>
      </c>
      <c r="Q21" s="85"/>
      <c r="AF21" s="114">
        <f>_xll.qlCalendarAdvance(Calendar,AF20,"1d","mf",,Trigger)</f>
        <v>42761</v>
      </c>
      <c r="AG21" s="100">
        <f>_xll.qlDayCounterYearFraction(DayCounter,SettlementDate,AF21,,,Trigger)</f>
        <v>6.6666666666666666E-2</v>
      </c>
      <c r="AH21" s="112">
        <f t="shared" si="0"/>
        <v>2.5672551748571401E-3</v>
      </c>
      <c r="AI21" s="112">
        <f t="shared" si="1"/>
        <v>2.1801176218719316E-3</v>
      </c>
      <c r="AJ21" s="112">
        <f t="shared" si="2"/>
        <v>2.1815601295425728E-3</v>
      </c>
    </row>
    <row r="22" spans="3:36" ht="12.2" customHeight="1" x14ac:dyDescent="0.2">
      <c r="C22" s="113" t="s">
        <v>43</v>
      </c>
      <c r="D22" s="98">
        <f t="shared" si="5"/>
        <v>42737</v>
      </c>
      <c r="E22" s="114">
        <f>_xll.qlCalendarAdvance(Calendar,SettlementDate,C22,"mf",TRUE,Trigger)</f>
        <v>42857</v>
      </c>
      <c r="F22" s="136"/>
      <c r="G22" s="136"/>
      <c r="H22" s="136"/>
      <c r="I22" s="136"/>
      <c r="J22" s="100">
        <f>_xll.qlDayCounterYearFraction(DayCounter,D22,E22,,,Trigger)</f>
        <v>0.33333333333333331</v>
      </c>
      <c r="K22" s="139">
        <f>_xll.qlYieldTSDiscount(OvernightCurve,D22,,AllTriggers)</f>
        <v>1.0000352787656608</v>
      </c>
      <c r="L22" s="139">
        <f>_xll.qlYieldTSDiscount(OvernightCurve,E22,,AllTriggers)</f>
        <v>1.0011968203438091</v>
      </c>
      <c r="M22" s="149">
        <f t="shared" si="7"/>
        <v>-3.4804592500088383E-3</v>
      </c>
      <c r="N22" s="112">
        <f t="shared" si="6"/>
        <v>-9.1508497898384888E-4</v>
      </c>
      <c r="O22" s="112">
        <f t="shared" si="8"/>
        <v>-1.2141860535507254E-3</v>
      </c>
      <c r="P22" s="112">
        <f t="shared" si="9"/>
        <v>-1.213508132727914E-3</v>
      </c>
      <c r="Q22" s="85"/>
      <c r="AF22" s="114">
        <f>_xll.qlCalendarAdvance(Calendar,AF21,"1d","mf",,Trigger)</f>
        <v>42762</v>
      </c>
      <c r="AG22" s="100">
        <f>_xll.qlDayCounterYearFraction(DayCounter,SettlementDate,AF22,,,Trigger)</f>
        <v>6.9444444444444448E-2</v>
      </c>
      <c r="AH22" s="112">
        <f t="shared" si="0"/>
        <v>2.5672551748571401E-3</v>
      </c>
      <c r="AI22" s="112">
        <f t="shared" si="1"/>
        <v>2.1825601300926585E-3</v>
      </c>
      <c r="AJ22" s="112">
        <f t="shared" si="2"/>
        <v>2.1839762007201994E-3</v>
      </c>
    </row>
    <row r="23" spans="3:36" ht="12.2" customHeight="1" x14ac:dyDescent="0.2">
      <c r="C23" s="113" t="s">
        <v>44</v>
      </c>
      <c r="D23" s="98">
        <f t="shared" si="5"/>
        <v>42737</v>
      </c>
      <c r="E23" s="114">
        <f>_xll.qlCalendarAdvance(Calendar,SettlementDate,C23,"mf",TRUE,Trigger)</f>
        <v>42888</v>
      </c>
      <c r="F23" s="136"/>
      <c r="G23" s="136"/>
      <c r="H23" s="136"/>
      <c r="I23" s="136"/>
      <c r="J23" s="100">
        <f>_xll.qlDayCounterYearFraction(DayCounter,D23,E23,,,Trigger)</f>
        <v>0.41944444444444445</v>
      </c>
      <c r="K23" s="139">
        <f>_xll.qlYieldTSDiscount(OvernightCurve,D23,,AllTriggers)</f>
        <v>1.0000352787656608</v>
      </c>
      <c r="L23" s="139">
        <f>_xll.qlYieldTSDiscount(OvernightCurve,E23,,AllTriggers)</f>
        <v>1.0014961447971529</v>
      </c>
      <c r="M23" s="149">
        <f t="shared" ref="M23:M30" si="10">(K23/L23-1)/J23</f>
        <v>-3.4776563353963491E-3</v>
      </c>
      <c r="N23" s="112">
        <f t="shared" ref="N23:N30" si="11">((1+M23*J23)*EXP($W$13*J23)-1)/J23</f>
        <v>-9.1276525729155162E-4</v>
      </c>
      <c r="O23" s="112">
        <f t="shared" ref="O23:O30" si="12">((1+J23*M23)*EXP($W$10*J23+0.5*$W$9*J23^2)-1)/J23</f>
        <v>-1.1739992599096897E-3</v>
      </c>
      <c r="P23" s="112">
        <f t="shared" ref="P23:P30" si="13">((1+J23*M23)*EXP($W$5*J23+0.5*$W$4*J23^2+1/3*$W$3*J23^3)-1)/J23</f>
        <v>-1.1735755616766347E-3</v>
      </c>
      <c r="Q23" s="85"/>
      <c r="AF23" s="114">
        <f>_xll.qlCalendarAdvance(Calendar,AF22,"1d","mf",,Trigger)</f>
        <v>42765</v>
      </c>
      <c r="AG23" s="100">
        <f>_xll.qlDayCounterYearFraction(DayCounter,SettlementDate,AF23,,,Trigger)</f>
        <v>7.7777777777777779E-2</v>
      </c>
      <c r="AH23" s="112">
        <f t="shared" si="0"/>
        <v>2.5672551748571401E-3</v>
      </c>
      <c r="AI23" s="112">
        <f t="shared" si="1"/>
        <v>2.1898876547548391E-3</v>
      </c>
      <c r="AJ23" s="112">
        <f t="shared" si="2"/>
        <v>2.1912253285024086E-3</v>
      </c>
    </row>
    <row r="24" spans="3:36" ht="12.2" customHeight="1" x14ac:dyDescent="0.2">
      <c r="C24" s="113" t="s">
        <v>37</v>
      </c>
      <c r="D24" s="98">
        <f t="shared" si="5"/>
        <v>42737</v>
      </c>
      <c r="E24" s="114">
        <f>_xll.qlCalendarAdvance(Calendar,SettlementDate,C24,"mf",TRUE,Trigger)</f>
        <v>42919</v>
      </c>
      <c r="F24" s="136"/>
      <c r="G24" s="136"/>
      <c r="H24" s="136"/>
      <c r="I24" s="136"/>
      <c r="J24" s="100">
        <f>_xll.qlDayCounterYearFraction(DayCounter,D24,E24,,,Trigger)</f>
        <v>0.50555555555555554</v>
      </c>
      <c r="K24" s="139">
        <f>_xll.qlYieldTSDiscount(OvernightCurve,D24,,AllTriggers)</f>
        <v>1.0000352787656608</v>
      </c>
      <c r="L24" s="139">
        <f>_xll.qlYieldTSDiscount(OvernightCurve,E24,,AllTriggers)</f>
        <v>1.0017944448536091</v>
      </c>
      <c r="M24" s="149">
        <f t="shared" si="10"/>
        <v>-3.4734362950687822E-3</v>
      </c>
      <c r="N24" s="112">
        <f t="shared" si="11"/>
        <v>-9.0902545709133109E-4</v>
      </c>
      <c r="O24" s="112">
        <f t="shared" si="12"/>
        <v>-1.1323996324553586E-3</v>
      </c>
      <c r="P24" s="112">
        <f t="shared" si="13"/>
        <v>-1.1321813280902242E-3</v>
      </c>
      <c r="AF24" s="114">
        <f>_xll.qlCalendarAdvance(Calendar,AF23,"1d","mf",,Trigger)</f>
        <v>42766</v>
      </c>
      <c r="AG24" s="100">
        <f>_xll.qlDayCounterYearFraction(DayCounter,SettlementDate,AF24,,,Trigger)</f>
        <v>8.0555555555555561E-2</v>
      </c>
      <c r="AH24" s="112">
        <f t="shared" si="0"/>
        <v>2.5672551748571401E-3</v>
      </c>
      <c r="AI24" s="112">
        <f t="shared" si="1"/>
        <v>2.1923301629755659E-3</v>
      </c>
      <c r="AJ24" s="112">
        <f t="shared" si="2"/>
        <v>2.1936420091795881E-3</v>
      </c>
    </row>
    <row r="25" spans="3:36" ht="12.2" customHeight="1" x14ac:dyDescent="0.2">
      <c r="C25" s="113" t="s">
        <v>45</v>
      </c>
      <c r="D25" s="98">
        <f t="shared" si="5"/>
        <v>42737</v>
      </c>
      <c r="E25" s="114">
        <f>_xll.qlCalendarAdvance(Calendar,SettlementDate,C25,"mf",TRUE,Trigger)</f>
        <v>42949</v>
      </c>
      <c r="F25" s="136"/>
      <c r="G25" s="136"/>
      <c r="H25" s="136"/>
      <c r="I25" s="136"/>
      <c r="J25" s="100">
        <f>_xll.qlDayCounterYearFraction(DayCounter,D25,E25,,,Trigger)</f>
        <v>0.58888888888888891</v>
      </c>
      <c r="K25" s="139">
        <f>_xll.qlYieldTSDiscount(OvernightCurve,D25,,AllTriggers)</f>
        <v>1.0000352787656608</v>
      </c>
      <c r="L25" s="139">
        <f>_xll.qlYieldTSDiscount(OvernightCurve,E25,,AllTriggers)</f>
        <v>1.002080087952258</v>
      </c>
      <c r="M25" s="149">
        <f t="shared" si="10"/>
        <v>-3.4651097536227949E-3</v>
      </c>
      <c r="N25" s="112">
        <f t="shared" si="11"/>
        <v>-9.011555883216884E-4</v>
      </c>
      <c r="O25" s="112">
        <f t="shared" si="12"/>
        <v>-1.0878980342659791E-3</v>
      </c>
      <c r="P25" s="112">
        <f t="shared" si="13"/>
        <v>-1.0878320220685726E-3</v>
      </c>
      <c r="AF25" s="114">
        <f>_xll.qlCalendarAdvance(Calendar,AF24,"1d","mf",,Trigger)</f>
        <v>42767</v>
      </c>
      <c r="AG25" s="100">
        <f>_xll.qlDayCounterYearFraction(DayCounter,SettlementDate,AF25,,,Trigger)</f>
        <v>8.3333333333333329E-2</v>
      </c>
      <c r="AH25" s="112">
        <f t="shared" si="0"/>
        <v>2.5672551748571401E-3</v>
      </c>
      <c r="AI25" s="112">
        <f t="shared" si="1"/>
        <v>2.1947726711962928E-3</v>
      </c>
      <c r="AJ25" s="112">
        <f t="shared" si="2"/>
        <v>2.1960588422316554E-3</v>
      </c>
    </row>
    <row r="26" spans="3:36" ht="12.2" customHeight="1" x14ac:dyDescent="0.2">
      <c r="C26" s="113" t="s">
        <v>46</v>
      </c>
      <c r="D26" s="98">
        <f t="shared" si="5"/>
        <v>42737</v>
      </c>
      <c r="E26" s="114">
        <f>_xll.qlCalendarAdvance(Calendar,SettlementDate,C26,"mf",TRUE,Trigger)</f>
        <v>42982</v>
      </c>
      <c r="F26" s="136"/>
      <c r="G26" s="136"/>
      <c r="H26" s="136"/>
      <c r="I26" s="136"/>
      <c r="J26" s="100">
        <f>_xll.qlDayCounterYearFraction(DayCounter,D26,E26,,,Trigger)</f>
        <v>0.68055555555555558</v>
      </c>
      <c r="K26" s="139">
        <f>_xll.qlYieldTSDiscount(OvernightCurve,D26,,AllTriggers)</f>
        <v>1.0000352787656608</v>
      </c>
      <c r="L26" s="139">
        <f>_xll.qlYieldTSDiscount(OvernightCurve,E26,,AllTriggers)</f>
        <v>1.0023958476558112</v>
      </c>
      <c r="M26" s="149">
        <f t="shared" si="10"/>
        <v>-3.4603006690157169E-3</v>
      </c>
      <c r="N26" s="112">
        <f t="shared" si="11"/>
        <v>-8.9685246758980483E-4</v>
      </c>
      <c r="O26" s="112">
        <f t="shared" si="12"/>
        <v>-1.0433062091195029E-3</v>
      </c>
      <c r="P26" s="112">
        <f t="shared" si="13"/>
        <v>-1.0433549344621208E-3</v>
      </c>
      <c r="AF26" s="114">
        <f>_xll.qlCalendarAdvance(Calendar,AF25,"1d","mf",,Trigger)</f>
        <v>42768</v>
      </c>
      <c r="AG26" s="100">
        <f>_xll.qlDayCounterYearFraction(DayCounter,SettlementDate,AF26,,,Trigger)</f>
        <v>8.611111111111111E-2</v>
      </c>
      <c r="AH26" s="112">
        <f t="shared" si="0"/>
        <v>2.5672551748571401E-3</v>
      </c>
      <c r="AI26" s="112">
        <f t="shared" si="1"/>
        <v>2.1972151794170196E-3</v>
      </c>
      <c r="AJ26" s="112">
        <f t="shared" si="2"/>
        <v>2.1984758276586114E-3</v>
      </c>
    </row>
    <row r="27" spans="3:36" ht="12.2" customHeight="1" x14ac:dyDescent="0.2">
      <c r="C27" s="113" t="s">
        <v>47</v>
      </c>
      <c r="D27" s="98">
        <f t="shared" si="5"/>
        <v>42737</v>
      </c>
      <c r="E27" s="114">
        <f>_xll.qlCalendarAdvance(Calendar,SettlementDate,C27,"mf",TRUE,Trigger)</f>
        <v>43010</v>
      </c>
      <c r="F27" s="136"/>
      <c r="G27" s="136"/>
      <c r="H27" s="136"/>
      <c r="I27" s="136"/>
      <c r="J27" s="100">
        <f>_xll.qlDayCounterYearFraction(DayCounter,D27,E27,,,Trigger)</f>
        <v>0.7583333333333333</v>
      </c>
      <c r="K27" s="139">
        <f>_xll.qlYieldTSDiscount(OvernightCurve,D27,,AllTriggers)</f>
        <v>1.0000352787656608</v>
      </c>
      <c r="L27" s="139">
        <f>_xll.qlYieldTSDiscount(OvernightCurve,E27,,AllTriggers)</f>
        <v>1.0026614002314569</v>
      </c>
      <c r="M27" s="149">
        <f t="shared" si="10"/>
        <v>-3.4538253060644188E-3</v>
      </c>
      <c r="N27" s="112">
        <f t="shared" si="11"/>
        <v>-8.9080007548772585E-4</v>
      </c>
      <c r="O27" s="112">
        <f t="shared" si="12"/>
        <v>-1.0030747718264173E-3</v>
      </c>
      <c r="P27" s="112">
        <f t="shared" si="13"/>
        <v>-1.0031774958821991E-3</v>
      </c>
      <c r="AF27" s="114">
        <f>_xll.qlCalendarAdvance(Calendar,AF26,"1d","mf",,Trigger)</f>
        <v>42769</v>
      </c>
      <c r="AG27" s="100">
        <f>_xll.qlDayCounterYearFraction(DayCounter,SettlementDate,AF27,,,Trigger)</f>
        <v>8.8888888888888892E-2</v>
      </c>
      <c r="AH27" s="112">
        <f t="shared" si="0"/>
        <v>2.5672551748571401E-3</v>
      </c>
      <c r="AI27" s="112">
        <f t="shared" si="1"/>
        <v>2.1996576876377465E-3</v>
      </c>
      <c r="AJ27" s="112">
        <f t="shared" si="2"/>
        <v>2.2008929654604558E-3</v>
      </c>
    </row>
    <row r="28" spans="3:36" ht="12.2" customHeight="1" x14ac:dyDescent="0.2">
      <c r="C28" s="113" t="s">
        <v>48</v>
      </c>
      <c r="D28" s="98">
        <f t="shared" si="5"/>
        <v>42737</v>
      </c>
      <c r="E28" s="114">
        <f>_xll.qlCalendarAdvance(Calendar,SettlementDate,C28,"mf",TRUE,Trigger)</f>
        <v>43041</v>
      </c>
      <c r="F28" s="136"/>
      <c r="G28" s="136"/>
      <c r="H28" s="136"/>
      <c r="I28" s="136"/>
      <c r="J28" s="100">
        <f>_xll.qlDayCounterYearFraction(DayCounter,D28,E28,,,Trigger)</f>
        <v>0.84444444444444444</v>
      </c>
      <c r="K28" s="139">
        <f>_xll.qlYieldTSDiscount(OvernightCurve,D28,,AllTriggers)</f>
        <v>1.0000352787656608</v>
      </c>
      <c r="L28" s="139">
        <f>_xll.qlYieldTSDiscount(OvernightCurve,E28,,AllTriggers)</f>
        <v>1.0029542054771392</v>
      </c>
      <c r="M28" s="149">
        <f t="shared" si="10"/>
        <v>-3.4464422387387333E-3</v>
      </c>
      <c r="N28" s="112">
        <f t="shared" si="11"/>
        <v>-8.8388193185652336E-4</v>
      </c>
      <c r="O28" s="112">
        <f t="shared" si="12"/>
        <v>-9.58320487785386E-4</v>
      </c>
      <c r="P28" s="112">
        <f t="shared" si="13"/>
        <v>-9.5843657960864581E-4</v>
      </c>
      <c r="AF28" s="114">
        <f>_xll.qlCalendarAdvance(Calendar,AF27,"1d","mf",,Trigger)</f>
        <v>42772</v>
      </c>
      <c r="AG28" s="100">
        <f>_xll.qlDayCounterYearFraction(DayCounter,SettlementDate,AF28,,,Trigger)</f>
        <v>9.7222222222222224E-2</v>
      </c>
      <c r="AH28" s="112">
        <f t="shared" si="0"/>
        <v>2.5672551748571401E-3</v>
      </c>
      <c r="AI28" s="112">
        <f t="shared" si="1"/>
        <v>2.2069852122999271E-3</v>
      </c>
      <c r="AJ28" s="112">
        <f t="shared" si="2"/>
        <v>2.2081452931153171E-3</v>
      </c>
    </row>
    <row r="29" spans="3:36" ht="12.2" customHeight="1" x14ac:dyDescent="0.2">
      <c r="C29" s="113" t="s">
        <v>49</v>
      </c>
      <c r="D29" s="98">
        <f t="shared" si="5"/>
        <v>42737</v>
      </c>
      <c r="E29" s="114">
        <f>_xll.qlCalendarAdvance(Calendar,SettlementDate,C29,"mf",TRUE,Trigger)</f>
        <v>43073</v>
      </c>
      <c r="F29" s="136"/>
      <c r="G29" s="136"/>
      <c r="H29" s="136"/>
      <c r="I29" s="136"/>
      <c r="J29" s="100">
        <f>_xll.qlDayCounterYearFraction(DayCounter,D29,E29,,,Trigger)</f>
        <v>0.93333333333333335</v>
      </c>
      <c r="K29" s="139">
        <f>_xll.qlYieldTSDiscount(OvernightCurve,D29,,AllTriggers)</f>
        <v>1.0000352787656608</v>
      </c>
      <c r="L29" s="139">
        <f>_xll.qlYieldTSDiscount(OvernightCurve,E29,,AllTriggers)</f>
        <v>1.0032556507086401</v>
      </c>
      <c r="M29" s="149">
        <f t="shared" si="10"/>
        <v>-3.4392016709777363E-3</v>
      </c>
      <c r="N29" s="112">
        <f t="shared" si="11"/>
        <v>-8.7711890021554704E-4</v>
      </c>
      <c r="O29" s="112">
        <f t="shared" si="12"/>
        <v>-9.1250569114365813E-4</v>
      </c>
      <c r="P29" s="112">
        <f t="shared" si="13"/>
        <v>-9.1258442723927773E-4</v>
      </c>
      <c r="AF29" s="114">
        <f>_xll.qlCalendarAdvance(Calendar,AF28,"1d","mf",,Trigger)</f>
        <v>42773</v>
      </c>
      <c r="AG29" s="100">
        <f>_xll.qlDayCounterYearFraction(DayCounter,SettlementDate,AF29,,,Trigger)</f>
        <v>0.1</v>
      </c>
      <c r="AH29" s="112">
        <f t="shared" si="0"/>
        <v>2.5672551748571401E-3</v>
      </c>
      <c r="AI29" s="112">
        <f t="shared" si="1"/>
        <v>2.2094277205206539E-3</v>
      </c>
      <c r="AJ29" s="112">
        <f t="shared" si="2"/>
        <v>2.2105630404167138E-3</v>
      </c>
    </row>
    <row r="30" spans="3:36" ht="12.2" customHeight="1" x14ac:dyDescent="0.2">
      <c r="C30" s="117" t="s">
        <v>50</v>
      </c>
      <c r="D30" s="103">
        <f t="shared" si="5"/>
        <v>42737</v>
      </c>
      <c r="E30" s="118">
        <f>_xll.qlCalendarAdvance(Calendar,SettlementDate,C30,"mf",TRUE,Trigger)</f>
        <v>43102</v>
      </c>
      <c r="F30" s="140"/>
      <c r="G30" s="140"/>
      <c r="H30" s="140"/>
      <c r="I30" s="140"/>
      <c r="J30" s="105">
        <f>_xll.qlDayCounterYearFraction(DayCounter,D30,E30,,,Trigger)</f>
        <v>1.0138888888888888</v>
      </c>
      <c r="K30" s="141">
        <f>_xll.qlYieldTSDiscount(OvernightCurve,D30,,AllTriggers)</f>
        <v>1.0000352787656608</v>
      </c>
      <c r="L30" s="141">
        <f>_xll.qlYieldTSDiscount(OvernightCurve,E30,,AllTriggers)</f>
        <v>1.0035251769469908</v>
      </c>
      <c r="M30" s="150">
        <f t="shared" si="10"/>
        <v>-3.430000000000078E-3</v>
      </c>
      <c r="N30" s="121">
        <f t="shared" si="11"/>
        <v>-8.6834037122931996E-4</v>
      </c>
      <c r="O30" s="121">
        <f t="shared" si="12"/>
        <v>-8.6834037122931996E-4</v>
      </c>
      <c r="P30" s="121">
        <f t="shared" si="13"/>
        <v>-8.6834037122931996E-4</v>
      </c>
      <c r="AF30" s="114">
        <f>_xll.qlCalendarAdvance(Calendar,AF29,"1d","mf",,Trigger)</f>
        <v>42774</v>
      </c>
      <c r="AG30" s="100">
        <f>_xll.qlDayCounterYearFraction(DayCounter,SettlementDate,AF30,,,Trigger)</f>
        <v>0.10277777777777777</v>
      </c>
      <c r="AH30" s="112">
        <f t="shared" si="0"/>
        <v>2.5672551748571401E-3</v>
      </c>
      <c r="AI30" s="112">
        <f t="shared" si="1"/>
        <v>2.2118702287413808E-3</v>
      </c>
      <c r="AJ30" s="112">
        <f t="shared" si="2"/>
        <v>2.2129809400929985E-3</v>
      </c>
    </row>
    <row r="31" spans="3:36" ht="12.2" customHeight="1" x14ac:dyDescent="0.2">
      <c r="AF31" s="114">
        <f>_xll.qlCalendarAdvance(Calendar,AF30,"1d","mf",,Trigger)</f>
        <v>42775</v>
      </c>
      <c r="AG31" s="100">
        <f>_xll.qlDayCounterYearFraction(DayCounter,SettlementDate,AF31,,,Trigger)</f>
        <v>0.10555555555555556</v>
      </c>
      <c r="AH31" s="112">
        <f t="shared" si="0"/>
        <v>2.5672551748571401E-3</v>
      </c>
      <c r="AI31" s="112">
        <f t="shared" si="1"/>
        <v>2.2143127369621076E-3</v>
      </c>
      <c r="AJ31" s="112">
        <f t="shared" si="2"/>
        <v>2.2153989921441719E-3</v>
      </c>
    </row>
    <row r="32" spans="3:36" ht="12.2" customHeight="1" x14ac:dyDescent="0.2">
      <c r="C32" s="87" t="s">
        <v>105</v>
      </c>
      <c r="AF32" s="114">
        <f>_xll.qlCalendarAdvance(Calendar,AF31,"1d","mf",,Trigger)</f>
        <v>42776</v>
      </c>
      <c r="AG32" s="100">
        <f>_xll.qlDayCounterYearFraction(DayCounter,SettlementDate,AF32,,,Trigger)</f>
        <v>0.10833333333333334</v>
      </c>
      <c r="AH32" s="112">
        <f t="shared" si="0"/>
        <v>2.5672551748571401E-3</v>
      </c>
      <c r="AI32" s="112">
        <f t="shared" si="1"/>
        <v>2.2167552451828345E-3</v>
      </c>
      <c r="AJ32" s="112">
        <f t="shared" si="2"/>
        <v>2.2178171965702331E-3</v>
      </c>
    </row>
    <row r="33" spans="3:36" ht="12.2" customHeight="1" x14ac:dyDescent="0.2">
      <c r="C33" s="124" t="s">
        <v>91</v>
      </c>
      <c r="AF33" s="114">
        <f>_xll.qlCalendarAdvance(Calendar,AF32,"1d","mf",,Trigger)</f>
        <v>42779</v>
      </c>
      <c r="AG33" s="100">
        <f>_xll.qlDayCounterYearFraction(DayCounter,SettlementDate,AF33,,,Trigger)</f>
        <v>0.11666666666666667</v>
      </c>
      <c r="AH33" s="112">
        <f t="shared" si="0"/>
        <v>2.5672551748571401E-3</v>
      </c>
      <c r="AI33" s="112">
        <f t="shared" si="1"/>
        <v>2.224082769845015E-3</v>
      </c>
      <c r="AJ33" s="112">
        <f t="shared" si="2"/>
        <v>2.2250727240977464E-3</v>
      </c>
    </row>
    <row r="34" spans="3:36" ht="12.2" customHeight="1" x14ac:dyDescent="0.2">
      <c r="C34" s="112">
        <f>IF($C$33="FLAT",N15,IF($C$33="linear",O15,P15))</f>
        <v>-1.5772969134397741E-3</v>
      </c>
      <c r="AF34" s="114">
        <f>_xll.qlCalendarAdvance(Calendar,AF33,"1d","mf",,Trigger)</f>
        <v>42780</v>
      </c>
      <c r="AG34" s="100">
        <f>_xll.qlDayCounterYearFraction(DayCounter,SettlementDate,AF34,,,Trigger)</f>
        <v>0.11944444444444445</v>
      </c>
      <c r="AH34" s="112">
        <f t="shared" si="0"/>
        <v>2.5672551748571401E-3</v>
      </c>
      <c r="AI34" s="112">
        <f t="shared" si="1"/>
        <v>2.2265252780657419E-3</v>
      </c>
      <c r="AJ34" s="112">
        <f t="shared" si="2"/>
        <v>2.2274915380233605E-3</v>
      </c>
    </row>
    <row r="35" spans="3:36" ht="12.2" customHeight="1" x14ac:dyDescent="0.2">
      <c r="C35" s="112">
        <f t="shared" ref="C35:C49" si="14">IF($C$33="FLAT",N16,IF($C$33="linear",O16,P16))</f>
        <v>-1.3600542626798376E-3</v>
      </c>
      <c r="AF35" s="114">
        <f>_xll.qlCalendarAdvance(Calendar,AF34,"1d","mf",,Trigger)</f>
        <v>42781</v>
      </c>
      <c r="AG35" s="100">
        <f>_xll.qlDayCounterYearFraction(DayCounter,SettlementDate,AF35,,,Trigger)</f>
        <v>0.12222222222222222</v>
      </c>
      <c r="AH35" s="112">
        <f t="shared" si="0"/>
        <v>2.5672551748571401E-3</v>
      </c>
      <c r="AI35" s="112">
        <f t="shared" si="1"/>
        <v>2.2289677862864688E-3</v>
      </c>
      <c r="AJ35" s="112">
        <f t="shared" si="2"/>
        <v>2.2299105043238629E-3</v>
      </c>
    </row>
    <row r="36" spans="3:36" ht="12.2" customHeight="1" x14ac:dyDescent="0.2">
      <c r="C36" s="112">
        <f t="shared" si="14"/>
        <v>-1.3516063641391288E-3</v>
      </c>
      <c r="AF36" s="114">
        <f>_xll.qlCalendarAdvance(Calendar,AF35,"1d","mf",,Trigger)</f>
        <v>42782</v>
      </c>
      <c r="AG36" s="100">
        <f>_xll.qlDayCounterYearFraction(DayCounter,SettlementDate,AF36,,,Trigger)</f>
        <v>0.125</v>
      </c>
      <c r="AH36" s="112">
        <f t="shared" si="0"/>
        <v>2.5672551748571401E-3</v>
      </c>
      <c r="AI36" s="112">
        <f t="shared" si="1"/>
        <v>2.2314102945071956E-3</v>
      </c>
      <c r="AJ36" s="112">
        <f t="shared" si="2"/>
        <v>2.2323296229992532E-3</v>
      </c>
    </row>
    <row r="37" spans="3:36" ht="12.2" customHeight="1" x14ac:dyDescent="0.2">
      <c r="C37" s="112">
        <f t="shared" si="14"/>
        <v>-1.3431589186208015E-3</v>
      </c>
      <c r="AF37" s="114">
        <f>_xll.qlCalendarAdvance(Calendar,AF36,"1d","mf",,Trigger)</f>
        <v>42783</v>
      </c>
      <c r="AG37" s="100">
        <f>_xll.qlDayCounterYearFraction(DayCounter,SettlementDate,AF37,,,Trigger)</f>
        <v>0.12777777777777777</v>
      </c>
      <c r="AH37" s="112">
        <f t="shared" si="0"/>
        <v>2.5672551748571401E-3</v>
      </c>
      <c r="AI37" s="112">
        <f t="shared" si="1"/>
        <v>2.2338528027279225E-3</v>
      </c>
      <c r="AJ37" s="112">
        <f t="shared" si="2"/>
        <v>2.2347488940495318E-3</v>
      </c>
    </row>
    <row r="38" spans="3:36" x14ac:dyDescent="0.2">
      <c r="C38" s="112">
        <f t="shared" si="14"/>
        <v>-1.3210900727586483E-3</v>
      </c>
      <c r="AF38" s="114">
        <f>_xll.qlCalendarAdvance(Calendar,AF37,"1d","mf",,Trigger)</f>
        <v>42786</v>
      </c>
      <c r="AG38" s="100">
        <f>_xll.qlDayCounterYearFraction(DayCounter,SettlementDate,AF38,,,Trigger)</f>
        <v>0.1361111111111111</v>
      </c>
      <c r="AH38" s="112">
        <f t="shared" si="0"/>
        <v>2.5672551748571401E-3</v>
      </c>
      <c r="AI38" s="112">
        <f t="shared" si="1"/>
        <v>2.241180327390103E-3</v>
      </c>
      <c r="AJ38" s="112">
        <f t="shared" si="2"/>
        <v>2.2420076214496967E-3</v>
      </c>
    </row>
    <row r="39" spans="3:36" x14ac:dyDescent="0.2">
      <c r="C39" s="112">
        <f t="shared" si="14"/>
        <v>-1.2873055261384608E-3</v>
      </c>
      <c r="AF39" s="114">
        <f>_xll.qlCalendarAdvance(Calendar,AF38,"1d","mf",,Trigger)</f>
        <v>42787</v>
      </c>
      <c r="AG39" s="100">
        <f>_xll.qlDayCounterYearFraction(DayCounter,SettlementDate,AF39,,,Trigger)</f>
        <v>0.1388888888888889</v>
      </c>
      <c r="AH39" s="112">
        <f t="shared" si="0"/>
        <v>2.5672551748571401E-3</v>
      </c>
      <c r="AI39" s="112">
        <f t="shared" si="1"/>
        <v>2.2436228356108299E-3</v>
      </c>
      <c r="AJ39" s="112">
        <f t="shared" si="2"/>
        <v>2.2444275019995285E-3</v>
      </c>
    </row>
    <row r="40" spans="3:36" x14ac:dyDescent="0.2">
      <c r="C40" s="112">
        <f t="shared" si="14"/>
        <v>-1.2469908120717752E-3</v>
      </c>
      <c r="AF40" s="114">
        <f>_xll.qlCalendarAdvance(Calendar,AF39,"1d","mf",,Trigger)</f>
        <v>42788</v>
      </c>
      <c r="AG40" s="100">
        <f>_xll.qlDayCounterYearFraction(DayCounter,SettlementDate,AF40,,,Trigger)</f>
        <v>0.14166666666666666</v>
      </c>
      <c r="AH40" s="112">
        <f t="shared" si="0"/>
        <v>2.5672551748571401E-3</v>
      </c>
      <c r="AI40" s="112">
        <f t="shared" si="1"/>
        <v>2.2460653438315568E-3</v>
      </c>
      <c r="AJ40" s="112">
        <f t="shared" si="2"/>
        <v>2.2468475349242483E-3</v>
      </c>
    </row>
    <row r="41" spans="3:36" x14ac:dyDescent="0.2">
      <c r="C41" s="112">
        <f t="shared" si="14"/>
        <v>-1.2141860535507254E-3</v>
      </c>
      <c r="AF41" s="114">
        <f>_xll.qlCalendarAdvance(Calendar,AF40,"1d","mf",,Trigger)</f>
        <v>42789</v>
      </c>
      <c r="AG41" s="100">
        <f>_xll.qlDayCounterYearFraction(DayCounter,SettlementDate,AF41,,,Trigger)</f>
        <v>0.14444444444444443</v>
      </c>
      <c r="AH41" s="112">
        <f t="shared" si="0"/>
        <v>2.5672551748571401E-3</v>
      </c>
      <c r="AI41" s="112">
        <f t="shared" si="1"/>
        <v>2.2485078520522836E-3</v>
      </c>
      <c r="AJ41" s="112">
        <f t="shared" si="2"/>
        <v>2.2492677202238559E-3</v>
      </c>
    </row>
    <row r="42" spans="3:36" x14ac:dyDescent="0.2">
      <c r="C42" s="112">
        <f t="shared" si="14"/>
        <v>-1.1739992599096897E-3</v>
      </c>
      <c r="AF42" s="114">
        <f>_xll.qlCalendarAdvance(Calendar,AF41,"1d","mf",,Trigger)</f>
        <v>42790</v>
      </c>
      <c r="AG42" s="100">
        <f>_xll.qlDayCounterYearFraction(DayCounter,SettlementDate,AF42,,,Trigger)</f>
        <v>0.14722222222222223</v>
      </c>
      <c r="AH42" s="112">
        <f t="shared" si="0"/>
        <v>2.5672551748571401E-3</v>
      </c>
      <c r="AI42" s="112">
        <f t="shared" si="1"/>
        <v>2.2509503602730105E-3</v>
      </c>
      <c r="AJ42" s="112">
        <f t="shared" si="2"/>
        <v>2.2516880578983519E-3</v>
      </c>
    </row>
    <row r="43" spans="3:36" ht="11.25" customHeight="1" x14ac:dyDescent="0.2">
      <c r="C43" s="112">
        <f t="shared" si="14"/>
        <v>-1.1323996324553586E-3</v>
      </c>
      <c r="AF43" s="114">
        <f>_xll.qlCalendarAdvance(Calendar,AF42,"1d","mf",,Trigger)</f>
        <v>42793</v>
      </c>
      <c r="AG43" s="100">
        <f>_xll.qlDayCounterYearFraction(DayCounter,SettlementDate,AF43,,,Trigger)</f>
        <v>0.15555555555555556</v>
      </c>
      <c r="AH43" s="112">
        <f t="shared" si="0"/>
        <v>2.5672551748571401E-3</v>
      </c>
      <c r="AI43" s="112">
        <f t="shared" si="1"/>
        <v>2.258277884935191E-3</v>
      </c>
      <c r="AJ43" s="112">
        <f t="shared" si="2"/>
        <v>2.2589499851711687E-3</v>
      </c>
    </row>
    <row r="44" spans="3:36" x14ac:dyDescent="0.2">
      <c r="C44" s="112">
        <f t="shared" si="14"/>
        <v>-1.0878980342659791E-3</v>
      </c>
      <c r="AF44" s="114">
        <f>_xll.qlCalendarAdvance(Calendar,AF43,"1d","mf",,Trigger)</f>
        <v>42794</v>
      </c>
      <c r="AG44" s="100">
        <f>_xll.qlDayCounterYearFraction(DayCounter,SettlementDate,AF44,,,Trigger)</f>
        <v>0.15833333333333333</v>
      </c>
      <c r="AH44" s="112">
        <f t="shared" si="0"/>
        <v>2.5672551748571401E-3</v>
      </c>
      <c r="AI44" s="112">
        <f t="shared" si="1"/>
        <v>2.2607203931559179E-3</v>
      </c>
      <c r="AJ44" s="112">
        <f t="shared" si="2"/>
        <v>2.261370932345217E-3</v>
      </c>
    </row>
    <row r="45" spans="3:36" x14ac:dyDescent="0.2">
      <c r="C45" s="112">
        <f t="shared" si="14"/>
        <v>-1.0433062091195029E-3</v>
      </c>
      <c r="AF45" s="114">
        <f>_xll.qlCalendarAdvance(Calendar,AF44,"1d","mf",,Trigger)</f>
        <v>42795</v>
      </c>
      <c r="AG45" s="100">
        <f>_xll.qlDayCounterYearFraction(DayCounter,SettlementDate,AF45,,,Trigger)</f>
        <v>0.16111111111111112</v>
      </c>
      <c r="AH45" s="112">
        <f t="shared" si="0"/>
        <v>2.5672551748571401E-3</v>
      </c>
      <c r="AI45" s="112">
        <f t="shared" si="1"/>
        <v>2.2631629013766448E-3</v>
      </c>
      <c r="AJ45" s="112">
        <f t="shared" si="2"/>
        <v>2.2637920318941541E-3</v>
      </c>
    </row>
    <row r="46" spans="3:36" x14ac:dyDescent="0.2">
      <c r="C46" s="112">
        <f t="shared" si="14"/>
        <v>-1.0030747718264173E-3</v>
      </c>
      <c r="AF46" s="114">
        <f>_xll.qlCalendarAdvance(Calendar,AF45,"1d","mf",,Trigger)</f>
        <v>42796</v>
      </c>
      <c r="AG46" s="100">
        <f>_xll.qlDayCounterYearFraction(DayCounter,SettlementDate,AF46,,,Trigger)</f>
        <v>0.16388888888888889</v>
      </c>
      <c r="AH46" s="112">
        <f t="shared" si="0"/>
        <v>2.5672551748571401E-3</v>
      </c>
      <c r="AI46" s="112">
        <f t="shared" si="1"/>
        <v>2.2656054095973716E-3</v>
      </c>
      <c r="AJ46" s="112">
        <f t="shared" si="2"/>
        <v>2.2662132838179795E-3</v>
      </c>
    </row>
    <row r="47" spans="3:36" x14ac:dyDescent="0.2">
      <c r="C47" s="112">
        <f t="shared" si="14"/>
        <v>-9.58320487785386E-4</v>
      </c>
      <c r="N47" s="85"/>
      <c r="O47" s="85"/>
      <c r="AF47" s="114">
        <f>_xll.qlCalendarAdvance(Calendar,AF46,"1d","mf",,Trigger)</f>
        <v>42797</v>
      </c>
      <c r="AG47" s="100">
        <f>_xll.qlDayCounterYearFraction(DayCounter,SettlementDate,AF47,,,Trigger)</f>
        <v>0.16666666666666666</v>
      </c>
      <c r="AH47" s="112">
        <f t="shared" si="0"/>
        <v>2.5672551748571401E-3</v>
      </c>
      <c r="AI47" s="112">
        <f t="shared" si="1"/>
        <v>2.2680479178180985E-3</v>
      </c>
      <c r="AJ47" s="112">
        <f t="shared" si="2"/>
        <v>2.2686346881166928E-3</v>
      </c>
    </row>
    <row r="48" spans="3:36" x14ac:dyDescent="0.2">
      <c r="C48" s="112">
        <f t="shared" si="14"/>
        <v>-9.1250569114365813E-4</v>
      </c>
      <c r="AF48" s="114">
        <f>_xll.qlCalendarAdvance(Calendar,AF47,"1d","mf",,Trigger)</f>
        <v>42800</v>
      </c>
      <c r="AG48" s="100">
        <f>_xll.qlDayCounterYearFraction(DayCounter,SettlementDate,AF48,,,Trigger)</f>
        <v>0.17499999999999999</v>
      </c>
      <c r="AH48" s="112">
        <f t="shared" si="0"/>
        <v>2.5672551748571401E-3</v>
      </c>
      <c r="AI48" s="112">
        <f t="shared" si="1"/>
        <v>2.275375442480279E-3</v>
      </c>
      <c r="AJ48" s="112">
        <f t="shared" si="2"/>
        <v>2.2758998152621617E-3</v>
      </c>
    </row>
    <row r="49" spans="3:36" x14ac:dyDescent="0.2">
      <c r="C49" s="121">
        <f t="shared" si="14"/>
        <v>-8.6834037122931996E-4</v>
      </c>
      <c r="AF49" s="114">
        <f>_xll.qlCalendarAdvance(Calendar,AF48,"1d","mf",,Trigger)</f>
        <v>42801</v>
      </c>
      <c r="AG49" s="100">
        <f>_xll.qlDayCounterYearFraction(DayCounter,SettlementDate,AF49,,,Trigger)</f>
        <v>0.17777777777777778</v>
      </c>
      <c r="AH49" s="112">
        <f t="shared" si="0"/>
        <v>2.5672551748571401E-3</v>
      </c>
      <c r="AI49" s="112">
        <f t="shared" si="1"/>
        <v>2.2778179507010059E-3</v>
      </c>
      <c r="AJ49" s="112">
        <f t="shared" si="2"/>
        <v>2.2783218290604273E-3</v>
      </c>
    </row>
    <row r="50" spans="3:36" x14ac:dyDescent="0.2">
      <c r="AF50" s="114">
        <f>_xll.qlCalendarAdvance(Calendar,AF49,"1d","mf",,Trigger)</f>
        <v>42802</v>
      </c>
      <c r="AG50" s="100">
        <f>_xll.qlDayCounterYearFraction(DayCounter,SettlementDate,AF50,,,Trigger)</f>
        <v>0.18055555555555555</v>
      </c>
      <c r="AH50" s="112">
        <f t="shared" si="0"/>
        <v>2.5672551748571401E-3</v>
      </c>
      <c r="AI50" s="112">
        <f t="shared" si="1"/>
        <v>2.2802604589217327E-3</v>
      </c>
      <c r="AJ50" s="112">
        <f t="shared" si="2"/>
        <v>2.2807439952335818E-3</v>
      </c>
    </row>
    <row r="51" spans="3:36" x14ac:dyDescent="0.2">
      <c r="AF51" s="114">
        <f>_xll.qlCalendarAdvance(Calendar,AF50,"1d","mf",,Trigger)</f>
        <v>42803</v>
      </c>
      <c r="AG51" s="100">
        <f>_xll.qlDayCounterYearFraction(DayCounter,SettlementDate,AF51,,,Trigger)</f>
        <v>0.18333333333333332</v>
      </c>
      <c r="AH51" s="112">
        <f t="shared" si="0"/>
        <v>2.5672551748571401E-3</v>
      </c>
      <c r="AI51" s="112">
        <f t="shared" si="1"/>
        <v>2.2827029671424596E-3</v>
      </c>
      <c r="AJ51" s="112">
        <f t="shared" si="2"/>
        <v>2.283166313781624E-3</v>
      </c>
    </row>
    <row r="52" spans="3:36" x14ac:dyDescent="0.2">
      <c r="AF52" s="114">
        <f>_xll.qlCalendarAdvance(Calendar,AF51,"1d","mf",,Trigger)</f>
        <v>42804</v>
      </c>
      <c r="AG52" s="100">
        <f>_xll.qlDayCounterYearFraction(DayCounter,SettlementDate,AF52,,,Trigger)</f>
        <v>0.18611111111111112</v>
      </c>
      <c r="AH52" s="112">
        <f t="shared" si="0"/>
        <v>2.5672551748571401E-3</v>
      </c>
      <c r="AI52" s="112">
        <f t="shared" si="1"/>
        <v>2.2851454753631869E-3</v>
      </c>
      <c r="AJ52" s="112">
        <f t="shared" si="2"/>
        <v>2.2855887847045542E-3</v>
      </c>
    </row>
    <row r="53" spans="3:36" x14ac:dyDescent="0.2">
      <c r="AF53" s="114">
        <f>_xll.qlCalendarAdvance(Calendar,AF52,"1d","mf",,Trigger)</f>
        <v>42807</v>
      </c>
      <c r="AG53" s="100">
        <f>_xll.qlDayCounterYearFraction(DayCounter,SettlementDate,AF53,,,Trigger)</f>
        <v>0.19444444444444445</v>
      </c>
      <c r="AH53" s="112">
        <f t="shared" si="0"/>
        <v>2.5672551748571401E-3</v>
      </c>
      <c r="AI53" s="112">
        <f t="shared" si="1"/>
        <v>2.2924730000253675E-3</v>
      </c>
      <c r="AJ53" s="112">
        <f t="shared" si="2"/>
        <v>2.2928571117226755E-3</v>
      </c>
    </row>
    <row r="54" spans="3:36" x14ac:dyDescent="0.2">
      <c r="AF54" s="114">
        <f>_xll.qlCalendarAdvance(Calendar,AF53,"1d","mf",,Trigger)</f>
        <v>42808</v>
      </c>
      <c r="AG54" s="100">
        <f>_xll.qlDayCounterYearFraction(DayCounter,SettlementDate,AF54,,,Trigger)</f>
        <v>0.19722222222222222</v>
      </c>
      <c r="AH54" s="112">
        <f t="shared" si="0"/>
        <v>2.5672551748571401E-3</v>
      </c>
      <c r="AI54" s="112">
        <f t="shared" si="1"/>
        <v>2.2949155082460943E-3</v>
      </c>
      <c r="AJ54" s="112">
        <f t="shared" si="2"/>
        <v>2.2952801921451585E-3</v>
      </c>
    </row>
    <row r="55" spans="3:36" x14ac:dyDescent="0.2">
      <c r="AF55" s="114">
        <f>_xll.qlCalendarAdvance(Calendar,AF54,"1d","mf",,Trigger)</f>
        <v>42809</v>
      </c>
      <c r="AG55" s="100">
        <f>_xll.qlDayCounterYearFraction(DayCounter,SettlementDate,AF55,,,Trigger)</f>
        <v>0.2</v>
      </c>
      <c r="AH55" s="112">
        <f t="shared" si="0"/>
        <v>2.5672551748571401E-3</v>
      </c>
      <c r="AI55" s="112">
        <f t="shared" si="1"/>
        <v>2.2973580164668212E-3</v>
      </c>
      <c r="AJ55" s="112">
        <f t="shared" si="2"/>
        <v>2.2977034249425303E-3</v>
      </c>
    </row>
    <row r="56" spans="3:36" x14ac:dyDescent="0.2">
      <c r="AF56" s="114">
        <f>_xll.qlCalendarAdvance(Calendar,AF55,"1d","mf",,Trigger)</f>
        <v>42810</v>
      </c>
      <c r="AG56" s="100">
        <f>_xll.qlDayCounterYearFraction(DayCounter,SettlementDate,AF56,,,Trigger)</f>
        <v>0.20277777777777778</v>
      </c>
      <c r="AH56" s="112">
        <f t="shared" si="0"/>
        <v>2.5672551748571401E-3</v>
      </c>
      <c r="AI56" s="112">
        <f t="shared" si="1"/>
        <v>2.299800524687548E-3</v>
      </c>
      <c r="AJ56" s="112">
        <f t="shared" si="2"/>
        <v>2.3001268101147899E-3</v>
      </c>
    </row>
    <row r="57" spans="3:36" x14ac:dyDescent="0.2">
      <c r="AF57" s="114">
        <f>_xll.qlCalendarAdvance(Calendar,AF56,"1d","mf",,Trigger)</f>
        <v>42811</v>
      </c>
      <c r="AG57" s="100">
        <f>_xll.qlDayCounterYearFraction(DayCounter,SettlementDate,AF57,,,Trigger)</f>
        <v>0.20555555555555555</v>
      </c>
      <c r="AH57" s="112">
        <f t="shared" si="0"/>
        <v>2.5672551748571401E-3</v>
      </c>
      <c r="AI57" s="112">
        <f t="shared" si="1"/>
        <v>2.3022430329082749E-3</v>
      </c>
      <c r="AJ57" s="112">
        <f t="shared" si="2"/>
        <v>2.3025503476619374E-3</v>
      </c>
    </row>
    <row r="58" spans="3:36" x14ac:dyDescent="0.2">
      <c r="AF58" s="114">
        <f>_xll.qlCalendarAdvance(Calendar,AF57,"1d","mf",,Trigger)</f>
        <v>42814</v>
      </c>
      <c r="AG58" s="100">
        <f>_xll.qlDayCounterYearFraction(DayCounter,SettlementDate,AF58,,,Trigger)</f>
        <v>0.21388888888888888</v>
      </c>
      <c r="AH58" s="112">
        <f t="shared" si="0"/>
        <v>2.5672551748571401E-3</v>
      </c>
      <c r="AI58" s="112">
        <f t="shared" si="1"/>
        <v>2.3095705575704555E-3</v>
      </c>
      <c r="AJ58" s="112">
        <f t="shared" si="2"/>
        <v>2.3098218745527107E-3</v>
      </c>
    </row>
    <row r="59" spans="3:36" x14ac:dyDescent="0.2">
      <c r="AF59" s="114">
        <f>_xll.qlCalendarAdvance(Calendar,AF58,"1d","mf",,Trigger)</f>
        <v>42815</v>
      </c>
      <c r="AG59" s="100">
        <f>_xll.qlDayCounterYearFraction(DayCounter,SettlementDate,AF59,,,Trigger)</f>
        <v>0.21666666666666667</v>
      </c>
      <c r="AH59" s="112">
        <f t="shared" si="0"/>
        <v>2.5672551748571401E-3</v>
      </c>
      <c r="AI59" s="112">
        <f t="shared" si="1"/>
        <v>2.3120130657911823E-3</v>
      </c>
      <c r="AJ59" s="112">
        <f t="shared" si="2"/>
        <v>2.3122460215994111E-3</v>
      </c>
    </row>
    <row r="60" spans="3:36" x14ac:dyDescent="0.2">
      <c r="AF60" s="114">
        <f>_xll.qlCalendarAdvance(Calendar,AF59,"1d","mf",,Trigger)</f>
        <v>42816</v>
      </c>
      <c r="AG60" s="100">
        <f>_xll.qlDayCounterYearFraction(DayCounter,SettlementDate,AF60,,,Trigger)</f>
        <v>0.21944444444444444</v>
      </c>
      <c r="AH60" s="112">
        <f t="shared" si="0"/>
        <v>2.5672551748571401E-3</v>
      </c>
      <c r="AI60" s="112">
        <f t="shared" si="1"/>
        <v>2.3144555740119092E-3</v>
      </c>
      <c r="AJ60" s="112">
        <f t="shared" si="2"/>
        <v>2.3146703210209997E-3</v>
      </c>
    </row>
    <row r="61" spans="3:36" x14ac:dyDescent="0.2">
      <c r="AF61" s="114">
        <f>_xll.qlCalendarAdvance(Calendar,AF60,"1d","mf",,Trigger)</f>
        <v>42817</v>
      </c>
      <c r="AG61" s="100">
        <f>_xll.qlDayCounterYearFraction(DayCounter,SettlementDate,AF61,,,Trigger)</f>
        <v>0.22222222222222221</v>
      </c>
      <c r="AH61" s="112">
        <f t="shared" si="0"/>
        <v>2.5672551748571401E-3</v>
      </c>
      <c r="AI61" s="112">
        <f t="shared" si="1"/>
        <v>2.316898082232636E-3</v>
      </c>
      <c r="AJ61" s="112">
        <f t="shared" si="2"/>
        <v>2.3170947728174767E-3</v>
      </c>
    </row>
    <row r="62" spans="3:36" x14ac:dyDescent="0.2">
      <c r="AF62" s="114">
        <f>_xll.qlCalendarAdvance(Calendar,AF61,"1d","mf",,Trigger)</f>
        <v>42818</v>
      </c>
      <c r="AG62" s="100">
        <f>_xll.qlDayCounterYearFraction(DayCounter,SettlementDate,AF62,,,Trigger)</f>
        <v>0.22500000000000001</v>
      </c>
      <c r="AH62" s="112">
        <f t="shared" si="0"/>
        <v>2.5672551748571401E-3</v>
      </c>
      <c r="AI62" s="112">
        <f t="shared" si="1"/>
        <v>2.3193405904533629E-3</v>
      </c>
      <c r="AJ62" s="112">
        <f t="shared" si="2"/>
        <v>2.319519376988842E-3</v>
      </c>
    </row>
    <row r="63" spans="3:36" x14ac:dyDescent="0.2">
      <c r="AF63" s="114">
        <f>_xll.qlCalendarAdvance(Calendar,AF62,"1d","mf",,Trigger)</f>
        <v>42821</v>
      </c>
      <c r="AG63" s="100">
        <f>_xll.qlDayCounterYearFraction(DayCounter,SettlementDate,AF63,,,Trigger)</f>
        <v>0.23333333333333334</v>
      </c>
      <c r="AH63" s="112">
        <f t="shared" si="0"/>
        <v>2.5672551748571401E-3</v>
      </c>
      <c r="AI63" s="112">
        <f t="shared" si="1"/>
        <v>2.3266681151155435E-3</v>
      </c>
      <c r="AJ63" s="112">
        <f t="shared" si="2"/>
        <v>2.3267941037522664E-3</v>
      </c>
    </row>
    <row r="64" spans="3:36" x14ac:dyDescent="0.2">
      <c r="AF64" s="114">
        <f>_xll.qlCalendarAdvance(Calendar,AF63,"1d","mf",,Trigger)</f>
        <v>42822</v>
      </c>
      <c r="AG64" s="100">
        <f>_xll.qlDayCounterYearFraction(DayCounter,SettlementDate,AF64,,,Trigger)</f>
        <v>0.2361111111111111</v>
      </c>
      <c r="AH64" s="112">
        <f t="shared" si="0"/>
        <v>2.5672551748571401E-3</v>
      </c>
      <c r="AI64" s="112">
        <f t="shared" si="1"/>
        <v>2.3291106233362703E-3</v>
      </c>
      <c r="AJ64" s="112">
        <f t="shared" si="2"/>
        <v>2.3292193174231841E-3</v>
      </c>
    </row>
    <row r="65" spans="14:36" x14ac:dyDescent="0.2">
      <c r="AF65" s="114">
        <f>_xll.qlCalendarAdvance(Calendar,AF64,"1d","mf",,Trigger)</f>
        <v>42823</v>
      </c>
      <c r="AG65" s="100">
        <f>_xll.qlDayCounterYearFraction(DayCounter,SettlementDate,AF65,,,Trigger)</f>
        <v>0.2388888888888889</v>
      </c>
      <c r="AH65" s="112">
        <f t="shared" si="0"/>
        <v>2.5672551748571401E-3</v>
      </c>
      <c r="AI65" s="112">
        <f t="shared" si="1"/>
        <v>2.3315531315569972E-3</v>
      </c>
      <c r="AJ65" s="112">
        <f t="shared" si="2"/>
        <v>2.3316446834689905E-3</v>
      </c>
    </row>
    <row r="66" spans="14:36" x14ac:dyDescent="0.2">
      <c r="N66" s="85"/>
      <c r="AF66" s="114">
        <f>_xll.qlCalendarAdvance(Calendar,AF65,"1d","mf",,Trigger)</f>
        <v>42824</v>
      </c>
      <c r="AG66" s="100">
        <f>_xll.qlDayCounterYearFraction(DayCounter,SettlementDate,AF66,,,Trigger)</f>
        <v>0.24166666666666667</v>
      </c>
      <c r="AH66" s="112">
        <f t="shared" si="0"/>
        <v>2.5672551748571401E-3</v>
      </c>
      <c r="AI66" s="112">
        <f t="shared" si="1"/>
        <v>2.333995639777724E-3</v>
      </c>
      <c r="AJ66" s="112">
        <f t="shared" si="2"/>
        <v>2.3340702018896848E-3</v>
      </c>
    </row>
    <row r="67" spans="14:36" x14ac:dyDescent="0.2">
      <c r="N67" s="85"/>
      <c r="AF67" s="114">
        <f>_xll.qlCalendarAdvance(Calendar,AF66,"1d","mf",,Trigger)</f>
        <v>42825</v>
      </c>
      <c r="AG67" s="100">
        <f>_xll.qlDayCounterYearFraction(DayCounter,SettlementDate,AF67,,,Trigger)</f>
        <v>0.24444444444444444</v>
      </c>
      <c r="AH67" s="112">
        <f t="shared" ref="AH67:AH130" si="15">$W$13</f>
        <v>2.5672551748571401E-3</v>
      </c>
      <c r="AI67" s="112">
        <f t="shared" ref="AI67:AI123" si="16">$W$10+$W$9*AG67</f>
        <v>2.3364381479984509E-3</v>
      </c>
      <c r="AJ67" s="112">
        <f t="shared" ref="AJ67:AJ123" si="17">($W$5+$W$4*AG67+$W$3*AG67^2)</f>
        <v>2.3364958726852674E-3</v>
      </c>
    </row>
    <row r="68" spans="14:36" x14ac:dyDescent="0.2">
      <c r="N68" s="85"/>
      <c r="AF68" s="114">
        <f>_xll.qlCalendarAdvance(Calendar,AF67,"1d","mf",,Trigger)</f>
        <v>42828</v>
      </c>
      <c r="AG68" s="100">
        <f>_xll.qlDayCounterYearFraction(DayCounter,SettlementDate,AF68,,,Trigger)</f>
        <v>0.25277777777777777</v>
      </c>
      <c r="AH68" s="112">
        <f t="shared" si="15"/>
        <v>2.5672551748571401E-3</v>
      </c>
      <c r="AI68" s="112">
        <f t="shared" si="16"/>
        <v>2.3437656726606314E-3</v>
      </c>
      <c r="AJ68" s="112">
        <f t="shared" si="17"/>
        <v>2.3437737993213439E-3</v>
      </c>
    </row>
    <row r="69" spans="14:36" x14ac:dyDescent="0.2">
      <c r="N69" s="85"/>
      <c r="AF69" s="114">
        <f>_xll.qlCalendarAdvance(Calendar,AF68,"1d","mf",,Trigger)</f>
        <v>42829</v>
      </c>
      <c r="AG69" s="100">
        <f>_xll.qlDayCounterYearFraction(DayCounter,SettlementDate,AF69,,,Trigger)</f>
        <v>0.25555555555555554</v>
      </c>
      <c r="AH69" s="112">
        <f t="shared" si="15"/>
        <v>2.5672551748571401E-3</v>
      </c>
      <c r="AI69" s="112">
        <f t="shared" si="16"/>
        <v>2.3462081808813583E-3</v>
      </c>
      <c r="AJ69" s="112">
        <f t="shared" si="17"/>
        <v>2.3462000796164789E-3</v>
      </c>
    </row>
    <row r="70" spans="14:36" x14ac:dyDescent="0.2">
      <c r="N70" s="85"/>
      <c r="AF70" s="114">
        <f>_xll.qlCalendarAdvance(Calendar,AF69,"1d","mf",,Trigger)</f>
        <v>42830</v>
      </c>
      <c r="AG70" s="100">
        <f>_xll.qlDayCounterYearFraction(DayCounter,SettlementDate,AF70,,,Trigger)</f>
        <v>0.25833333333333336</v>
      </c>
      <c r="AH70" s="112">
        <f t="shared" si="15"/>
        <v>2.5672551748571401E-3</v>
      </c>
      <c r="AI70" s="112">
        <f t="shared" si="16"/>
        <v>2.3486506891020852E-3</v>
      </c>
      <c r="AJ70" s="112">
        <f t="shared" si="17"/>
        <v>2.3486265122865022E-3</v>
      </c>
    </row>
    <row r="71" spans="14:36" x14ac:dyDescent="0.2">
      <c r="N71" s="85"/>
      <c r="AF71" s="114">
        <f>_xll.qlCalendarAdvance(Calendar,AF70,"1d","mf",,Trigger)</f>
        <v>42831</v>
      </c>
      <c r="AG71" s="100">
        <f>_xll.qlDayCounterYearFraction(DayCounter,SettlementDate,AF71,,,Trigger)</f>
        <v>0.26111111111111113</v>
      </c>
      <c r="AH71" s="112">
        <f t="shared" si="15"/>
        <v>2.5672551748571401E-3</v>
      </c>
      <c r="AI71" s="112">
        <f t="shared" si="16"/>
        <v>2.351093197322812E-3</v>
      </c>
      <c r="AJ71" s="112">
        <f t="shared" si="17"/>
        <v>2.3510530973314138E-3</v>
      </c>
    </row>
    <row r="72" spans="14:36" x14ac:dyDescent="0.2">
      <c r="N72" s="85"/>
      <c r="O72" s="85"/>
      <c r="AF72" s="114">
        <f>_xll.qlCalendarAdvance(Calendar,AF71,"1d","mf",,Trigger)</f>
        <v>42832</v>
      </c>
      <c r="AG72" s="100">
        <f>_xll.qlDayCounterYearFraction(DayCounter,SettlementDate,AF72,,,Trigger)</f>
        <v>0.2638888888888889</v>
      </c>
      <c r="AH72" s="112">
        <f t="shared" si="15"/>
        <v>2.5672551748571401E-3</v>
      </c>
      <c r="AI72" s="112">
        <f t="shared" si="16"/>
        <v>2.3535357055435389E-3</v>
      </c>
      <c r="AJ72" s="112">
        <f t="shared" si="17"/>
        <v>2.3534798347512138E-3</v>
      </c>
    </row>
    <row r="73" spans="14:36" x14ac:dyDescent="0.2">
      <c r="N73" s="85"/>
      <c r="O73" s="85"/>
      <c r="AF73" s="114">
        <f>_xll.qlCalendarAdvance(Calendar,AF72,"1d","mf",,Trigger)</f>
        <v>42835</v>
      </c>
      <c r="AG73" s="100">
        <f>_xll.qlDayCounterYearFraction(DayCounter,SettlementDate,AF73,,,Trigger)</f>
        <v>0.2722222222222222</v>
      </c>
      <c r="AH73" s="112">
        <f t="shared" si="15"/>
        <v>2.5672551748571401E-3</v>
      </c>
      <c r="AI73" s="112">
        <f t="shared" si="16"/>
        <v>2.3608632302057194E-3</v>
      </c>
      <c r="AJ73" s="112">
        <f t="shared" si="17"/>
        <v>2.3607609612599422E-3</v>
      </c>
    </row>
    <row r="74" spans="14:36" x14ac:dyDescent="0.2">
      <c r="N74" s="85"/>
      <c r="O74" s="85"/>
      <c r="AF74" s="114">
        <f>_xll.qlCalendarAdvance(Calendar,AF73,"1d","mf",,Trigger)</f>
        <v>42836</v>
      </c>
      <c r="AG74" s="100">
        <f>_xll.qlDayCounterYearFraction(DayCounter,SettlementDate,AF74,,,Trigger)</f>
        <v>0.27500000000000002</v>
      </c>
      <c r="AH74" s="112">
        <f t="shared" si="15"/>
        <v>2.5672551748571401E-3</v>
      </c>
      <c r="AI74" s="112">
        <f t="shared" si="16"/>
        <v>2.3633057384264463E-3</v>
      </c>
      <c r="AJ74" s="112">
        <f t="shared" si="17"/>
        <v>2.3631883081792946E-3</v>
      </c>
    </row>
    <row r="75" spans="14:36" x14ac:dyDescent="0.2">
      <c r="N75" s="85"/>
      <c r="O75" s="85"/>
      <c r="AF75" s="114">
        <f>_xll.qlCalendarAdvance(Calendar,AF74,"1d","mf",,Trigger)</f>
        <v>42837</v>
      </c>
      <c r="AG75" s="100">
        <f>_xll.qlDayCounterYearFraction(DayCounter,SettlementDate,AF75,,,Trigger)</f>
        <v>0.27777777777777779</v>
      </c>
      <c r="AH75" s="112">
        <f t="shared" si="15"/>
        <v>2.5672551748571401E-3</v>
      </c>
      <c r="AI75" s="112">
        <f t="shared" si="16"/>
        <v>2.3657482466471732E-3</v>
      </c>
      <c r="AJ75" s="112">
        <f t="shared" si="17"/>
        <v>2.3656158074735353E-3</v>
      </c>
    </row>
    <row r="76" spans="14:36" x14ac:dyDescent="0.2">
      <c r="N76" s="85"/>
      <c r="O76" s="85"/>
      <c r="AF76" s="114">
        <f>_xll.qlCalendarAdvance(Calendar,AF75,"1d","mf",,Trigger)</f>
        <v>42838</v>
      </c>
      <c r="AG76" s="100">
        <f>_xll.qlDayCounterYearFraction(DayCounter,SettlementDate,AF76,,,Trigger)</f>
        <v>0.28055555555555556</v>
      </c>
      <c r="AH76" s="112">
        <f t="shared" si="15"/>
        <v>2.5672551748571401E-3</v>
      </c>
      <c r="AI76" s="112">
        <f t="shared" si="16"/>
        <v>2.3681907548679E-3</v>
      </c>
      <c r="AJ76" s="112">
        <f t="shared" si="17"/>
        <v>2.3680434591426642E-3</v>
      </c>
    </row>
    <row r="77" spans="14:36" x14ac:dyDescent="0.2">
      <c r="N77" s="85"/>
      <c r="O77" s="85"/>
      <c r="AF77" s="114">
        <f>_xll.qlCalendarAdvance(Calendar,AF76,"1d","mf",,Trigger)</f>
        <v>42843</v>
      </c>
      <c r="AG77" s="100">
        <f>_xll.qlDayCounterYearFraction(DayCounter,SettlementDate,AF77,,,Trigger)</f>
        <v>0.29444444444444445</v>
      </c>
      <c r="AH77" s="112">
        <f t="shared" si="15"/>
        <v>2.5672551748571401E-3</v>
      </c>
      <c r="AI77" s="112">
        <f t="shared" si="16"/>
        <v>2.3804032959715343E-3</v>
      </c>
      <c r="AJ77" s="112">
        <f t="shared" si="17"/>
        <v>2.3801840031116316E-3</v>
      </c>
    </row>
    <row r="78" spans="14:36" x14ac:dyDescent="0.2">
      <c r="N78" s="85"/>
      <c r="O78" s="85"/>
      <c r="AF78" s="114">
        <f>_xll.qlCalendarAdvance(Calendar,AF77,"1d","mf",,Trigger)</f>
        <v>42844</v>
      </c>
      <c r="AG78" s="100">
        <f>_xll.qlDayCounterYearFraction(DayCounter,SettlementDate,AF78,,,Trigger)</f>
        <v>0.29722222222222222</v>
      </c>
      <c r="AH78" s="112">
        <f t="shared" si="15"/>
        <v>2.5672551748571401E-3</v>
      </c>
      <c r="AI78" s="112">
        <f t="shared" si="16"/>
        <v>2.3828458041922611E-3</v>
      </c>
      <c r="AJ78" s="112">
        <f t="shared" si="17"/>
        <v>2.3826125690300896E-3</v>
      </c>
    </row>
    <row r="79" spans="14:36" x14ac:dyDescent="0.2">
      <c r="N79" s="85"/>
      <c r="O79" s="85"/>
      <c r="AF79" s="114">
        <f>_xll.qlCalendarAdvance(Calendar,AF78,"1d","mf",,Trigger)</f>
        <v>42845</v>
      </c>
      <c r="AG79" s="100">
        <f>_xll.qlDayCounterYearFraction(DayCounter,SettlementDate,AF79,,,Trigger)</f>
        <v>0.3</v>
      </c>
      <c r="AH79" s="112">
        <f t="shared" si="15"/>
        <v>2.5672551748571401E-3</v>
      </c>
      <c r="AI79" s="112">
        <f t="shared" si="16"/>
        <v>2.385288312412988E-3</v>
      </c>
      <c r="AJ79" s="112">
        <f t="shared" si="17"/>
        <v>2.3850412873234355E-3</v>
      </c>
    </row>
    <row r="80" spans="14:36" x14ac:dyDescent="0.2">
      <c r="N80" s="85"/>
      <c r="O80" s="85"/>
      <c r="AF80" s="114">
        <f>_xll.qlCalendarAdvance(Calendar,AF79,"1d","mf",,Trigger)</f>
        <v>42846</v>
      </c>
      <c r="AG80" s="100">
        <f>_xll.qlDayCounterYearFraction(DayCounter,SettlementDate,AF80,,,Trigger)</f>
        <v>0.30277777777777776</v>
      </c>
      <c r="AH80" s="112">
        <f t="shared" si="15"/>
        <v>2.5672551748571401E-3</v>
      </c>
      <c r="AI80" s="112">
        <f t="shared" si="16"/>
        <v>2.3877308206337149E-3</v>
      </c>
      <c r="AJ80" s="112">
        <f t="shared" si="17"/>
        <v>2.3874701579916697E-3</v>
      </c>
    </row>
    <row r="81" spans="14:36" x14ac:dyDescent="0.2">
      <c r="N81" s="85"/>
      <c r="O81" s="85"/>
      <c r="AF81" s="114">
        <f>_xll.qlCalendarAdvance(Calendar,AF80,"1d","mf",,Trigger)</f>
        <v>42849</v>
      </c>
      <c r="AG81" s="100">
        <f>_xll.qlDayCounterYearFraction(DayCounter,SettlementDate,AF81,,,Trigger)</f>
        <v>0.31111111111111112</v>
      </c>
      <c r="AH81" s="112">
        <f t="shared" si="15"/>
        <v>2.5672551748571401E-3</v>
      </c>
      <c r="AI81" s="112">
        <f t="shared" si="16"/>
        <v>2.3950583452958954E-3</v>
      </c>
      <c r="AJ81" s="112">
        <f t="shared" si="17"/>
        <v>2.3947576842457022E-3</v>
      </c>
    </row>
    <row r="82" spans="14:36" x14ac:dyDescent="0.2">
      <c r="N82" s="85"/>
      <c r="O82" s="85"/>
      <c r="AF82" s="114">
        <f>_xll.qlCalendarAdvance(Calendar,AF81,"1d","mf",,Trigger)</f>
        <v>42850</v>
      </c>
      <c r="AG82" s="100">
        <f>_xll.qlDayCounterYearFraction(DayCounter,SettlementDate,AF82,,,Trigger)</f>
        <v>0.31388888888888888</v>
      </c>
      <c r="AH82" s="112">
        <f t="shared" si="15"/>
        <v>2.5672551748571401E-3</v>
      </c>
      <c r="AI82" s="112">
        <f t="shared" si="16"/>
        <v>2.3975008535166223E-3</v>
      </c>
      <c r="AJ82" s="112">
        <f t="shared" si="17"/>
        <v>2.3971871644134896E-3</v>
      </c>
    </row>
    <row r="83" spans="14:36" x14ac:dyDescent="0.2">
      <c r="N83" s="85"/>
      <c r="O83" s="85"/>
      <c r="AF83" s="114">
        <f>_xll.qlCalendarAdvance(Calendar,AF82,"1d","mf",,Trigger)</f>
        <v>42851</v>
      </c>
      <c r="AG83" s="100">
        <f>_xll.qlDayCounterYearFraction(DayCounter,SettlementDate,AF83,,,Trigger)</f>
        <v>0.31666666666666665</v>
      </c>
      <c r="AH83" s="112">
        <f t="shared" si="15"/>
        <v>2.5672551748571401E-3</v>
      </c>
      <c r="AI83" s="112">
        <f t="shared" si="16"/>
        <v>2.3999433617373491E-3</v>
      </c>
      <c r="AJ83" s="112">
        <f t="shared" si="17"/>
        <v>2.3996167969561645E-3</v>
      </c>
    </row>
    <row r="84" spans="14:36" x14ac:dyDescent="0.2">
      <c r="N84" s="85"/>
      <c r="O84" s="85"/>
      <c r="AF84" s="114">
        <f>_xll.qlCalendarAdvance(Calendar,AF83,"1d","mf",,Trigger)</f>
        <v>42852</v>
      </c>
      <c r="AG84" s="100">
        <f>_xll.qlDayCounterYearFraction(DayCounter,SettlementDate,AF84,,,Trigger)</f>
        <v>0.31944444444444442</v>
      </c>
      <c r="AH84" s="112">
        <f t="shared" si="15"/>
        <v>2.5672551748571401E-3</v>
      </c>
      <c r="AI84" s="112">
        <f t="shared" si="16"/>
        <v>2.402385869958076E-3</v>
      </c>
      <c r="AJ84" s="112">
        <f t="shared" si="17"/>
        <v>2.4020465818737281E-3</v>
      </c>
    </row>
    <row r="85" spans="14:36" x14ac:dyDescent="0.2">
      <c r="N85" s="85"/>
      <c r="O85" s="85"/>
      <c r="AF85" s="114">
        <f>_xll.qlCalendarAdvance(Calendar,AF84,"1d","mf",,Trigger)</f>
        <v>42853</v>
      </c>
      <c r="AG85" s="100">
        <f>_xll.qlDayCounterYearFraction(DayCounter,SettlementDate,AF85,,,Trigger)</f>
        <v>0.32222222222222224</v>
      </c>
      <c r="AH85" s="112">
        <f t="shared" si="15"/>
        <v>2.5672551748571401E-3</v>
      </c>
      <c r="AI85" s="112">
        <f t="shared" si="16"/>
        <v>2.4048283781788033E-3</v>
      </c>
      <c r="AJ85" s="112">
        <f t="shared" si="17"/>
        <v>2.4044765191661797E-3</v>
      </c>
    </row>
    <row r="86" spans="14:36" x14ac:dyDescent="0.2">
      <c r="N86" s="85"/>
      <c r="O86" s="85"/>
      <c r="AF86" s="114">
        <f>_xll.qlCalendarAdvance(Calendar,AF85,"1d","mf",,Trigger)</f>
        <v>42857</v>
      </c>
      <c r="AG86" s="100">
        <f>_xll.qlDayCounterYearFraction(DayCounter,SettlementDate,AF86,,,Trigger)</f>
        <v>0.33333333333333331</v>
      </c>
      <c r="AH86" s="112">
        <f t="shared" si="15"/>
        <v>2.5672551748571401E-3</v>
      </c>
      <c r="AI86" s="112">
        <f t="shared" si="16"/>
        <v>2.4145984110617107E-3</v>
      </c>
      <c r="AJ86" s="112">
        <f t="shared" si="17"/>
        <v>2.4141977920848681E-3</v>
      </c>
    </row>
    <row r="87" spans="14:36" x14ac:dyDescent="0.2">
      <c r="N87" s="85"/>
      <c r="O87" s="85"/>
      <c r="AF87" s="114">
        <f>_xll.qlCalendarAdvance(Calendar,AF86,"1d","mf",,Trigger)</f>
        <v>42858</v>
      </c>
      <c r="AG87" s="100">
        <f>_xll.qlDayCounterYearFraction(DayCounter,SettlementDate,AF87,,,Trigger)</f>
        <v>0.33611111111111114</v>
      </c>
      <c r="AH87" s="112">
        <f t="shared" si="15"/>
        <v>2.5672551748571401E-3</v>
      </c>
      <c r="AI87" s="112">
        <f t="shared" si="16"/>
        <v>2.4170409192824376E-3</v>
      </c>
      <c r="AJ87" s="112">
        <f t="shared" si="17"/>
        <v>2.4166284912517607E-3</v>
      </c>
    </row>
    <row r="88" spans="14:36" x14ac:dyDescent="0.2">
      <c r="N88" s="85"/>
      <c r="O88" s="85"/>
      <c r="AF88" s="114">
        <f>_xll.qlCalendarAdvance(Calendar,AF87,"1d","mf",,Trigger)</f>
        <v>42859</v>
      </c>
      <c r="AG88" s="100">
        <f>_xll.qlDayCounterYearFraction(DayCounter,SettlementDate,AF88,,,Trigger)</f>
        <v>0.33888888888888891</v>
      </c>
      <c r="AH88" s="112">
        <f t="shared" si="15"/>
        <v>2.5672551748571401E-3</v>
      </c>
      <c r="AI88" s="112">
        <f t="shared" si="16"/>
        <v>2.4194834275031644E-3</v>
      </c>
      <c r="AJ88" s="112">
        <f t="shared" si="17"/>
        <v>2.4190593427935417E-3</v>
      </c>
    </row>
    <row r="89" spans="14:36" x14ac:dyDescent="0.2">
      <c r="N89" s="85"/>
      <c r="O89" s="85"/>
      <c r="AF89" s="114">
        <f>_xll.qlCalendarAdvance(Calendar,AF88,"1d","mf",,Trigger)</f>
        <v>42860</v>
      </c>
      <c r="AG89" s="100">
        <f>_xll.qlDayCounterYearFraction(DayCounter,SettlementDate,AF89,,,Trigger)</f>
        <v>0.34166666666666667</v>
      </c>
      <c r="AH89" s="112">
        <f t="shared" si="15"/>
        <v>2.5672551748571401E-3</v>
      </c>
      <c r="AI89" s="112">
        <f t="shared" si="16"/>
        <v>2.4219259357238913E-3</v>
      </c>
      <c r="AJ89" s="112">
        <f t="shared" si="17"/>
        <v>2.4214903467102106E-3</v>
      </c>
    </row>
    <row r="90" spans="14:36" x14ac:dyDescent="0.2">
      <c r="N90" s="85"/>
      <c r="O90" s="85"/>
      <c r="AF90" s="114">
        <f>_xll.qlCalendarAdvance(Calendar,AF89,"1d","mf",,Trigger)</f>
        <v>42863</v>
      </c>
      <c r="AG90" s="100">
        <f>_xll.qlDayCounterYearFraction(DayCounter,SettlementDate,AF90,,,Trigger)</f>
        <v>0.35</v>
      </c>
      <c r="AH90" s="112">
        <f t="shared" si="15"/>
        <v>2.5672551748571401E-3</v>
      </c>
      <c r="AI90" s="112">
        <f t="shared" si="16"/>
        <v>2.4292534603860719E-3</v>
      </c>
      <c r="AJ90" s="112">
        <f t="shared" si="17"/>
        <v>2.4287842727095466E-3</v>
      </c>
    </row>
    <row r="91" spans="14:36" x14ac:dyDescent="0.2">
      <c r="N91" s="85"/>
      <c r="O91" s="85"/>
      <c r="AF91" s="114">
        <f>_xll.qlCalendarAdvance(Calendar,AF90,"1d","mf",,Trigger)</f>
        <v>42864</v>
      </c>
      <c r="AG91" s="100">
        <f>_xll.qlDayCounterYearFraction(DayCounter,SettlementDate,AF91,,,Trigger)</f>
        <v>0.3527777777777778</v>
      </c>
      <c r="AH91" s="112">
        <f t="shared" si="15"/>
        <v>2.5672551748571401E-3</v>
      </c>
      <c r="AI91" s="112">
        <f t="shared" si="16"/>
        <v>2.4316959686067987E-3</v>
      </c>
      <c r="AJ91" s="112">
        <f t="shared" si="17"/>
        <v>2.4312158861257683E-3</v>
      </c>
    </row>
    <row r="92" spans="14:36" x14ac:dyDescent="0.2">
      <c r="N92" s="85"/>
      <c r="O92" s="85"/>
      <c r="AF92" s="114">
        <f>_xll.qlCalendarAdvance(Calendar,AF91,"1d","mf",,Trigger)</f>
        <v>42865</v>
      </c>
      <c r="AG92" s="100">
        <f>_xll.qlDayCounterYearFraction(DayCounter,SettlementDate,AF92,,,Trigger)</f>
        <v>0.35555555555555557</v>
      </c>
      <c r="AH92" s="112">
        <f t="shared" si="15"/>
        <v>2.5672551748571401E-3</v>
      </c>
      <c r="AI92" s="112">
        <f t="shared" si="16"/>
        <v>2.4341384768275256E-3</v>
      </c>
      <c r="AJ92" s="112">
        <f t="shared" si="17"/>
        <v>2.4336476519168783E-3</v>
      </c>
    </row>
    <row r="93" spans="14:36" x14ac:dyDescent="0.2">
      <c r="N93" s="85"/>
      <c r="O93" s="85"/>
      <c r="AF93" s="114">
        <f>_xll.qlCalendarAdvance(Calendar,AF92,"1d","mf",,Trigger)</f>
        <v>42866</v>
      </c>
      <c r="AG93" s="100">
        <f>_xll.qlDayCounterYearFraction(DayCounter,SettlementDate,AF93,,,Trigger)</f>
        <v>0.35833333333333334</v>
      </c>
      <c r="AH93" s="112">
        <f t="shared" si="15"/>
        <v>2.5672551748571401E-3</v>
      </c>
      <c r="AI93" s="112">
        <f t="shared" si="16"/>
        <v>2.4365809850482524E-3</v>
      </c>
      <c r="AJ93" s="112">
        <f t="shared" si="17"/>
        <v>2.4360795700828762E-3</v>
      </c>
    </row>
    <row r="94" spans="14:36" x14ac:dyDescent="0.2">
      <c r="N94" s="85"/>
      <c r="O94" s="85"/>
      <c r="AF94" s="114">
        <f>_xll.qlCalendarAdvance(Calendar,AF93,"1d","mf",,Trigger)</f>
        <v>42867</v>
      </c>
      <c r="AG94" s="100">
        <f>_xll.qlDayCounterYearFraction(DayCounter,SettlementDate,AF94,,,Trigger)</f>
        <v>0.3611111111111111</v>
      </c>
      <c r="AH94" s="112">
        <f t="shared" si="15"/>
        <v>2.5672551748571401E-3</v>
      </c>
      <c r="AI94" s="112">
        <f t="shared" si="16"/>
        <v>2.4390234932689793E-3</v>
      </c>
      <c r="AJ94" s="112">
        <f t="shared" si="17"/>
        <v>2.4385116406237623E-3</v>
      </c>
    </row>
    <row r="95" spans="14:36" x14ac:dyDescent="0.2">
      <c r="N95" s="85"/>
      <c r="O95" s="85"/>
      <c r="AF95" s="114">
        <f>_xll.qlCalendarAdvance(Calendar,AF94,"1d","mf",,Trigger)</f>
        <v>42870</v>
      </c>
      <c r="AG95" s="100">
        <f>_xll.qlDayCounterYearFraction(DayCounter,SettlementDate,AF95,,,Trigger)</f>
        <v>0.36944444444444446</v>
      </c>
      <c r="AH95" s="112">
        <f t="shared" si="15"/>
        <v>2.5672551748571401E-3</v>
      </c>
      <c r="AI95" s="112">
        <f t="shared" si="16"/>
        <v>2.4463510179311598E-3</v>
      </c>
      <c r="AJ95" s="112">
        <f t="shared" si="17"/>
        <v>2.4458087664957508E-3</v>
      </c>
    </row>
    <row r="96" spans="14:36" x14ac:dyDescent="0.2">
      <c r="N96" s="85"/>
      <c r="O96" s="85"/>
      <c r="AF96" s="114">
        <f>_xll.qlCalendarAdvance(Calendar,AF95,"1d","mf",,Trigger)</f>
        <v>42871</v>
      </c>
      <c r="AG96" s="100">
        <f>_xll.qlDayCounterYearFraction(DayCounter,SettlementDate,AF96,,,Trigger)</f>
        <v>0.37222222222222223</v>
      </c>
      <c r="AH96" s="112">
        <f t="shared" si="15"/>
        <v>2.5672551748571401E-3</v>
      </c>
      <c r="AI96" s="112">
        <f t="shared" si="16"/>
        <v>2.4487935261518867E-3</v>
      </c>
      <c r="AJ96" s="112">
        <f t="shared" si="17"/>
        <v>2.4482414465361894E-3</v>
      </c>
    </row>
    <row r="97" spans="14:36" x14ac:dyDescent="0.2">
      <c r="N97" s="85"/>
      <c r="O97" s="85"/>
      <c r="AF97" s="114">
        <f>_xll.qlCalendarAdvance(Calendar,AF96,"1d","mf",,Trigger)</f>
        <v>42872</v>
      </c>
      <c r="AG97" s="100">
        <f>_xll.qlDayCounterYearFraction(DayCounter,SettlementDate,AF97,,,Trigger)</f>
        <v>0.375</v>
      </c>
      <c r="AH97" s="112">
        <f t="shared" si="15"/>
        <v>2.5672551748571401E-3</v>
      </c>
      <c r="AI97" s="112">
        <f t="shared" si="16"/>
        <v>2.4512360343726136E-3</v>
      </c>
      <c r="AJ97" s="112">
        <f t="shared" si="17"/>
        <v>2.4506742789515167E-3</v>
      </c>
    </row>
    <row r="98" spans="14:36" x14ac:dyDescent="0.2">
      <c r="N98" s="85"/>
      <c r="O98" s="85"/>
      <c r="AF98" s="114">
        <f>_xll.qlCalendarAdvance(Calendar,AF97,"1d","mf",,Trigger)</f>
        <v>42873</v>
      </c>
      <c r="AG98" s="100">
        <f>_xll.qlDayCounterYearFraction(DayCounter,SettlementDate,AF98,,,Trigger)</f>
        <v>0.37777777777777777</v>
      </c>
      <c r="AH98" s="112">
        <f t="shared" si="15"/>
        <v>2.5672551748571401E-3</v>
      </c>
      <c r="AI98" s="112">
        <f t="shared" si="16"/>
        <v>2.4536785425933404E-3</v>
      </c>
      <c r="AJ98" s="112">
        <f t="shared" si="17"/>
        <v>2.453107263741732E-3</v>
      </c>
    </row>
    <row r="99" spans="14:36" x14ac:dyDescent="0.2">
      <c r="N99" s="85"/>
      <c r="O99" s="85"/>
      <c r="AF99" s="114">
        <f>_xll.qlCalendarAdvance(Calendar,AF98,"1d","mf",,Trigger)</f>
        <v>42874</v>
      </c>
      <c r="AG99" s="100">
        <f>_xll.qlDayCounterYearFraction(DayCounter,SettlementDate,AF99,,,Trigger)</f>
        <v>0.38055555555555554</v>
      </c>
      <c r="AH99" s="112">
        <f t="shared" si="15"/>
        <v>2.5672551748571401E-3</v>
      </c>
      <c r="AI99" s="112">
        <f t="shared" si="16"/>
        <v>2.4561210508140673E-3</v>
      </c>
      <c r="AJ99" s="112">
        <f t="shared" si="17"/>
        <v>2.4555404009068355E-3</v>
      </c>
    </row>
    <row r="100" spans="14:36" x14ac:dyDescent="0.2">
      <c r="N100" s="85"/>
      <c r="O100" s="85"/>
      <c r="AF100" s="114">
        <f>_xll.qlCalendarAdvance(Calendar,AF99,"1d","mf",,Trigger)</f>
        <v>42877</v>
      </c>
      <c r="AG100" s="100">
        <f>_xll.qlDayCounterYearFraction(DayCounter,SettlementDate,AF100,,,Trigger)</f>
        <v>0.3888888888888889</v>
      </c>
      <c r="AH100" s="112">
        <f t="shared" si="15"/>
        <v>2.5672551748571401E-3</v>
      </c>
      <c r="AI100" s="112">
        <f t="shared" si="16"/>
        <v>2.4634485754762478E-3</v>
      </c>
      <c r="AJ100" s="112">
        <f t="shared" si="17"/>
        <v>2.4628407266514755E-3</v>
      </c>
    </row>
    <row r="101" spans="14:36" x14ac:dyDescent="0.2">
      <c r="N101" s="85"/>
      <c r="O101" s="85"/>
      <c r="AF101" s="114">
        <f>_xll.qlCalendarAdvance(Calendar,AF100,"1d","mf",,Trigger)</f>
        <v>42878</v>
      </c>
      <c r="AG101" s="100">
        <f>_xll.qlDayCounterYearFraction(DayCounter,SettlementDate,AF101,,,Trigger)</f>
        <v>0.39166666666666666</v>
      </c>
      <c r="AH101" s="112">
        <f t="shared" si="15"/>
        <v>2.5672551748571401E-3</v>
      </c>
      <c r="AI101" s="112">
        <f t="shared" si="16"/>
        <v>2.4658910836969747E-3</v>
      </c>
      <c r="AJ101" s="112">
        <f t="shared" si="17"/>
        <v>2.4652744733161319E-3</v>
      </c>
    </row>
    <row r="102" spans="14:36" x14ac:dyDescent="0.2">
      <c r="N102" s="85"/>
      <c r="O102" s="85"/>
      <c r="AF102" s="114">
        <f>_xll.qlCalendarAdvance(Calendar,AF101,"1d","mf",,Trigger)</f>
        <v>42879</v>
      </c>
      <c r="AG102" s="100">
        <f>_xll.qlDayCounterYearFraction(DayCounter,SettlementDate,AF102,,,Trigger)</f>
        <v>0.39444444444444443</v>
      </c>
      <c r="AH102" s="112">
        <f t="shared" si="15"/>
        <v>2.5672551748571401E-3</v>
      </c>
      <c r="AI102" s="112">
        <f t="shared" si="16"/>
        <v>2.4683335919177016E-3</v>
      </c>
      <c r="AJ102" s="112">
        <f t="shared" si="17"/>
        <v>2.4677083723556766E-3</v>
      </c>
    </row>
    <row r="103" spans="14:36" x14ac:dyDescent="0.2">
      <c r="N103" s="85"/>
      <c r="O103" s="85"/>
      <c r="AF103" s="114">
        <f>_xll.qlCalendarAdvance(Calendar,AF102,"1d","mf",,Trigger)</f>
        <v>42880</v>
      </c>
      <c r="AG103" s="100">
        <f>_xll.qlDayCounterYearFraction(DayCounter,SettlementDate,AF103,,,Trigger)</f>
        <v>0.3972222222222222</v>
      </c>
      <c r="AH103" s="112">
        <f t="shared" si="15"/>
        <v>2.5672551748571401E-3</v>
      </c>
      <c r="AI103" s="112">
        <f t="shared" si="16"/>
        <v>2.4707761001384284E-3</v>
      </c>
      <c r="AJ103" s="112">
        <f t="shared" si="17"/>
        <v>2.4701424237701091E-3</v>
      </c>
    </row>
    <row r="104" spans="14:36" x14ac:dyDescent="0.2">
      <c r="N104" s="85"/>
      <c r="O104" s="85"/>
      <c r="AF104" s="114">
        <f>_xll.qlCalendarAdvance(Calendar,AF103,"1d","mf",,Trigger)</f>
        <v>42881</v>
      </c>
      <c r="AG104" s="100">
        <f>_xll.qlDayCounterYearFraction(DayCounter,SettlementDate,AF104,,,Trigger)</f>
        <v>0.4</v>
      </c>
      <c r="AH104" s="112">
        <f t="shared" si="15"/>
        <v>2.5672551748571401E-3</v>
      </c>
      <c r="AI104" s="112">
        <f t="shared" si="16"/>
        <v>2.4732186083591553E-3</v>
      </c>
      <c r="AJ104" s="112">
        <f t="shared" si="17"/>
        <v>2.47257662755943E-3</v>
      </c>
    </row>
    <row r="105" spans="14:36" x14ac:dyDescent="0.2">
      <c r="N105" s="85"/>
      <c r="O105" s="85"/>
      <c r="AF105" s="114">
        <f>_xll.qlCalendarAdvance(Calendar,AF104,"1d","mf",,Trigger)</f>
        <v>42884</v>
      </c>
      <c r="AG105" s="100">
        <f>_xll.qlDayCounterYearFraction(DayCounter,SettlementDate,AF105,,,Trigger)</f>
        <v>0.40833333333333333</v>
      </c>
      <c r="AH105" s="112">
        <f t="shared" si="15"/>
        <v>2.5672551748571401E-3</v>
      </c>
      <c r="AI105" s="112">
        <f t="shared" si="16"/>
        <v>2.4805461330213358E-3</v>
      </c>
      <c r="AJ105" s="112">
        <f t="shared" si="17"/>
        <v>2.4798801531767216E-3</v>
      </c>
    </row>
    <row r="106" spans="14:36" x14ac:dyDescent="0.2">
      <c r="N106" s="85"/>
      <c r="O106" s="85"/>
      <c r="AF106" s="114">
        <f>_xll.qlCalendarAdvance(Calendar,AF105,"1d","mf",,Trigger)</f>
        <v>42885</v>
      </c>
      <c r="AG106" s="100">
        <f>_xll.qlDayCounterYearFraction(DayCounter,SettlementDate,AF106,,,Trigger)</f>
        <v>0.41111111111111109</v>
      </c>
      <c r="AH106" s="112">
        <f t="shared" si="15"/>
        <v>2.5672551748571401E-3</v>
      </c>
      <c r="AI106" s="112">
        <f t="shared" si="16"/>
        <v>2.4829886412420627E-3</v>
      </c>
      <c r="AJ106" s="112">
        <f t="shared" si="17"/>
        <v>2.4823149664655953E-3</v>
      </c>
    </row>
    <row r="107" spans="14:36" x14ac:dyDescent="0.2">
      <c r="N107" s="85"/>
      <c r="O107" s="85"/>
      <c r="AF107" s="114">
        <f>_xll.qlCalendarAdvance(Calendar,AF106,"1d","mf",,Trigger)</f>
        <v>42886</v>
      </c>
      <c r="AG107" s="100">
        <f>_xll.qlDayCounterYearFraction(DayCounter,SettlementDate,AF107,,,Trigger)</f>
        <v>0.41388888888888886</v>
      </c>
      <c r="AH107" s="112">
        <f t="shared" si="15"/>
        <v>2.5672551748571401E-3</v>
      </c>
      <c r="AI107" s="112">
        <f t="shared" si="16"/>
        <v>2.4854311494627896E-3</v>
      </c>
      <c r="AJ107" s="112">
        <f t="shared" si="17"/>
        <v>2.4847499321293573E-3</v>
      </c>
    </row>
    <row r="108" spans="14:36" x14ac:dyDescent="0.2">
      <c r="N108" s="85"/>
      <c r="O108" s="85"/>
      <c r="AF108" s="114">
        <f>_xll.qlCalendarAdvance(Calendar,AF107,"1d","mf",,Trigger)</f>
        <v>42887</v>
      </c>
      <c r="AG108" s="100">
        <f>_xll.qlDayCounterYearFraction(DayCounter,SettlementDate,AF108,,,Trigger)</f>
        <v>0.41666666666666669</v>
      </c>
      <c r="AH108" s="112">
        <f t="shared" si="15"/>
        <v>2.5672551748571401E-3</v>
      </c>
      <c r="AI108" s="112">
        <f t="shared" si="16"/>
        <v>2.4878736576835164E-3</v>
      </c>
      <c r="AJ108" s="112">
        <f t="shared" si="17"/>
        <v>2.4871850501680072E-3</v>
      </c>
    </row>
    <row r="109" spans="14:36" x14ac:dyDescent="0.2">
      <c r="N109" s="85"/>
      <c r="O109" s="85"/>
      <c r="AF109" s="114">
        <f>_xll.qlCalendarAdvance(Calendar,AF108,"1d","mf",,Trigger)</f>
        <v>42888</v>
      </c>
      <c r="AG109" s="100">
        <f>_xll.qlDayCounterYearFraction(DayCounter,SettlementDate,AF109,,,Trigger)</f>
        <v>0.41944444444444445</v>
      </c>
      <c r="AH109" s="112">
        <f t="shared" si="15"/>
        <v>2.5672551748571401E-3</v>
      </c>
      <c r="AI109" s="112">
        <f t="shared" si="16"/>
        <v>2.4903161659042433E-3</v>
      </c>
      <c r="AJ109" s="112">
        <f t="shared" si="17"/>
        <v>2.4896203205815454E-3</v>
      </c>
    </row>
    <row r="110" spans="14:36" x14ac:dyDescent="0.2">
      <c r="N110" s="85"/>
      <c r="O110" s="85"/>
      <c r="AF110" s="114">
        <f>_xll.qlCalendarAdvance(Calendar,AF109,"1d","mf",,Trigger)</f>
        <v>42891</v>
      </c>
      <c r="AG110" s="100">
        <f>_xll.qlDayCounterYearFraction(DayCounter,SettlementDate,AF110,,,Trigger)</f>
        <v>0.42777777777777776</v>
      </c>
      <c r="AH110" s="112">
        <f t="shared" si="15"/>
        <v>2.5672551748571401E-3</v>
      </c>
      <c r="AI110" s="112">
        <f t="shared" si="16"/>
        <v>2.4976436905664238E-3</v>
      </c>
      <c r="AJ110" s="112">
        <f t="shared" si="17"/>
        <v>2.496927046071489E-3</v>
      </c>
    </row>
    <row r="111" spans="14:36" x14ac:dyDescent="0.2">
      <c r="N111" s="85"/>
      <c r="O111" s="85"/>
      <c r="AF111" s="114">
        <f>_xll.qlCalendarAdvance(Calendar,AF110,"1d","mf",,Trigger)</f>
        <v>42892</v>
      </c>
      <c r="AG111" s="100">
        <f>_xll.qlDayCounterYearFraction(DayCounter,SettlementDate,AF111,,,Trigger)</f>
        <v>0.43055555555555558</v>
      </c>
      <c r="AH111" s="112">
        <f t="shared" si="15"/>
        <v>2.5672551748571401E-3</v>
      </c>
      <c r="AI111" s="112">
        <f t="shared" si="16"/>
        <v>2.5000861987871511E-3</v>
      </c>
      <c r="AJ111" s="112">
        <f t="shared" si="17"/>
        <v>2.4993629259845796E-3</v>
      </c>
    </row>
    <row r="112" spans="14:36" x14ac:dyDescent="0.2">
      <c r="N112" s="85"/>
      <c r="O112" s="85"/>
      <c r="AF112" s="114">
        <f>_xll.qlCalendarAdvance(Calendar,AF111,"1d","mf",,Trigger)</f>
        <v>42893</v>
      </c>
      <c r="AG112" s="100">
        <f>_xll.qlDayCounterYearFraction(DayCounter,SettlementDate,AF112,,,Trigger)</f>
        <v>0.43333333333333335</v>
      </c>
      <c r="AH112" s="112">
        <f t="shared" si="15"/>
        <v>2.5672551748571401E-3</v>
      </c>
      <c r="AI112" s="112">
        <f t="shared" si="16"/>
        <v>2.502528707007878E-3</v>
      </c>
      <c r="AJ112" s="112">
        <f t="shared" si="17"/>
        <v>2.5017989582725589E-3</v>
      </c>
    </row>
    <row r="113" spans="14:36" x14ac:dyDescent="0.2">
      <c r="N113" s="85"/>
      <c r="O113" s="85"/>
      <c r="AF113" s="114">
        <f>_xll.qlCalendarAdvance(Calendar,AF112,"1d","mf",,Trigger)</f>
        <v>42894</v>
      </c>
      <c r="AG113" s="100">
        <f>_xll.qlDayCounterYearFraction(DayCounter,SettlementDate,AF113,,,Trigger)</f>
        <v>0.43611111111111112</v>
      </c>
      <c r="AH113" s="112">
        <f t="shared" si="15"/>
        <v>2.5672551748571401E-3</v>
      </c>
      <c r="AI113" s="112">
        <f t="shared" si="16"/>
        <v>2.5049712152286048E-3</v>
      </c>
      <c r="AJ113" s="112">
        <f t="shared" si="17"/>
        <v>2.5042351429354261E-3</v>
      </c>
    </row>
    <row r="114" spans="14:36" x14ac:dyDescent="0.2">
      <c r="N114" s="85"/>
      <c r="O114" s="85"/>
      <c r="AF114" s="114">
        <f>_xll.qlCalendarAdvance(Calendar,AF113,"1d","mf",,Trigger)</f>
        <v>42895</v>
      </c>
      <c r="AG114" s="100">
        <f>_xll.qlDayCounterYearFraction(DayCounter,SettlementDate,AF114,,,Trigger)</f>
        <v>0.43888888888888888</v>
      </c>
      <c r="AH114" s="112">
        <f t="shared" si="15"/>
        <v>2.5672551748571401E-3</v>
      </c>
      <c r="AI114" s="112">
        <f t="shared" si="16"/>
        <v>2.5074137234493317E-3</v>
      </c>
      <c r="AJ114" s="112">
        <f t="shared" si="17"/>
        <v>2.5066714799731817E-3</v>
      </c>
    </row>
    <row r="115" spans="14:36" x14ac:dyDescent="0.2">
      <c r="N115" s="85"/>
      <c r="O115" s="85"/>
      <c r="AF115" s="114">
        <f>_xll.qlCalendarAdvance(Calendar,AF114,"1d","mf",,Trigger)</f>
        <v>42898</v>
      </c>
      <c r="AG115" s="100">
        <f>_xll.qlDayCounterYearFraction(DayCounter,SettlementDate,AF115,,,Trigger)</f>
        <v>0.44722222222222224</v>
      </c>
      <c r="AH115" s="112">
        <f t="shared" si="15"/>
        <v>2.5672551748571401E-3</v>
      </c>
      <c r="AI115" s="112">
        <f t="shared" si="16"/>
        <v>2.5147412481115123E-3</v>
      </c>
      <c r="AJ115" s="112">
        <f t="shared" si="17"/>
        <v>2.5139814053357773E-3</v>
      </c>
    </row>
    <row r="116" spans="14:36" x14ac:dyDescent="0.2">
      <c r="N116" s="85"/>
      <c r="O116" s="85"/>
      <c r="AF116" s="114">
        <f>_xll.qlCalendarAdvance(Calendar,AF115,"1d","mf",,Trigger)</f>
        <v>42899</v>
      </c>
      <c r="AG116" s="100">
        <f>_xll.qlDayCounterYearFraction(DayCounter,SettlementDate,AF116,,,Trigger)</f>
        <v>0.45</v>
      </c>
      <c r="AH116" s="112">
        <f t="shared" si="15"/>
        <v>2.5672551748571401E-3</v>
      </c>
      <c r="AI116" s="112">
        <f t="shared" si="16"/>
        <v>2.5171837563322391E-3</v>
      </c>
      <c r="AJ116" s="112">
        <f t="shared" si="17"/>
        <v>2.5164183518730857E-3</v>
      </c>
    </row>
    <row r="117" spans="14:36" x14ac:dyDescent="0.2">
      <c r="N117" s="85"/>
      <c r="O117" s="85"/>
      <c r="AF117" s="114">
        <f>_xll.qlCalendarAdvance(Calendar,AF116,"1d","mf",,Trigger)</f>
        <v>42900</v>
      </c>
      <c r="AG117" s="100">
        <f>_xll.qlDayCounterYearFraction(DayCounter,SettlementDate,AF117,,,Trigger)</f>
        <v>0.45277777777777778</v>
      </c>
      <c r="AH117" s="112">
        <f t="shared" si="15"/>
        <v>2.5672551748571401E-3</v>
      </c>
      <c r="AI117" s="112">
        <f t="shared" si="16"/>
        <v>2.519626264552966E-3</v>
      </c>
      <c r="AJ117" s="112">
        <f t="shared" si="17"/>
        <v>2.5188554507852819E-3</v>
      </c>
    </row>
    <row r="118" spans="14:36" x14ac:dyDescent="0.2">
      <c r="N118" s="85"/>
      <c r="O118" s="85"/>
      <c r="AF118" s="114">
        <f>_xll.qlCalendarAdvance(Calendar,AF117,"1d","mf",,Trigger)</f>
        <v>42901</v>
      </c>
      <c r="AG118" s="100">
        <f>_xll.qlDayCounterYearFraction(DayCounter,SettlementDate,AF118,,,Trigger)</f>
        <v>0.45555555555555555</v>
      </c>
      <c r="AH118" s="112">
        <f t="shared" si="15"/>
        <v>2.5672551748571401E-3</v>
      </c>
      <c r="AI118" s="112">
        <f t="shared" si="16"/>
        <v>2.5220687727736928E-3</v>
      </c>
      <c r="AJ118" s="112">
        <f t="shared" si="17"/>
        <v>2.5212927020723665E-3</v>
      </c>
    </row>
    <row r="119" spans="14:36" x14ac:dyDescent="0.2">
      <c r="N119" s="86"/>
      <c r="O119" s="85"/>
      <c r="AF119" s="114">
        <f>_xll.qlCalendarAdvance(Calendar,AF118,"1d","mf",,Trigger)</f>
        <v>42902</v>
      </c>
      <c r="AG119" s="100">
        <f>_xll.qlDayCounterYearFraction(DayCounter,SettlementDate,AF119,,,Trigger)</f>
        <v>0.45833333333333331</v>
      </c>
      <c r="AH119" s="112">
        <f t="shared" si="15"/>
        <v>2.5672551748571401E-3</v>
      </c>
      <c r="AI119" s="112">
        <f t="shared" si="16"/>
        <v>2.5245112809944197E-3</v>
      </c>
      <c r="AJ119" s="112">
        <f t="shared" si="17"/>
        <v>2.5237301057343389E-3</v>
      </c>
    </row>
    <row r="120" spans="14:36" x14ac:dyDescent="0.2">
      <c r="N120" s="86"/>
      <c r="O120" s="85"/>
      <c r="AF120" s="114">
        <f>_xll.qlCalendarAdvance(Calendar,AF119,"1d","mf",,Trigger)</f>
        <v>42905</v>
      </c>
      <c r="AG120" s="100">
        <f>_xll.qlDayCounterYearFraction(DayCounter,SettlementDate,AF120,,,Trigger)</f>
        <v>0.46666666666666667</v>
      </c>
      <c r="AH120" s="112">
        <f t="shared" si="15"/>
        <v>2.5672551748571401E-3</v>
      </c>
      <c r="AI120" s="112">
        <f t="shared" si="16"/>
        <v>2.5318388056566003E-3</v>
      </c>
      <c r="AJ120" s="112">
        <f t="shared" si="17"/>
        <v>2.531043230969587E-3</v>
      </c>
    </row>
    <row r="121" spans="14:36" x14ac:dyDescent="0.2">
      <c r="N121" s="86"/>
      <c r="O121" s="85"/>
      <c r="AF121" s="114">
        <f>_xll.qlCalendarAdvance(Calendar,AF120,"1d","mf",,Trigger)</f>
        <v>42906</v>
      </c>
      <c r="AG121" s="100">
        <f>_xll.qlDayCounterYearFraction(DayCounter,SettlementDate,AF121,,,Trigger)</f>
        <v>0.46944444444444444</v>
      </c>
      <c r="AH121" s="112">
        <f t="shared" si="15"/>
        <v>2.5672551748571401E-3</v>
      </c>
      <c r="AI121" s="112">
        <f t="shared" si="16"/>
        <v>2.5342813138773271E-3</v>
      </c>
      <c r="AJ121" s="112">
        <f t="shared" si="17"/>
        <v>2.5334812441311122E-3</v>
      </c>
    </row>
    <row r="122" spans="14:36" x14ac:dyDescent="0.2">
      <c r="N122" s="86"/>
      <c r="O122" s="85"/>
      <c r="AF122" s="114">
        <f>_xll.qlCalendarAdvance(Calendar,AF121,"1d","mf",,Trigger)</f>
        <v>42907</v>
      </c>
      <c r="AG122" s="100">
        <f>_xll.qlDayCounterYearFraction(DayCounter,SettlementDate,AF122,,,Trigger)</f>
        <v>0.47222222222222221</v>
      </c>
      <c r="AH122" s="112">
        <f t="shared" si="15"/>
        <v>2.5672551748571401E-3</v>
      </c>
      <c r="AI122" s="112">
        <f t="shared" si="16"/>
        <v>2.536723822098054E-3</v>
      </c>
      <c r="AJ122" s="112">
        <f t="shared" si="17"/>
        <v>2.5359194096675258E-3</v>
      </c>
    </row>
    <row r="123" spans="14:36" x14ac:dyDescent="0.2">
      <c r="N123" s="86"/>
      <c r="O123" s="85"/>
      <c r="AF123" s="114">
        <f>_xll.qlCalendarAdvance(Calendar,AF122,"1d","mf",,Trigger)</f>
        <v>42908</v>
      </c>
      <c r="AG123" s="100">
        <f>_xll.qlDayCounterYearFraction(DayCounter,SettlementDate,AF123,,,Trigger)</f>
        <v>0.47499999999999998</v>
      </c>
      <c r="AH123" s="112">
        <f t="shared" si="15"/>
        <v>2.5672551748571401E-3</v>
      </c>
      <c r="AI123" s="112">
        <f t="shared" si="16"/>
        <v>2.5391663303187808E-3</v>
      </c>
      <c r="AJ123" s="112">
        <f t="shared" si="17"/>
        <v>2.5383577275788277E-3</v>
      </c>
    </row>
    <row r="124" spans="14:36" x14ac:dyDescent="0.2">
      <c r="N124" s="86"/>
      <c r="O124" s="85"/>
      <c r="AF124" s="114">
        <f>_xll.qlCalendarAdvance(Calendar,AF123,"1d","mf",,Trigger)</f>
        <v>42909</v>
      </c>
      <c r="AG124" s="100">
        <f>_xll.qlDayCounterYearFraction(DayCounter,SettlementDate,AF124,,,Trigger)</f>
        <v>0.4777777777777778</v>
      </c>
      <c r="AH124" s="112">
        <f t="shared" si="15"/>
        <v>2.5672551748571401E-3</v>
      </c>
      <c r="AI124" s="112">
        <f>$W$10+$W$9*AG124</f>
        <v>2.5416088385395077E-3</v>
      </c>
      <c r="AJ124" s="112">
        <f>($W$5+$W$4*AG124+$W$3*AG124^2)</f>
        <v>2.5407961978650179E-3</v>
      </c>
    </row>
    <row r="125" spans="14:36" x14ac:dyDescent="0.2">
      <c r="N125" s="86"/>
      <c r="O125" s="86"/>
      <c r="AF125" s="114">
        <f>_xll.qlCalendarAdvance(Calendar,AF124,"1d","mf",,Trigger)</f>
        <v>42912</v>
      </c>
      <c r="AG125" s="100">
        <f>_xll.qlDayCounterYearFraction(DayCounter,SettlementDate,AF125,,,Trigger)</f>
        <v>0.4861111111111111</v>
      </c>
      <c r="AH125" s="112">
        <f t="shared" si="15"/>
        <v>2.5672551748571401E-3</v>
      </c>
      <c r="AI125" s="112">
        <f t="shared" ref="AI125:AI188" si="18">$W$10+$W$9*AG125</f>
        <v>2.5489363632016883E-3</v>
      </c>
      <c r="AJ125" s="112">
        <f t="shared" ref="AJ125:AJ188" si="19">($W$5+$W$4*AG125+$W$3*AG125^2)</f>
        <v>2.5481125229729171E-3</v>
      </c>
    </row>
    <row r="126" spans="14:36" x14ac:dyDescent="0.2">
      <c r="N126" s="86"/>
      <c r="O126" s="86"/>
      <c r="AF126" s="114">
        <f>_xll.qlCalendarAdvance(Calendar,AF125,"1d","mf",,Trigger)</f>
        <v>42913</v>
      </c>
      <c r="AG126" s="100">
        <f>_xll.qlDayCounterYearFraction(DayCounter,SettlementDate,AF126,,,Trigger)</f>
        <v>0.48888888888888887</v>
      </c>
      <c r="AH126" s="112">
        <f t="shared" si="15"/>
        <v>2.5672551748571401E-3</v>
      </c>
      <c r="AI126" s="112">
        <f t="shared" si="18"/>
        <v>2.5513788714224151E-3</v>
      </c>
      <c r="AJ126" s="112">
        <f t="shared" si="19"/>
        <v>2.5505516027586601E-3</v>
      </c>
    </row>
    <row r="127" spans="14:36" x14ac:dyDescent="0.2">
      <c r="N127" s="86"/>
      <c r="O127" s="86"/>
      <c r="AF127" s="114">
        <f>_xll.qlCalendarAdvance(Calendar,AF126,"1d","mf",,Trigger)</f>
        <v>42914</v>
      </c>
      <c r="AG127" s="100">
        <f>_xll.qlDayCounterYearFraction(DayCounter,SettlementDate,AF127,,,Trigger)</f>
        <v>0.49166666666666664</v>
      </c>
      <c r="AH127" s="112">
        <f t="shared" si="15"/>
        <v>2.5672551748571401E-3</v>
      </c>
      <c r="AI127" s="112">
        <f t="shared" si="18"/>
        <v>2.553821379643142E-3</v>
      </c>
      <c r="AJ127" s="112">
        <f t="shared" si="19"/>
        <v>2.552990834919291E-3</v>
      </c>
    </row>
    <row r="128" spans="14:36" x14ac:dyDescent="0.2">
      <c r="N128" s="86"/>
      <c r="O128" s="86"/>
      <c r="AF128" s="114">
        <f>_xll.qlCalendarAdvance(Calendar,AF127,"1d","mf",,Trigger)</f>
        <v>42915</v>
      </c>
      <c r="AG128" s="100">
        <f>_xll.qlDayCounterYearFraction(DayCounter,SettlementDate,AF128,,,Trigger)</f>
        <v>0.49444444444444446</v>
      </c>
      <c r="AH128" s="112">
        <f t="shared" si="15"/>
        <v>2.5672551748571401E-3</v>
      </c>
      <c r="AI128" s="112">
        <f t="shared" si="18"/>
        <v>2.5562638878638688E-3</v>
      </c>
      <c r="AJ128" s="112">
        <f t="shared" si="19"/>
        <v>2.5554302194548103E-3</v>
      </c>
    </row>
    <row r="129" spans="14:36" x14ac:dyDescent="0.2">
      <c r="N129" s="86"/>
      <c r="O129" s="86"/>
      <c r="AF129" s="114">
        <f>_xll.qlCalendarAdvance(Calendar,AF128,"1d","mf",,Trigger)</f>
        <v>42916</v>
      </c>
      <c r="AG129" s="100">
        <f>_xll.qlDayCounterYearFraction(DayCounter,SettlementDate,AF129,,,Trigger)</f>
        <v>0.49722222222222223</v>
      </c>
      <c r="AH129" s="112">
        <f t="shared" si="15"/>
        <v>2.5672551748571401E-3</v>
      </c>
      <c r="AI129" s="112">
        <f t="shared" si="18"/>
        <v>2.5587063960845957E-3</v>
      </c>
      <c r="AJ129" s="112">
        <f t="shared" si="19"/>
        <v>2.5578697563652178E-3</v>
      </c>
    </row>
    <row r="130" spans="14:36" x14ac:dyDescent="0.2">
      <c r="N130" s="86"/>
      <c r="O130" s="86"/>
      <c r="AF130" s="114">
        <f>_xll.qlCalendarAdvance(Calendar,AF129,"1d","mf",,Trigger)</f>
        <v>42919</v>
      </c>
      <c r="AG130" s="100">
        <f>_xll.qlDayCounterYearFraction(DayCounter,SettlementDate,AF130,,,Trigger)</f>
        <v>0.50555555555555554</v>
      </c>
      <c r="AH130" s="112">
        <f t="shared" si="15"/>
        <v>2.5672551748571401E-3</v>
      </c>
      <c r="AI130" s="112">
        <f t="shared" si="18"/>
        <v>2.5660339207467762E-3</v>
      </c>
      <c r="AJ130" s="112">
        <f t="shared" si="19"/>
        <v>2.565189281345769E-3</v>
      </c>
    </row>
    <row r="131" spans="14:36" x14ac:dyDescent="0.2">
      <c r="N131" s="86"/>
      <c r="O131" s="86"/>
      <c r="AF131" s="114">
        <f>_xll.qlCalendarAdvance(Calendar,AF130,"1d","mf",,Trigger)</f>
        <v>42920</v>
      </c>
      <c r="AG131" s="100">
        <f>_xll.qlDayCounterYearFraction(DayCounter,SettlementDate,AF131,,,Trigger)</f>
        <v>0.5083333333333333</v>
      </c>
      <c r="AH131" s="112">
        <f t="shared" ref="AH131:AH194" si="20">$W$13</f>
        <v>2.5672551748571401E-3</v>
      </c>
      <c r="AI131" s="112">
        <f t="shared" si="18"/>
        <v>2.5684764289675031E-3</v>
      </c>
      <c r="AJ131" s="112">
        <f t="shared" si="19"/>
        <v>2.5676294277557289E-3</v>
      </c>
    </row>
    <row r="132" spans="14:36" x14ac:dyDescent="0.2">
      <c r="N132" s="86"/>
      <c r="O132" s="86"/>
      <c r="AF132" s="114">
        <f>_xll.qlCalendarAdvance(Calendar,AF131,"1d","mf",,Trigger)</f>
        <v>42921</v>
      </c>
      <c r="AG132" s="100">
        <f>_xll.qlDayCounterYearFraction(DayCounter,SettlementDate,AF132,,,Trigger)</f>
        <v>0.51111111111111107</v>
      </c>
      <c r="AH132" s="112">
        <f t="shared" si="20"/>
        <v>2.5672551748571401E-3</v>
      </c>
      <c r="AI132" s="112">
        <f t="shared" si="18"/>
        <v>2.57091893718823E-3</v>
      </c>
      <c r="AJ132" s="112">
        <f t="shared" si="19"/>
        <v>2.5700697265405772E-3</v>
      </c>
    </row>
    <row r="133" spans="14:36" x14ac:dyDescent="0.2">
      <c r="N133" s="86"/>
      <c r="O133" s="86"/>
      <c r="AF133" s="114">
        <f>_xll.qlCalendarAdvance(Calendar,AF132,"1d","mf",,Trigger)</f>
        <v>42922</v>
      </c>
      <c r="AG133" s="100">
        <f>_xll.qlDayCounterYearFraction(DayCounter,SettlementDate,AF133,,,Trigger)</f>
        <v>0.51388888888888884</v>
      </c>
      <c r="AH133" s="112">
        <f t="shared" si="20"/>
        <v>2.5672551748571401E-3</v>
      </c>
      <c r="AI133" s="112">
        <f t="shared" si="18"/>
        <v>2.5733614454089568E-3</v>
      </c>
      <c r="AJ133" s="112">
        <f t="shared" si="19"/>
        <v>2.5725101777003142E-3</v>
      </c>
    </row>
    <row r="134" spans="14:36" x14ac:dyDescent="0.2">
      <c r="N134" s="86"/>
      <c r="O134" s="86"/>
      <c r="AF134" s="114">
        <f>_xll.qlCalendarAdvance(Calendar,AF133,"1d","mf",,Trigger)</f>
        <v>42923</v>
      </c>
      <c r="AG134" s="100">
        <f>_xll.qlDayCounterYearFraction(DayCounter,SettlementDate,AF134,,,Trigger)</f>
        <v>0.51666666666666672</v>
      </c>
      <c r="AH134" s="112">
        <f t="shared" si="20"/>
        <v>2.5672551748571401E-3</v>
      </c>
      <c r="AI134" s="112">
        <f t="shared" si="18"/>
        <v>2.5758039536296837E-3</v>
      </c>
      <c r="AJ134" s="112">
        <f t="shared" si="19"/>
        <v>2.5749507812349386E-3</v>
      </c>
    </row>
    <row r="135" spans="14:36" x14ac:dyDescent="0.2">
      <c r="O135" s="86"/>
      <c r="AF135" s="114">
        <f>_xll.qlCalendarAdvance(Calendar,AF134,"1d","mf",,Trigger)</f>
        <v>42926</v>
      </c>
      <c r="AG135" s="100">
        <f>_xll.qlDayCounterYearFraction(DayCounter,SettlementDate,AF135,,,Trigger)</f>
        <v>0.52500000000000002</v>
      </c>
      <c r="AH135" s="112">
        <f t="shared" si="20"/>
        <v>2.5672551748571401E-3</v>
      </c>
      <c r="AI135" s="112">
        <f t="shared" si="18"/>
        <v>2.5831314782918642E-3</v>
      </c>
      <c r="AJ135" s="112">
        <f t="shared" si="19"/>
        <v>2.5822735060881418E-3</v>
      </c>
    </row>
    <row r="136" spans="14:36" x14ac:dyDescent="0.2">
      <c r="O136" s="86"/>
      <c r="AF136" s="114">
        <f>_xll.qlCalendarAdvance(Calendar,AF135,"1d","mf",,Trigger)</f>
        <v>42927</v>
      </c>
      <c r="AG136" s="100">
        <f>_xll.qlDayCounterYearFraction(DayCounter,SettlementDate,AF136,,,Trigger)</f>
        <v>0.52777777777777779</v>
      </c>
      <c r="AH136" s="112">
        <f t="shared" si="20"/>
        <v>2.5672551748571401E-3</v>
      </c>
      <c r="AI136" s="112">
        <f t="shared" si="18"/>
        <v>2.5855739865125911E-3</v>
      </c>
      <c r="AJ136" s="112">
        <f t="shared" si="19"/>
        <v>2.5847147191223191E-3</v>
      </c>
    </row>
    <row r="137" spans="14:36" x14ac:dyDescent="0.2">
      <c r="O137" s="86"/>
      <c r="AF137" s="114">
        <f>_xll.qlCalendarAdvance(Calendar,AF136,"1d","mf",,Trigger)</f>
        <v>42928</v>
      </c>
      <c r="AG137" s="100">
        <f>_xll.qlDayCounterYearFraction(DayCounter,SettlementDate,AF137,,,Trigger)</f>
        <v>0.53055555555555556</v>
      </c>
      <c r="AH137" s="112">
        <f t="shared" si="20"/>
        <v>2.5672551748571401E-3</v>
      </c>
      <c r="AI137" s="112">
        <f t="shared" si="18"/>
        <v>2.588016494733318E-3</v>
      </c>
      <c r="AJ137" s="112">
        <f t="shared" si="19"/>
        <v>2.5871560845313847E-3</v>
      </c>
    </row>
    <row r="138" spans="14:36" x14ac:dyDescent="0.2">
      <c r="O138" s="86"/>
      <c r="AF138" s="114">
        <f>_xll.qlCalendarAdvance(Calendar,AF137,"1d","mf",,Trigger)</f>
        <v>42929</v>
      </c>
      <c r="AG138" s="100">
        <f>_xll.qlDayCounterYearFraction(DayCounter,SettlementDate,AF138,,,Trigger)</f>
        <v>0.53333333333333333</v>
      </c>
      <c r="AH138" s="112">
        <f t="shared" si="20"/>
        <v>2.5672551748571401E-3</v>
      </c>
      <c r="AI138" s="112">
        <f t="shared" si="18"/>
        <v>2.5904590029540448E-3</v>
      </c>
      <c r="AJ138" s="112">
        <f t="shared" si="19"/>
        <v>2.5895976023153386E-3</v>
      </c>
    </row>
    <row r="139" spans="14:36" x14ac:dyDescent="0.2">
      <c r="O139" s="86"/>
      <c r="AF139" s="114">
        <f>_xll.qlCalendarAdvance(Calendar,AF138,"1d","mf",,Trigger)</f>
        <v>42930</v>
      </c>
      <c r="AG139" s="100">
        <f>_xll.qlDayCounterYearFraction(DayCounter,SettlementDate,AF139,,,Trigger)</f>
        <v>0.53611111111111109</v>
      </c>
      <c r="AH139" s="112">
        <f t="shared" si="20"/>
        <v>2.5672551748571401E-3</v>
      </c>
      <c r="AI139" s="112">
        <f t="shared" si="18"/>
        <v>2.5929015111747717E-3</v>
      </c>
      <c r="AJ139" s="112">
        <f t="shared" si="19"/>
        <v>2.5920392724741803E-3</v>
      </c>
    </row>
    <row r="140" spans="14:36" x14ac:dyDescent="0.2">
      <c r="O140" s="86"/>
      <c r="AF140" s="114">
        <f>_xll.qlCalendarAdvance(Calendar,AF139,"1d","mf",,Trigger)</f>
        <v>42933</v>
      </c>
      <c r="AG140" s="100">
        <f>_xll.qlDayCounterYearFraction(DayCounter,SettlementDate,AF140,,,Trigger)</f>
        <v>0.5444444444444444</v>
      </c>
      <c r="AH140" s="112">
        <f t="shared" si="20"/>
        <v>2.5672551748571401E-3</v>
      </c>
      <c r="AI140" s="112">
        <f t="shared" si="18"/>
        <v>2.6002290358369522E-3</v>
      </c>
      <c r="AJ140" s="112">
        <f t="shared" si="19"/>
        <v>2.5993651972000356E-3</v>
      </c>
    </row>
    <row r="141" spans="14:36" x14ac:dyDescent="0.2">
      <c r="AF141" s="114">
        <f>_xll.qlCalendarAdvance(Calendar,AF140,"1d","mf",,Trigger)</f>
        <v>42934</v>
      </c>
      <c r="AG141" s="100">
        <f>_xll.qlDayCounterYearFraction(DayCounter,SettlementDate,AF141,,,Trigger)</f>
        <v>0.54722222222222228</v>
      </c>
      <c r="AH141" s="112">
        <f t="shared" si="20"/>
        <v>2.5672551748571401E-3</v>
      </c>
      <c r="AI141" s="112">
        <f t="shared" si="18"/>
        <v>2.6026715440576791E-3</v>
      </c>
      <c r="AJ141" s="112">
        <f t="shared" si="19"/>
        <v>2.6018074768584302E-3</v>
      </c>
    </row>
    <row r="142" spans="14:36" x14ac:dyDescent="0.2">
      <c r="AF142" s="114">
        <f>_xll.qlCalendarAdvance(Calendar,AF141,"1d","mf",,Trigger)</f>
        <v>42935</v>
      </c>
      <c r="AG142" s="100">
        <f>_xll.qlDayCounterYearFraction(DayCounter,SettlementDate,AF142,,,Trigger)</f>
        <v>0.55000000000000004</v>
      </c>
      <c r="AH142" s="112">
        <f t="shared" si="20"/>
        <v>2.5672551748571401E-3</v>
      </c>
      <c r="AI142" s="112">
        <f t="shared" si="18"/>
        <v>2.605114052278406E-3</v>
      </c>
      <c r="AJ142" s="112">
        <f t="shared" si="19"/>
        <v>2.6042499088917131E-3</v>
      </c>
    </row>
    <row r="143" spans="14:36" x14ac:dyDescent="0.2">
      <c r="AF143" s="114">
        <f>_xll.qlCalendarAdvance(Calendar,AF142,"1d","mf",,Trigger)</f>
        <v>42936</v>
      </c>
      <c r="AG143" s="100">
        <f>_xll.qlDayCounterYearFraction(DayCounter,SettlementDate,AF143,,,Trigger)</f>
        <v>0.55277777777777781</v>
      </c>
      <c r="AH143" s="112">
        <f t="shared" si="20"/>
        <v>2.5672551748571401E-3</v>
      </c>
      <c r="AI143" s="112">
        <f t="shared" si="18"/>
        <v>2.6075565604991328E-3</v>
      </c>
      <c r="AJ143" s="112">
        <f t="shared" si="19"/>
        <v>2.6066924932998843E-3</v>
      </c>
    </row>
    <row r="144" spans="14:36" x14ac:dyDescent="0.2">
      <c r="AF144" s="114">
        <f>_xll.qlCalendarAdvance(Calendar,AF143,"1d","mf",,Trigger)</f>
        <v>42937</v>
      </c>
      <c r="AG144" s="100">
        <f>_xll.qlDayCounterYearFraction(DayCounter,SettlementDate,AF144,,,Trigger)</f>
        <v>0.55555555555555558</v>
      </c>
      <c r="AH144" s="112">
        <f t="shared" si="20"/>
        <v>2.5672551748571401E-3</v>
      </c>
      <c r="AI144" s="112">
        <f t="shared" si="18"/>
        <v>2.6099990687198597E-3</v>
      </c>
      <c r="AJ144" s="112">
        <f t="shared" si="19"/>
        <v>2.6091352300829434E-3</v>
      </c>
    </row>
    <row r="145" spans="32:36" x14ac:dyDescent="0.2">
      <c r="AF145" s="114">
        <f>_xll.qlCalendarAdvance(Calendar,AF144,"1d","mf",,Trigger)</f>
        <v>42940</v>
      </c>
      <c r="AG145" s="100">
        <f>_xll.qlDayCounterYearFraction(DayCounter,SettlementDate,AF145,,,Trigger)</f>
        <v>0.56388888888888888</v>
      </c>
      <c r="AH145" s="112">
        <f t="shared" si="20"/>
        <v>2.5672551748571401E-3</v>
      </c>
      <c r="AI145" s="112">
        <f t="shared" si="18"/>
        <v>2.6173265933820402E-3</v>
      </c>
      <c r="AJ145" s="112">
        <f t="shared" si="19"/>
        <v>2.6164643546814506E-3</v>
      </c>
    </row>
    <row r="146" spans="32:36" x14ac:dyDescent="0.2">
      <c r="AF146" s="114">
        <f>_xll.qlCalendarAdvance(Calendar,AF145,"1d","mf",,Trigger)</f>
        <v>42941</v>
      </c>
      <c r="AG146" s="100">
        <f>_xll.qlDayCounterYearFraction(DayCounter,SettlementDate,AF146,,,Trigger)</f>
        <v>0.56666666666666665</v>
      </c>
      <c r="AH146" s="112">
        <f t="shared" si="20"/>
        <v>2.5672551748571401E-3</v>
      </c>
      <c r="AI146" s="112">
        <f t="shared" si="18"/>
        <v>2.6197691016027671E-3</v>
      </c>
      <c r="AJ146" s="112">
        <f t="shared" si="19"/>
        <v>2.6189077009640626E-3</v>
      </c>
    </row>
    <row r="147" spans="32:36" x14ac:dyDescent="0.2">
      <c r="AF147" s="114">
        <f>_xll.qlCalendarAdvance(Calendar,AF146,"1d","mf",,Trigger)</f>
        <v>42942</v>
      </c>
      <c r="AG147" s="100">
        <f>_xll.qlDayCounterYearFraction(DayCounter,SettlementDate,AF147,,,Trigger)</f>
        <v>0.56944444444444442</v>
      </c>
      <c r="AH147" s="112">
        <f t="shared" si="20"/>
        <v>2.5672551748571401E-3</v>
      </c>
      <c r="AI147" s="112">
        <f t="shared" si="18"/>
        <v>2.6222116098234939E-3</v>
      </c>
      <c r="AJ147" s="112">
        <f t="shared" si="19"/>
        <v>2.6213511996215628E-3</v>
      </c>
    </row>
    <row r="148" spans="32:36" x14ac:dyDescent="0.2">
      <c r="AF148" s="114">
        <f>_xll.qlCalendarAdvance(Calendar,AF147,"1d","mf",,Trigger)</f>
        <v>42943</v>
      </c>
      <c r="AG148" s="100">
        <f>_xll.qlDayCounterYearFraction(DayCounter,SettlementDate,AF148,,,Trigger)</f>
        <v>0.57222222222222219</v>
      </c>
      <c r="AH148" s="112">
        <f t="shared" si="20"/>
        <v>2.5672551748571401E-3</v>
      </c>
      <c r="AI148" s="112">
        <f t="shared" si="18"/>
        <v>2.6246541180442208E-3</v>
      </c>
      <c r="AJ148" s="112">
        <f t="shared" si="19"/>
        <v>2.6237948506539514E-3</v>
      </c>
    </row>
    <row r="149" spans="32:36" x14ac:dyDescent="0.2">
      <c r="AF149" s="114">
        <f>_xll.qlCalendarAdvance(Calendar,AF148,"1d","mf",,Trigger)</f>
        <v>42944</v>
      </c>
      <c r="AG149" s="100">
        <f>_xll.qlDayCounterYearFraction(DayCounter,SettlementDate,AF149,,,Trigger)</f>
        <v>0.57499999999999996</v>
      </c>
      <c r="AH149" s="112">
        <f t="shared" si="20"/>
        <v>2.5672551748571401E-3</v>
      </c>
      <c r="AI149" s="112">
        <f t="shared" si="18"/>
        <v>2.6270966262649477E-3</v>
      </c>
      <c r="AJ149" s="112">
        <f t="shared" si="19"/>
        <v>2.6262386540612278E-3</v>
      </c>
    </row>
    <row r="150" spans="32:36" x14ac:dyDescent="0.2">
      <c r="AF150" s="114">
        <f>_xll.qlCalendarAdvance(Calendar,AF149,"1d","mf",,Trigger)</f>
        <v>42947</v>
      </c>
      <c r="AG150" s="100">
        <f>_xll.qlDayCounterYearFraction(DayCounter,SettlementDate,AF150,,,Trigger)</f>
        <v>0.58333333333333337</v>
      </c>
      <c r="AH150" s="112">
        <f t="shared" si="20"/>
        <v>2.5672551748571401E-3</v>
      </c>
      <c r="AI150" s="112">
        <f t="shared" si="18"/>
        <v>2.6344241509271287E-3</v>
      </c>
      <c r="AJ150" s="112">
        <f t="shared" si="19"/>
        <v>2.6335709785323871E-3</v>
      </c>
    </row>
    <row r="151" spans="32:36" x14ac:dyDescent="0.2">
      <c r="AF151" s="114">
        <f>_xll.qlCalendarAdvance(Calendar,AF150,"1d","mf",,Trigger)</f>
        <v>42948</v>
      </c>
      <c r="AG151" s="100">
        <f>_xll.qlDayCounterYearFraction(DayCounter,SettlementDate,AF151,,,Trigger)</f>
        <v>0.58611111111111114</v>
      </c>
      <c r="AH151" s="112">
        <f t="shared" si="20"/>
        <v>2.5672551748571401E-3</v>
      </c>
      <c r="AI151" s="112">
        <f t="shared" si="18"/>
        <v>2.6368666591478555E-3</v>
      </c>
      <c r="AJ151" s="112">
        <f t="shared" si="19"/>
        <v>2.6360153914392159E-3</v>
      </c>
    </row>
    <row r="152" spans="32:36" x14ac:dyDescent="0.2">
      <c r="AF152" s="114">
        <f>_xll.qlCalendarAdvance(Calendar,AF151,"1d","mf",,Trigger)</f>
        <v>42949</v>
      </c>
      <c r="AG152" s="100">
        <f>_xll.qlDayCounterYearFraction(DayCounter,SettlementDate,AF152,,,Trigger)</f>
        <v>0.58888888888888891</v>
      </c>
      <c r="AH152" s="112">
        <f t="shared" si="20"/>
        <v>2.5672551748571401E-3</v>
      </c>
      <c r="AI152" s="112">
        <f t="shared" si="18"/>
        <v>2.6393091673685824E-3</v>
      </c>
      <c r="AJ152" s="112">
        <f t="shared" si="19"/>
        <v>2.6384599567209339E-3</v>
      </c>
    </row>
    <row r="153" spans="32:36" x14ac:dyDescent="0.2">
      <c r="AF153" s="114">
        <f>_xll.qlCalendarAdvance(Calendar,AF152,"1d","mf",,Trigger)</f>
        <v>42950</v>
      </c>
      <c r="AG153" s="100">
        <f>_xll.qlDayCounterYearFraction(DayCounter,SettlementDate,AF153,,,Trigger)</f>
        <v>0.59166666666666667</v>
      </c>
      <c r="AH153" s="112">
        <f t="shared" si="20"/>
        <v>2.5672551748571401E-3</v>
      </c>
      <c r="AI153" s="112">
        <f t="shared" si="18"/>
        <v>2.6417516755893092E-3</v>
      </c>
      <c r="AJ153" s="112">
        <f t="shared" si="19"/>
        <v>2.6409046743775394E-3</v>
      </c>
    </row>
    <row r="154" spans="32:36" x14ac:dyDescent="0.2">
      <c r="AF154" s="114">
        <f>_xll.qlCalendarAdvance(Calendar,AF153,"1d","mf",,Trigger)</f>
        <v>42951</v>
      </c>
      <c r="AG154" s="100">
        <f>_xll.qlDayCounterYearFraction(DayCounter,SettlementDate,AF154,,,Trigger)</f>
        <v>0.59444444444444444</v>
      </c>
      <c r="AH154" s="112">
        <f t="shared" si="20"/>
        <v>2.5672551748571401E-3</v>
      </c>
      <c r="AI154" s="112">
        <f t="shared" si="18"/>
        <v>2.6441941838100361E-3</v>
      </c>
      <c r="AJ154" s="112">
        <f t="shared" si="19"/>
        <v>2.6433495444090332E-3</v>
      </c>
    </row>
    <row r="155" spans="32:36" x14ac:dyDescent="0.2">
      <c r="AF155" s="114">
        <f>_xll.qlCalendarAdvance(Calendar,AF154,"1d","mf",,Trigger)</f>
        <v>42954</v>
      </c>
      <c r="AG155" s="100">
        <f>_xll.qlDayCounterYearFraction(DayCounter,SettlementDate,AF155,,,Trigger)</f>
        <v>0.60277777777777775</v>
      </c>
      <c r="AH155" s="112">
        <f t="shared" si="20"/>
        <v>2.5672551748571401E-3</v>
      </c>
      <c r="AI155" s="112">
        <f t="shared" si="18"/>
        <v>2.6515217084722167E-3</v>
      </c>
      <c r="AJ155" s="112">
        <f t="shared" si="19"/>
        <v>2.650685068752844E-3</v>
      </c>
    </row>
    <row r="156" spans="32:36" x14ac:dyDescent="0.2">
      <c r="AF156" s="114">
        <f>_xll.qlCalendarAdvance(Calendar,AF155,"1d","mf",,Trigger)</f>
        <v>42955</v>
      </c>
      <c r="AG156" s="100">
        <f>_xll.qlDayCounterYearFraction(DayCounter,SettlementDate,AF156,,,Trigger)</f>
        <v>0.60555555555555551</v>
      </c>
      <c r="AH156" s="112">
        <f t="shared" si="20"/>
        <v>2.5672551748571401E-3</v>
      </c>
      <c r="AI156" s="112">
        <f t="shared" si="18"/>
        <v>2.6539642166929435E-3</v>
      </c>
      <c r="AJ156" s="112">
        <f t="shared" si="19"/>
        <v>2.6531305482838906E-3</v>
      </c>
    </row>
    <row r="157" spans="32:36" x14ac:dyDescent="0.2">
      <c r="AF157" s="114">
        <f>_xll.qlCalendarAdvance(Calendar,AF156,"1d","mf",,Trigger)</f>
        <v>42956</v>
      </c>
      <c r="AG157" s="100">
        <f>_xll.qlDayCounterYearFraction(DayCounter,SettlementDate,AF157,,,Trigger)</f>
        <v>0.60833333333333328</v>
      </c>
      <c r="AH157" s="112">
        <f t="shared" si="20"/>
        <v>2.5672551748571401E-3</v>
      </c>
      <c r="AI157" s="112">
        <f t="shared" si="18"/>
        <v>2.6564067249136704E-3</v>
      </c>
      <c r="AJ157" s="112">
        <f t="shared" si="19"/>
        <v>2.6555761801898251E-3</v>
      </c>
    </row>
    <row r="158" spans="32:36" x14ac:dyDescent="0.2">
      <c r="AF158" s="114">
        <f>_xll.qlCalendarAdvance(Calendar,AF157,"1d","mf",,Trigger)</f>
        <v>42957</v>
      </c>
      <c r="AG158" s="100">
        <f>_xll.qlDayCounterYearFraction(DayCounter,SettlementDate,AF158,,,Trigger)</f>
        <v>0.61111111111111116</v>
      </c>
      <c r="AH158" s="112">
        <f t="shared" si="20"/>
        <v>2.5672551748571401E-3</v>
      </c>
      <c r="AI158" s="112">
        <f t="shared" si="18"/>
        <v>2.6588492331343972E-3</v>
      </c>
      <c r="AJ158" s="112">
        <f t="shared" si="19"/>
        <v>2.6580219644706483E-3</v>
      </c>
    </row>
    <row r="159" spans="32:36" x14ac:dyDescent="0.2">
      <c r="AF159" s="114">
        <f>_xll.qlCalendarAdvance(Calendar,AF158,"1d","mf",,Trigger)</f>
        <v>42958</v>
      </c>
      <c r="AG159" s="100">
        <f>_xll.qlDayCounterYearFraction(DayCounter,SettlementDate,AF159,,,Trigger)</f>
        <v>0.61388888888888893</v>
      </c>
      <c r="AH159" s="112">
        <f t="shared" si="20"/>
        <v>2.5672551748571401E-3</v>
      </c>
      <c r="AI159" s="112">
        <f t="shared" si="18"/>
        <v>2.6612917413551241E-3</v>
      </c>
      <c r="AJ159" s="112">
        <f t="shared" si="19"/>
        <v>2.6604679011263599E-3</v>
      </c>
    </row>
    <row r="160" spans="32:36" x14ac:dyDescent="0.2">
      <c r="AF160" s="114">
        <f>_xll.qlCalendarAdvance(Calendar,AF159,"1d","mf",,Trigger)</f>
        <v>42961</v>
      </c>
      <c r="AG160" s="100">
        <f>_xll.qlDayCounterYearFraction(DayCounter,SettlementDate,AF160,,,Trigger)</f>
        <v>0.62222222222222223</v>
      </c>
      <c r="AH160" s="112">
        <f t="shared" si="20"/>
        <v>2.5672551748571401E-3</v>
      </c>
      <c r="AI160" s="112">
        <f t="shared" si="18"/>
        <v>2.6686192660173047E-3</v>
      </c>
      <c r="AJ160" s="112">
        <f t="shared" si="19"/>
        <v>2.6678066253428222E-3</v>
      </c>
    </row>
    <row r="161" spans="32:36" x14ac:dyDescent="0.2">
      <c r="AF161" s="114">
        <f>_xll.qlCalendarAdvance(Calendar,AF160,"1d","mf",,Trigger)</f>
        <v>42962</v>
      </c>
      <c r="AG161" s="100">
        <f>_xll.qlDayCounterYearFraction(DayCounter,SettlementDate,AF161,,,Trigger)</f>
        <v>0.625</v>
      </c>
      <c r="AH161" s="112">
        <f t="shared" si="20"/>
        <v>2.5672551748571401E-3</v>
      </c>
      <c r="AI161" s="112">
        <f t="shared" si="18"/>
        <v>2.6710617742380315E-3</v>
      </c>
      <c r="AJ161" s="112">
        <f t="shared" si="19"/>
        <v>2.6702531714980862E-3</v>
      </c>
    </row>
    <row r="162" spans="32:36" x14ac:dyDescent="0.2">
      <c r="AF162" s="114">
        <f>_xll.qlCalendarAdvance(Calendar,AF161,"1d","mf",,Trigger)</f>
        <v>42963</v>
      </c>
      <c r="AG162" s="100">
        <f>_xll.qlDayCounterYearFraction(DayCounter,SettlementDate,AF162,,,Trigger)</f>
        <v>0.62777777777777777</v>
      </c>
      <c r="AH162" s="112">
        <f t="shared" si="20"/>
        <v>2.5672551748571401E-3</v>
      </c>
      <c r="AI162" s="112">
        <f t="shared" si="18"/>
        <v>2.6735042824587584E-3</v>
      </c>
      <c r="AJ162" s="112">
        <f t="shared" si="19"/>
        <v>2.6726998700282384E-3</v>
      </c>
    </row>
    <row r="163" spans="32:36" x14ac:dyDescent="0.2">
      <c r="AF163" s="114">
        <f>_xll.qlCalendarAdvance(Calendar,AF162,"1d","mf",,Trigger)</f>
        <v>42964</v>
      </c>
      <c r="AG163" s="100">
        <f>_xll.qlDayCounterYearFraction(DayCounter,SettlementDate,AF163,,,Trigger)</f>
        <v>0.63055555555555554</v>
      </c>
      <c r="AH163" s="112">
        <f t="shared" si="20"/>
        <v>2.5672551748571401E-3</v>
      </c>
      <c r="AI163" s="112">
        <f t="shared" si="18"/>
        <v>2.6759467906794852E-3</v>
      </c>
      <c r="AJ163" s="112">
        <f t="shared" si="19"/>
        <v>2.6751467209332786E-3</v>
      </c>
    </row>
    <row r="164" spans="32:36" x14ac:dyDescent="0.2">
      <c r="AF164" s="114">
        <f>_xll.qlCalendarAdvance(Calendar,AF163,"1d","mf",,Trigger)</f>
        <v>42965</v>
      </c>
      <c r="AG164" s="100">
        <f>_xll.qlDayCounterYearFraction(DayCounter,SettlementDate,AF164,,,Trigger)</f>
        <v>0.6333333333333333</v>
      </c>
      <c r="AH164" s="112">
        <f t="shared" si="20"/>
        <v>2.5672551748571401E-3</v>
      </c>
      <c r="AI164" s="112">
        <f t="shared" si="18"/>
        <v>2.6783892989002121E-3</v>
      </c>
      <c r="AJ164" s="112">
        <f t="shared" si="19"/>
        <v>2.677593724213207E-3</v>
      </c>
    </row>
    <row r="165" spans="32:36" x14ac:dyDescent="0.2">
      <c r="AF165" s="114">
        <f>_xll.qlCalendarAdvance(Calendar,AF164,"1d","mf",,Trigger)</f>
        <v>42968</v>
      </c>
      <c r="AG165" s="100">
        <f>_xll.qlDayCounterYearFraction(DayCounter,SettlementDate,AF165,,,Trigger)</f>
        <v>0.64166666666666672</v>
      </c>
      <c r="AH165" s="112">
        <f t="shared" si="20"/>
        <v>2.5672551748571401E-3</v>
      </c>
      <c r="AI165" s="112">
        <f t="shared" si="18"/>
        <v>2.6857168235623926E-3</v>
      </c>
      <c r="AJ165" s="112">
        <f t="shared" si="19"/>
        <v>2.6849356483023218E-3</v>
      </c>
    </row>
    <row r="166" spans="32:36" x14ac:dyDescent="0.2">
      <c r="AF166" s="114">
        <f>_xll.qlCalendarAdvance(Calendar,AF165,"1d","mf",,Trigger)</f>
        <v>42969</v>
      </c>
      <c r="AG166" s="100">
        <f>_xll.qlDayCounterYearFraction(DayCounter,SettlementDate,AF166,,,Trigger)</f>
        <v>0.64444444444444449</v>
      </c>
      <c r="AH166" s="112">
        <f t="shared" si="20"/>
        <v>2.5672551748571401E-3</v>
      </c>
      <c r="AI166" s="112">
        <f t="shared" si="18"/>
        <v>2.6881593317831195E-3</v>
      </c>
      <c r="AJ166" s="112">
        <f t="shared" si="19"/>
        <v>2.6873832610818031E-3</v>
      </c>
    </row>
    <row r="167" spans="32:36" x14ac:dyDescent="0.2">
      <c r="AF167" s="114">
        <f>_xll.qlCalendarAdvance(Calendar,AF166,"1d","mf",,Trigger)</f>
        <v>42970</v>
      </c>
      <c r="AG167" s="100">
        <f>_xll.qlDayCounterYearFraction(DayCounter,SettlementDate,AF167,,,Trigger)</f>
        <v>0.64722222222222225</v>
      </c>
      <c r="AH167" s="112">
        <f t="shared" si="20"/>
        <v>2.5672551748571401E-3</v>
      </c>
      <c r="AI167" s="112">
        <f t="shared" si="18"/>
        <v>2.6906018400038464E-3</v>
      </c>
      <c r="AJ167" s="112">
        <f t="shared" si="19"/>
        <v>2.6898310262361723E-3</v>
      </c>
    </row>
    <row r="168" spans="32:36" x14ac:dyDescent="0.2">
      <c r="AF168" s="114">
        <f>_xll.qlCalendarAdvance(Calendar,AF167,"1d","mf",,Trigger)</f>
        <v>42971</v>
      </c>
      <c r="AG168" s="100">
        <f>_xll.qlDayCounterYearFraction(DayCounter,SettlementDate,AF168,,,Trigger)</f>
        <v>0.65</v>
      </c>
      <c r="AH168" s="112">
        <f t="shared" si="20"/>
        <v>2.5672551748571401E-3</v>
      </c>
      <c r="AI168" s="112">
        <f t="shared" si="18"/>
        <v>2.6930443482245732E-3</v>
      </c>
      <c r="AJ168" s="112">
        <f t="shared" si="19"/>
        <v>2.6922789437654297E-3</v>
      </c>
    </row>
    <row r="169" spans="32:36" x14ac:dyDescent="0.2">
      <c r="AF169" s="114">
        <f>_xll.qlCalendarAdvance(Calendar,AF168,"1d","mf",,Trigger)</f>
        <v>42972</v>
      </c>
      <c r="AG169" s="100">
        <f>_xll.qlDayCounterYearFraction(DayCounter,SettlementDate,AF169,,,Trigger)</f>
        <v>0.65277777777777779</v>
      </c>
      <c r="AH169" s="112">
        <f t="shared" si="20"/>
        <v>2.5672551748571401E-3</v>
      </c>
      <c r="AI169" s="112">
        <f t="shared" si="18"/>
        <v>2.6954868564453001E-3</v>
      </c>
      <c r="AJ169" s="112">
        <f t="shared" si="19"/>
        <v>2.6947270136695755E-3</v>
      </c>
    </row>
    <row r="170" spans="32:36" x14ac:dyDescent="0.2">
      <c r="AF170" s="114">
        <f>_xll.qlCalendarAdvance(Calendar,AF169,"1d","mf",,Trigger)</f>
        <v>42975</v>
      </c>
      <c r="AG170" s="100">
        <f>_xll.qlDayCounterYearFraction(DayCounter,SettlementDate,AF170,,,Trigger)</f>
        <v>0.66111111111111109</v>
      </c>
      <c r="AH170" s="112">
        <f t="shared" si="20"/>
        <v>2.5672551748571401E-3</v>
      </c>
      <c r="AI170" s="112">
        <f t="shared" si="18"/>
        <v>2.7028143811074806E-3</v>
      </c>
      <c r="AJ170" s="112">
        <f t="shared" si="19"/>
        <v>2.7020721376313419E-3</v>
      </c>
    </row>
    <row r="171" spans="32:36" x14ac:dyDescent="0.2">
      <c r="AF171" s="114">
        <f>_xll.qlCalendarAdvance(Calendar,AF170,"1d","mf",,Trigger)</f>
        <v>42976</v>
      </c>
      <c r="AG171" s="100">
        <f>_xll.qlDayCounterYearFraction(DayCounter,SettlementDate,AF171,,,Trigger)</f>
        <v>0.66388888888888886</v>
      </c>
      <c r="AH171" s="112">
        <f t="shared" si="20"/>
        <v>2.5672551748571401E-3</v>
      </c>
      <c r="AI171" s="112">
        <f t="shared" si="18"/>
        <v>2.7052568893282075E-3</v>
      </c>
      <c r="AJ171" s="112">
        <f t="shared" si="19"/>
        <v>2.7045208170350409E-3</v>
      </c>
    </row>
    <row r="172" spans="32:36" x14ac:dyDescent="0.2">
      <c r="AF172" s="114">
        <f>_xll.qlCalendarAdvance(Calendar,AF171,"1d","mf",,Trigger)</f>
        <v>42977</v>
      </c>
      <c r="AG172" s="100">
        <f>_xll.qlDayCounterYearFraction(DayCounter,SettlementDate,AF172,,,Trigger)</f>
        <v>0.66666666666666663</v>
      </c>
      <c r="AH172" s="112">
        <f t="shared" si="20"/>
        <v>2.5672551748571401E-3</v>
      </c>
      <c r="AI172" s="112">
        <f t="shared" si="18"/>
        <v>2.7076993975489344E-3</v>
      </c>
      <c r="AJ172" s="112">
        <f t="shared" si="19"/>
        <v>2.706969648813627E-3</v>
      </c>
    </row>
    <row r="173" spans="32:36" x14ac:dyDescent="0.2">
      <c r="AF173" s="114">
        <f>_xll.qlCalendarAdvance(Calendar,AF172,"1d","mf",,Trigger)</f>
        <v>42978</v>
      </c>
      <c r="AG173" s="100">
        <f>_xll.qlDayCounterYearFraction(DayCounter,SettlementDate,AF173,,,Trigger)</f>
        <v>0.6694444444444444</v>
      </c>
      <c r="AH173" s="112">
        <f t="shared" si="20"/>
        <v>2.5672551748571401E-3</v>
      </c>
      <c r="AI173" s="112">
        <f t="shared" si="18"/>
        <v>2.7101419057696612E-3</v>
      </c>
      <c r="AJ173" s="112">
        <f t="shared" si="19"/>
        <v>2.7094186329671027E-3</v>
      </c>
    </row>
    <row r="174" spans="32:36" x14ac:dyDescent="0.2">
      <c r="AF174" s="114">
        <f>_xll.qlCalendarAdvance(Calendar,AF173,"1d","mf",,Trigger)</f>
        <v>42979</v>
      </c>
      <c r="AG174" s="100">
        <f>_xll.qlDayCounterYearFraction(DayCounter,SettlementDate,AF174,,,Trigger)</f>
        <v>0.67222222222222228</v>
      </c>
      <c r="AH174" s="112">
        <f t="shared" si="20"/>
        <v>2.5672551748571401E-3</v>
      </c>
      <c r="AI174" s="112">
        <f t="shared" si="18"/>
        <v>2.7125844139903885E-3</v>
      </c>
      <c r="AJ174" s="112">
        <f t="shared" si="19"/>
        <v>2.7118677694954654E-3</v>
      </c>
    </row>
    <row r="175" spans="32:36" x14ac:dyDescent="0.2">
      <c r="AF175" s="114">
        <f>_xll.qlCalendarAdvance(Calendar,AF174,"1d","mf",,Trigger)</f>
        <v>42982</v>
      </c>
      <c r="AG175" s="100">
        <f>_xll.qlDayCounterYearFraction(DayCounter,SettlementDate,AF175,,,Trigger)</f>
        <v>0.68055555555555558</v>
      </c>
      <c r="AH175" s="112">
        <f t="shared" si="20"/>
        <v>2.5672551748571401E-3</v>
      </c>
      <c r="AI175" s="112">
        <f t="shared" si="18"/>
        <v>2.7199119386525691E-3</v>
      </c>
      <c r="AJ175" s="112">
        <f t="shared" si="19"/>
        <v>2.7192160933298837E-3</v>
      </c>
    </row>
    <row r="176" spans="32:36" x14ac:dyDescent="0.2">
      <c r="AF176" s="114">
        <f>_xll.qlCalendarAdvance(Calendar,AF175,"1d","mf",,Trigger)</f>
        <v>42983</v>
      </c>
      <c r="AG176" s="100">
        <f>_xll.qlDayCounterYearFraction(DayCounter,SettlementDate,AF176,,,Trigger)</f>
        <v>0.68333333333333335</v>
      </c>
      <c r="AH176" s="112">
        <f t="shared" si="20"/>
        <v>2.5672551748571401E-3</v>
      </c>
      <c r="AI176" s="112">
        <f t="shared" si="18"/>
        <v>2.7223544468732959E-3</v>
      </c>
      <c r="AJ176" s="112">
        <f t="shared" si="19"/>
        <v>2.7216658393577997E-3</v>
      </c>
    </row>
    <row r="177" spans="32:36" x14ac:dyDescent="0.2">
      <c r="AF177" s="114">
        <f>_xll.qlCalendarAdvance(Calendar,AF176,"1d","mf",,Trigger)</f>
        <v>42984</v>
      </c>
      <c r="AG177" s="100">
        <f>_xll.qlDayCounterYearFraction(DayCounter,SettlementDate,AF177,,,Trigger)</f>
        <v>0.68611111111111112</v>
      </c>
      <c r="AH177" s="112">
        <f t="shared" si="20"/>
        <v>2.5672551748571401E-3</v>
      </c>
      <c r="AI177" s="112">
        <f t="shared" si="18"/>
        <v>2.7247969550940228E-3</v>
      </c>
      <c r="AJ177" s="112">
        <f t="shared" si="19"/>
        <v>2.7241157377606035E-3</v>
      </c>
    </row>
    <row r="178" spans="32:36" x14ac:dyDescent="0.2">
      <c r="AF178" s="114">
        <f>_xll.qlCalendarAdvance(Calendar,AF177,"1d","mf",,Trigger)</f>
        <v>42985</v>
      </c>
      <c r="AG178" s="100">
        <f>_xll.qlDayCounterYearFraction(DayCounter,SettlementDate,AF178,,,Trigger)</f>
        <v>0.68888888888888888</v>
      </c>
      <c r="AH178" s="112">
        <f t="shared" si="20"/>
        <v>2.5672551748571401E-3</v>
      </c>
      <c r="AI178" s="112">
        <f t="shared" si="18"/>
        <v>2.7272394633147496E-3</v>
      </c>
      <c r="AJ178" s="112">
        <f t="shared" si="19"/>
        <v>2.7265657885382961E-3</v>
      </c>
    </row>
    <row r="179" spans="32:36" x14ac:dyDescent="0.2">
      <c r="AF179" s="114">
        <f>_xll.qlCalendarAdvance(Calendar,AF178,"1d","mf",,Trigger)</f>
        <v>42986</v>
      </c>
      <c r="AG179" s="100">
        <f>_xll.qlDayCounterYearFraction(DayCounter,SettlementDate,AF179,,,Trigger)</f>
        <v>0.69166666666666665</v>
      </c>
      <c r="AH179" s="112">
        <f t="shared" si="20"/>
        <v>2.5672551748571401E-3</v>
      </c>
      <c r="AI179" s="112">
        <f t="shared" si="18"/>
        <v>2.7296819715354765E-3</v>
      </c>
      <c r="AJ179" s="112">
        <f t="shared" si="19"/>
        <v>2.7290159916908766E-3</v>
      </c>
    </row>
    <row r="180" spans="32:36" x14ac:dyDescent="0.2">
      <c r="AF180" s="114">
        <f>_xll.qlCalendarAdvance(Calendar,AF179,"1d","mf",,Trigger)</f>
        <v>42989</v>
      </c>
      <c r="AG180" s="100">
        <f>_xll.qlDayCounterYearFraction(DayCounter,SettlementDate,AF180,,,Trigger)</f>
        <v>0.7</v>
      </c>
      <c r="AH180" s="112">
        <f t="shared" si="20"/>
        <v>2.5672551748571401E-3</v>
      </c>
      <c r="AI180" s="112">
        <f t="shared" si="18"/>
        <v>2.7370094961976571E-3</v>
      </c>
      <c r="AJ180" s="112">
        <f t="shared" si="19"/>
        <v>2.7363675153979465E-3</v>
      </c>
    </row>
    <row r="181" spans="32:36" x14ac:dyDescent="0.2">
      <c r="AF181" s="114">
        <f>_xll.qlCalendarAdvance(Calendar,AF180,"1d","mf",,Trigger)</f>
        <v>42990</v>
      </c>
      <c r="AG181" s="100">
        <f>_xll.qlDayCounterYearFraction(DayCounter,SettlementDate,AF181,,,Trigger)</f>
        <v>0.70277777777777772</v>
      </c>
      <c r="AH181" s="112">
        <f t="shared" si="20"/>
        <v>2.5672551748571401E-3</v>
      </c>
      <c r="AI181" s="112">
        <f t="shared" si="18"/>
        <v>2.7394520044183839E-3</v>
      </c>
      <c r="AJ181" s="112">
        <f t="shared" si="19"/>
        <v>2.7388183280500798E-3</v>
      </c>
    </row>
    <row r="182" spans="32:36" x14ac:dyDescent="0.2">
      <c r="AF182" s="114">
        <f>_xll.qlCalendarAdvance(Calendar,AF181,"1d","mf",,Trigger)</f>
        <v>42991</v>
      </c>
      <c r="AG182" s="100">
        <f>_xll.qlDayCounterYearFraction(DayCounter,SettlementDate,AF182,,,Trigger)</f>
        <v>0.7055555555555556</v>
      </c>
      <c r="AH182" s="112">
        <f t="shared" si="20"/>
        <v>2.5672551748571401E-3</v>
      </c>
      <c r="AI182" s="112">
        <f t="shared" si="18"/>
        <v>2.7418945126391108E-3</v>
      </c>
      <c r="AJ182" s="112">
        <f t="shared" si="19"/>
        <v>2.741269293077101E-3</v>
      </c>
    </row>
    <row r="183" spans="32:36" x14ac:dyDescent="0.2">
      <c r="AF183" s="114">
        <f>_xll.qlCalendarAdvance(Calendar,AF182,"1d","mf",,Trigger)</f>
        <v>42992</v>
      </c>
      <c r="AG183" s="100">
        <f>_xll.qlDayCounterYearFraction(DayCounter,SettlementDate,AF183,,,Trigger)</f>
        <v>0.70833333333333337</v>
      </c>
      <c r="AH183" s="112">
        <f t="shared" si="20"/>
        <v>2.5672551748571401E-3</v>
      </c>
      <c r="AI183" s="112">
        <f t="shared" si="18"/>
        <v>2.7443370208598376E-3</v>
      </c>
      <c r="AJ183" s="112">
        <f t="shared" si="19"/>
        <v>2.7437204104790109E-3</v>
      </c>
    </row>
    <row r="184" spans="32:36" x14ac:dyDescent="0.2">
      <c r="AF184" s="114">
        <f>_xll.qlCalendarAdvance(Calendar,AF183,"1d","mf",,Trigger)</f>
        <v>42993</v>
      </c>
      <c r="AG184" s="100">
        <f>_xll.qlDayCounterYearFraction(DayCounter,SettlementDate,AF184,,,Trigger)</f>
        <v>0.71111111111111114</v>
      </c>
      <c r="AH184" s="112">
        <f t="shared" si="20"/>
        <v>2.5672551748571401E-3</v>
      </c>
      <c r="AI184" s="112">
        <f t="shared" si="18"/>
        <v>2.7467795290805645E-3</v>
      </c>
      <c r="AJ184" s="112">
        <f t="shared" si="19"/>
        <v>2.7461716802558082E-3</v>
      </c>
    </row>
    <row r="185" spans="32:36" x14ac:dyDescent="0.2">
      <c r="AF185" s="114">
        <f>_xll.qlCalendarAdvance(Calendar,AF184,"1d","mf",,Trigger)</f>
        <v>42996</v>
      </c>
      <c r="AG185" s="100">
        <f>_xll.qlDayCounterYearFraction(DayCounter,SettlementDate,AF185,,,Trigger)</f>
        <v>0.71944444444444444</v>
      </c>
      <c r="AH185" s="112">
        <f t="shared" si="20"/>
        <v>2.5672551748571401E-3</v>
      </c>
      <c r="AI185" s="112">
        <f t="shared" si="18"/>
        <v>2.7541070537427451E-3</v>
      </c>
      <c r="AJ185" s="112">
        <f t="shared" si="19"/>
        <v>2.7535264038355306E-3</v>
      </c>
    </row>
    <row r="186" spans="32:36" x14ac:dyDescent="0.2">
      <c r="AF186" s="114">
        <f>_xll.qlCalendarAdvance(Calendar,AF185,"1d","mf",,Trigger)</f>
        <v>42997</v>
      </c>
      <c r="AG186" s="100">
        <f>_xll.qlDayCounterYearFraction(DayCounter,SettlementDate,AF186,,,Trigger)</f>
        <v>0.72222222222222221</v>
      </c>
      <c r="AH186" s="112">
        <f t="shared" si="20"/>
        <v>2.5672551748571401E-3</v>
      </c>
      <c r="AI186" s="112">
        <f t="shared" si="18"/>
        <v>2.7565495619634719E-3</v>
      </c>
      <c r="AJ186" s="112">
        <f t="shared" si="19"/>
        <v>2.7559782831118808E-3</v>
      </c>
    </row>
    <row r="187" spans="32:36" x14ac:dyDescent="0.2">
      <c r="AF187" s="114">
        <f>_xll.qlCalendarAdvance(Calendar,AF186,"1d","mf",,Trigger)</f>
        <v>42998</v>
      </c>
      <c r="AG187" s="100">
        <f>_xll.qlDayCounterYearFraction(DayCounter,SettlementDate,AF187,,,Trigger)</f>
        <v>0.72499999999999998</v>
      </c>
      <c r="AH187" s="112">
        <f t="shared" si="20"/>
        <v>2.5672551748571401E-3</v>
      </c>
      <c r="AI187" s="112">
        <f t="shared" si="18"/>
        <v>2.7589920701841988E-3</v>
      </c>
      <c r="AJ187" s="112">
        <f t="shared" si="19"/>
        <v>2.7584303147631197E-3</v>
      </c>
    </row>
    <row r="188" spans="32:36" x14ac:dyDescent="0.2">
      <c r="AF188" s="114">
        <f>_xll.qlCalendarAdvance(Calendar,AF187,"1d","mf",,Trigger)</f>
        <v>42999</v>
      </c>
      <c r="AG188" s="100">
        <f>_xll.qlDayCounterYearFraction(DayCounter,SettlementDate,AF188,,,Trigger)</f>
        <v>0.72777777777777775</v>
      </c>
      <c r="AH188" s="112">
        <f t="shared" si="20"/>
        <v>2.5672551748571401E-3</v>
      </c>
      <c r="AI188" s="112">
        <f t="shared" si="18"/>
        <v>2.7614345784049256E-3</v>
      </c>
      <c r="AJ188" s="112">
        <f t="shared" si="19"/>
        <v>2.7608824987892465E-3</v>
      </c>
    </row>
    <row r="189" spans="32:36" x14ac:dyDescent="0.2">
      <c r="AF189" s="114">
        <f>_xll.qlCalendarAdvance(Calendar,AF188,"1d","mf",,Trigger)</f>
        <v>43000</v>
      </c>
      <c r="AG189" s="100">
        <f>_xll.qlDayCounterYearFraction(DayCounter,SettlementDate,AF189,,,Trigger)</f>
        <v>0.73055555555555551</v>
      </c>
      <c r="AH189" s="112">
        <f t="shared" si="20"/>
        <v>2.5672551748571401E-3</v>
      </c>
      <c r="AI189" s="112">
        <f t="shared" ref="AI189:AI252" si="21">$W$10+$W$9*AG189</f>
        <v>2.7638770866256525E-3</v>
      </c>
      <c r="AJ189" s="112">
        <f t="shared" ref="AJ189:AJ252" si="22">($W$5+$W$4*AG189+$W$3*AG189^2)</f>
        <v>2.7633348351902612E-3</v>
      </c>
    </row>
    <row r="190" spans="32:36" x14ac:dyDescent="0.2">
      <c r="AF190" s="114">
        <f>_xll.qlCalendarAdvance(Calendar,AF189,"1d","mf",,Trigger)</f>
        <v>43003</v>
      </c>
      <c r="AG190" s="100">
        <f>_xll.qlDayCounterYearFraction(DayCounter,SettlementDate,AF190,,,Trigger)</f>
        <v>0.73888888888888893</v>
      </c>
      <c r="AH190" s="112">
        <f t="shared" si="20"/>
        <v>2.5672551748571401E-3</v>
      </c>
      <c r="AI190" s="112">
        <f t="shared" si="21"/>
        <v>2.7712046112878331E-3</v>
      </c>
      <c r="AJ190" s="112">
        <f t="shared" si="22"/>
        <v>2.7706927586426356E-3</v>
      </c>
    </row>
    <row r="191" spans="32:36" x14ac:dyDescent="0.2">
      <c r="AF191" s="114">
        <f>_xll.qlCalendarAdvance(Calendar,AF190,"1d","mf",,Trigger)</f>
        <v>43004</v>
      </c>
      <c r="AG191" s="100">
        <f>_xll.qlDayCounterYearFraction(DayCounter,SettlementDate,AF191,,,Trigger)</f>
        <v>0.7416666666666667</v>
      </c>
      <c r="AH191" s="112">
        <f t="shared" si="20"/>
        <v>2.5672551748571401E-3</v>
      </c>
      <c r="AI191" s="112">
        <f t="shared" si="21"/>
        <v>2.7736471195085599E-3</v>
      </c>
      <c r="AJ191" s="112">
        <f t="shared" si="22"/>
        <v>2.7731457045432036E-3</v>
      </c>
    </row>
    <row r="192" spans="32:36" x14ac:dyDescent="0.2">
      <c r="AF192" s="114">
        <f>_xll.qlCalendarAdvance(Calendar,AF191,"1d","mf",,Trigger)</f>
        <v>43005</v>
      </c>
      <c r="AG192" s="100">
        <f>_xll.qlDayCounterYearFraction(DayCounter,SettlementDate,AF192,,,Trigger)</f>
        <v>0.74444444444444446</v>
      </c>
      <c r="AH192" s="112">
        <f t="shared" si="20"/>
        <v>2.5672551748571401E-3</v>
      </c>
      <c r="AI192" s="112">
        <f t="shared" si="21"/>
        <v>2.7760896277292868E-3</v>
      </c>
      <c r="AJ192" s="112">
        <f t="shared" si="22"/>
        <v>2.7755988028186594E-3</v>
      </c>
    </row>
    <row r="193" spans="32:36" x14ac:dyDescent="0.2">
      <c r="AF193" s="114">
        <f>_xll.qlCalendarAdvance(Calendar,AF192,"1d","mf",,Trigger)</f>
        <v>43006</v>
      </c>
      <c r="AG193" s="100">
        <f>_xll.qlDayCounterYearFraction(DayCounter,SettlementDate,AF193,,,Trigger)</f>
        <v>0.74722222222222223</v>
      </c>
      <c r="AH193" s="112">
        <f t="shared" si="20"/>
        <v>2.5672551748571401E-3</v>
      </c>
      <c r="AI193" s="112">
        <f t="shared" si="21"/>
        <v>2.7785321359500136E-3</v>
      </c>
      <c r="AJ193" s="112">
        <f t="shared" si="22"/>
        <v>2.7780520534690031E-3</v>
      </c>
    </row>
    <row r="194" spans="32:36" x14ac:dyDescent="0.2">
      <c r="AF194" s="114">
        <f>_xll.qlCalendarAdvance(Calendar,AF193,"1d","mf",,Trigger)</f>
        <v>43007</v>
      </c>
      <c r="AG194" s="100">
        <f>_xll.qlDayCounterYearFraction(DayCounter,SettlementDate,AF194,,,Trigger)</f>
        <v>0.75</v>
      </c>
      <c r="AH194" s="112">
        <f t="shared" si="20"/>
        <v>2.5672551748571401E-3</v>
      </c>
      <c r="AI194" s="112">
        <f t="shared" si="21"/>
        <v>2.7809746441707405E-3</v>
      </c>
      <c r="AJ194" s="112">
        <f t="shared" si="22"/>
        <v>2.7805054564942356E-3</v>
      </c>
    </row>
    <row r="195" spans="32:36" x14ac:dyDescent="0.2">
      <c r="AF195" s="114">
        <f>_xll.qlCalendarAdvance(Calendar,AF194,"1d","mf",,Trigger)</f>
        <v>43010</v>
      </c>
      <c r="AG195" s="100">
        <f>_xll.qlDayCounterYearFraction(DayCounter,SettlementDate,AF195,,,Trigger)</f>
        <v>0.7583333333333333</v>
      </c>
      <c r="AH195" s="112">
        <f t="shared" ref="AH195:AH258" si="23">$W$13</f>
        <v>2.5672551748571401E-3</v>
      </c>
      <c r="AI195" s="112">
        <f t="shared" si="21"/>
        <v>2.788302168832921E-3</v>
      </c>
      <c r="AJ195" s="112">
        <f t="shared" si="22"/>
        <v>2.7878665798192616E-3</v>
      </c>
    </row>
    <row r="196" spans="32:36" x14ac:dyDescent="0.2">
      <c r="AF196" s="114">
        <f>_xll.qlCalendarAdvance(Calendar,AF195,"1d","mf",,Trigger)</f>
        <v>43011</v>
      </c>
      <c r="AG196" s="100">
        <f>_xll.qlDayCounterYearFraction(DayCounter,SettlementDate,AF196,,,Trigger)</f>
        <v>0.76111111111111107</v>
      </c>
      <c r="AH196" s="112">
        <f t="shared" si="23"/>
        <v>2.5672551748571401E-3</v>
      </c>
      <c r="AI196" s="112">
        <f t="shared" si="21"/>
        <v>2.7907446770536479E-3</v>
      </c>
      <c r="AJ196" s="112">
        <f t="shared" si="22"/>
        <v>2.7903205923440464E-3</v>
      </c>
    </row>
    <row r="197" spans="32:36" x14ac:dyDescent="0.2">
      <c r="AF197" s="114">
        <f>_xll.qlCalendarAdvance(Calendar,AF196,"1d","mf",,Trigger)</f>
        <v>43012</v>
      </c>
      <c r="AG197" s="100">
        <f>_xll.qlDayCounterYearFraction(DayCounter,SettlementDate,AF197,,,Trigger)</f>
        <v>0.76388888888888884</v>
      </c>
      <c r="AH197" s="112">
        <f t="shared" si="23"/>
        <v>2.5672551748571401E-3</v>
      </c>
      <c r="AI197" s="112">
        <f t="shared" si="21"/>
        <v>2.7931871852743748E-3</v>
      </c>
      <c r="AJ197" s="112">
        <f t="shared" si="22"/>
        <v>2.79277475724372E-3</v>
      </c>
    </row>
    <row r="198" spans="32:36" x14ac:dyDescent="0.2">
      <c r="AF198" s="114">
        <f>_xll.qlCalendarAdvance(Calendar,AF197,"1d","mf",,Trigger)</f>
        <v>43013</v>
      </c>
      <c r="AG198" s="100">
        <f>_xll.qlDayCounterYearFraction(DayCounter,SettlementDate,AF198,,,Trigger)</f>
        <v>0.76666666666666672</v>
      </c>
      <c r="AH198" s="112">
        <f t="shared" si="23"/>
        <v>2.5672551748571401E-3</v>
      </c>
      <c r="AI198" s="112">
        <f t="shared" si="21"/>
        <v>2.7956296934951016E-3</v>
      </c>
      <c r="AJ198" s="112">
        <f t="shared" si="22"/>
        <v>2.7952290745182815E-3</v>
      </c>
    </row>
    <row r="199" spans="32:36" x14ac:dyDescent="0.2">
      <c r="AF199" s="114">
        <f>_xll.qlCalendarAdvance(Calendar,AF198,"1d","mf",,Trigger)</f>
        <v>43014</v>
      </c>
      <c r="AG199" s="100">
        <f>_xll.qlDayCounterYearFraction(DayCounter,SettlementDate,AF199,,,Trigger)</f>
        <v>0.76944444444444449</v>
      </c>
      <c r="AH199" s="112">
        <f t="shared" si="23"/>
        <v>2.5672551748571401E-3</v>
      </c>
      <c r="AI199" s="112">
        <f t="shared" si="21"/>
        <v>2.7980722017158285E-3</v>
      </c>
      <c r="AJ199" s="112">
        <f t="shared" si="22"/>
        <v>2.7976835441677309E-3</v>
      </c>
    </row>
    <row r="200" spans="32:36" x14ac:dyDescent="0.2">
      <c r="AF200" s="114">
        <f>_xll.qlCalendarAdvance(Calendar,AF199,"1d","mf",,Trigger)</f>
        <v>43017</v>
      </c>
      <c r="AG200" s="100">
        <f>_xll.qlDayCounterYearFraction(DayCounter,SettlementDate,AF200,,,Trigger)</f>
        <v>0.77777777777777779</v>
      </c>
      <c r="AH200" s="112">
        <f t="shared" si="23"/>
        <v>2.5672551748571401E-3</v>
      </c>
      <c r="AI200" s="112">
        <f t="shared" si="21"/>
        <v>2.805399726378009E-3</v>
      </c>
      <c r="AJ200" s="112">
        <f t="shared" si="22"/>
        <v>2.8050478673654088E-3</v>
      </c>
    </row>
    <row r="201" spans="32:36" x14ac:dyDescent="0.2">
      <c r="AF201" s="114">
        <f>_xll.qlCalendarAdvance(Calendar,AF200,"1d","mf",,Trigger)</f>
        <v>43018</v>
      </c>
      <c r="AG201" s="100">
        <f>_xll.qlDayCounterYearFraction(DayCounter,SettlementDate,AF201,,,Trigger)</f>
        <v>0.78055555555555556</v>
      </c>
      <c r="AH201" s="112">
        <f t="shared" si="23"/>
        <v>2.5672551748571401E-3</v>
      </c>
      <c r="AI201" s="112">
        <f t="shared" si="21"/>
        <v>2.8078422345987359E-3</v>
      </c>
      <c r="AJ201" s="112">
        <f t="shared" si="22"/>
        <v>2.807502946514411E-3</v>
      </c>
    </row>
    <row r="202" spans="32:36" x14ac:dyDescent="0.2">
      <c r="AF202" s="114">
        <f>_xll.qlCalendarAdvance(Calendar,AF201,"1d","mf",,Trigger)</f>
        <v>43019</v>
      </c>
      <c r="AG202" s="100">
        <f>_xll.qlDayCounterYearFraction(DayCounter,SettlementDate,AF202,,,Trigger)</f>
        <v>0.78333333333333333</v>
      </c>
      <c r="AH202" s="112">
        <f t="shared" si="23"/>
        <v>2.5672551748571401E-3</v>
      </c>
      <c r="AI202" s="112">
        <f t="shared" si="21"/>
        <v>2.8102847428194628E-3</v>
      </c>
      <c r="AJ202" s="112">
        <f t="shared" si="22"/>
        <v>2.8099581780383015E-3</v>
      </c>
    </row>
    <row r="203" spans="32:36" x14ac:dyDescent="0.2">
      <c r="AF203" s="114">
        <f>_xll.qlCalendarAdvance(Calendar,AF202,"1d","mf",,Trigger)</f>
        <v>43020</v>
      </c>
      <c r="AG203" s="100">
        <f>_xll.qlDayCounterYearFraction(DayCounter,SettlementDate,AF203,,,Trigger)</f>
        <v>0.78611111111111109</v>
      </c>
      <c r="AH203" s="112">
        <f t="shared" si="23"/>
        <v>2.5672551748571401E-3</v>
      </c>
      <c r="AI203" s="112">
        <f t="shared" si="21"/>
        <v>2.8127272510401896E-3</v>
      </c>
      <c r="AJ203" s="112">
        <f t="shared" si="22"/>
        <v>2.8124135619370804E-3</v>
      </c>
    </row>
    <row r="204" spans="32:36" x14ac:dyDescent="0.2">
      <c r="AF204" s="114">
        <f>_xll.qlCalendarAdvance(Calendar,AF203,"1d","mf",,Trigger)</f>
        <v>43021</v>
      </c>
      <c r="AG204" s="100">
        <f>_xll.qlDayCounterYearFraction(DayCounter,SettlementDate,AF204,,,Trigger)</f>
        <v>0.78888888888888886</v>
      </c>
      <c r="AH204" s="112">
        <f t="shared" si="23"/>
        <v>2.5672551748571401E-3</v>
      </c>
      <c r="AI204" s="112">
        <f t="shared" si="21"/>
        <v>2.8151697592609165E-3</v>
      </c>
      <c r="AJ204" s="112">
        <f t="shared" si="22"/>
        <v>2.8148690982107475E-3</v>
      </c>
    </row>
    <row r="205" spans="32:36" x14ac:dyDescent="0.2">
      <c r="AF205" s="114">
        <f>_xll.qlCalendarAdvance(Calendar,AF204,"1d","mf",,Trigger)</f>
        <v>43024</v>
      </c>
      <c r="AG205" s="100">
        <f>_xll.qlDayCounterYearFraction(DayCounter,SettlementDate,AF205,,,Trigger)</f>
        <v>0.79722222222222228</v>
      </c>
      <c r="AH205" s="112">
        <f t="shared" si="23"/>
        <v>2.5672551748571401E-3</v>
      </c>
      <c r="AI205" s="112">
        <f t="shared" si="21"/>
        <v>2.822497283923097E-3</v>
      </c>
      <c r="AJ205" s="112">
        <f t="shared" si="22"/>
        <v>2.822236621281077E-3</v>
      </c>
    </row>
    <row r="206" spans="32:36" x14ac:dyDescent="0.2">
      <c r="AF206" s="114">
        <f>_xll.qlCalendarAdvance(Calendar,AF205,"1d","mf",,Trigger)</f>
        <v>43025</v>
      </c>
      <c r="AG206" s="100">
        <f>_xll.qlDayCounterYearFraction(DayCounter,SettlementDate,AF206,,,Trigger)</f>
        <v>0.8</v>
      </c>
      <c r="AH206" s="112">
        <f t="shared" si="23"/>
        <v>2.5672551748571401E-3</v>
      </c>
      <c r="AI206" s="112">
        <f t="shared" si="21"/>
        <v>2.8249397921438239E-3</v>
      </c>
      <c r="AJ206" s="112">
        <f t="shared" si="22"/>
        <v>2.824692767054297E-3</v>
      </c>
    </row>
    <row r="207" spans="32:36" x14ac:dyDescent="0.2">
      <c r="AF207" s="114">
        <f>_xll.qlCalendarAdvance(Calendar,AF206,"1d","mf",,Trigger)</f>
        <v>43026</v>
      </c>
      <c r="AG207" s="100">
        <f>_xll.qlDayCounterYearFraction(DayCounter,SettlementDate,AF207,,,Trigger)</f>
        <v>0.80277777777777781</v>
      </c>
      <c r="AH207" s="112">
        <f t="shared" si="23"/>
        <v>2.5672551748571401E-3</v>
      </c>
      <c r="AI207" s="112">
        <f t="shared" si="21"/>
        <v>2.8273823003645508E-3</v>
      </c>
      <c r="AJ207" s="112">
        <f t="shared" si="22"/>
        <v>2.8271490652024044E-3</v>
      </c>
    </row>
    <row r="208" spans="32:36" x14ac:dyDescent="0.2">
      <c r="AF208" s="114">
        <f>_xll.qlCalendarAdvance(Calendar,AF207,"1d","mf",,Trigger)</f>
        <v>43027</v>
      </c>
      <c r="AG208" s="100">
        <f>_xll.qlDayCounterYearFraction(DayCounter,SettlementDate,AF208,,,Trigger)</f>
        <v>0.80555555555555558</v>
      </c>
      <c r="AH208" s="112">
        <f t="shared" si="23"/>
        <v>2.5672551748571401E-3</v>
      </c>
      <c r="AI208" s="112">
        <f t="shared" si="21"/>
        <v>2.8298248085852776E-3</v>
      </c>
      <c r="AJ208" s="112">
        <f t="shared" si="22"/>
        <v>2.8296055157254005E-3</v>
      </c>
    </row>
    <row r="209" spans="32:36" x14ac:dyDescent="0.2">
      <c r="AF209" s="114">
        <f>_xll.qlCalendarAdvance(Calendar,AF208,"1d","mf",,Trigger)</f>
        <v>43028</v>
      </c>
      <c r="AG209" s="100">
        <f>_xll.qlDayCounterYearFraction(DayCounter,SettlementDate,AF209,,,Trigger)</f>
        <v>0.80833333333333335</v>
      </c>
      <c r="AH209" s="112">
        <f t="shared" si="23"/>
        <v>2.5672551748571401E-3</v>
      </c>
      <c r="AI209" s="112">
        <f t="shared" si="21"/>
        <v>2.8322673168060045E-3</v>
      </c>
      <c r="AJ209" s="112">
        <f t="shared" si="22"/>
        <v>2.8320621186232846E-3</v>
      </c>
    </row>
    <row r="210" spans="32:36" x14ac:dyDescent="0.2">
      <c r="AF210" s="114">
        <f>_xll.qlCalendarAdvance(Calendar,AF209,"1d","mf",,Trigger)</f>
        <v>43031</v>
      </c>
      <c r="AG210" s="100">
        <f>_xll.qlDayCounterYearFraction(DayCounter,SettlementDate,AF210,,,Trigger)</f>
        <v>0.81666666666666665</v>
      </c>
      <c r="AH210" s="112">
        <f t="shared" si="23"/>
        <v>2.5672551748571401E-3</v>
      </c>
      <c r="AI210" s="112">
        <f t="shared" si="21"/>
        <v>2.839594841468185E-3</v>
      </c>
      <c r="AJ210" s="112">
        <f t="shared" si="22"/>
        <v>2.8394328415662666E-3</v>
      </c>
    </row>
    <row r="211" spans="32:36" x14ac:dyDescent="0.2">
      <c r="AF211" s="114">
        <f>_xll.qlCalendarAdvance(Calendar,AF210,"1d","mf",,Trigger)</f>
        <v>43032</v>
      </c>
      <c r="AG211" s="100">
        <f>_xll.qlDayCounterYearFraction(DayCounter,SettlementDate,AF211,,,Trigger)</f>
        <v>0.81944444444444442</v>
      </c>
      <c r="AH211" s="112">
        <f t="shared" si="23"/>
        <v>2.5672551748571401E-3</v>
      </c>
      <c r="AI211" s="112">
        <f t="shared" si="21"/>
        <v>2.8420373496889119E-3</v>
      </c>
      <c r="AJ211" s="112">
        <f t="shared" si="22"/>
        <v>2.8418900539637034E-3</v>
      </c>
    </row>
    <row r="212" spans="32:36" x14ac:dyDescent="0.2">
      <c r="AF212" s="114">
        <f>_xll.qlCalendarAdvance(Calendar,AF211,"1d","mf",,Trigger)</f>
        <v>43033</v>
      </c>
      <c r="AG212" s="100">
        <f>_xll.qlDayCounterYearFraction(DayCounter,SettlementDate,AF212,,,Trigger)</f>
        <v>0.82222222222222219</v>
      </c>
      <c r="AH212" s="112">
        <f t="shared" si="23"/>
        <v>2.5672551748571401E-3</v>
      </c>
      <c r="AI212" s="112">
        <f t="shared" si="21"/>
        <v>2.8444798579096387E-3</v>
      </c>
      <c r="AJ212" s="112">
        <f t="shared" si="22"/>
        <v>2.8443474187360286E-3</v>
      </c>
    </row>
    <row r="213" spans="32:36" x14ac:dyDescent="0.2">
      <c r="AF213" s="114">
        <f>_xll.qlCalendarAdvance(Calendar,AF212,"1d","mf",,Trigger)</f>
        <v>43034</v>
      </c>
      <c r="AG213" s="100">
        <f>_xll.qlDayCounterYearFraction(DayCounter,SettlementDate,AF213,,,Trigger)</f>
        <v>0.82499999999999996</v>
      </c>
      <c r="AH213" s="112">
        <f t="shared" si="23"/>
        <v>2.5672551748571401E-3</v>
      </c>
      <c r="AI213" s="112">
        <f t="shared" si="21"/>
        <v>2.8469223661303656E-3</v>
      </c>
      <c r="AJ213" s="112">
        <f t="shared" si="22"/>
        <v>2.8468049358832421E-3</v>
      </c>
    </row>
    <row r="214" spans="32:36" x14ac:dyDescent="0.2">
      <c r="AF214" s="114">
        <f>_xll.qlCalendarAdvance(Calendar,AF213,"1d","mf",,Trigger)</f>
        <v>43035</v>
      </c>
      <c r="AG214" s="100">
        <f>_xll.qlDayCounterYearFraction(DayCounter,SettlementDate,AF214,,,Trigger)</f>
        <v>0.82777777777777772</v>
      </c>
      <c r="AH214" s="112">
        <f t="shared" si="23"/>
        <v>2.5672551748571401E-3</v>
      </c>
      <c r="AI214" s="112">
        <f t="shared" si="21"/>
        <v>2.8493648743510925E-3</v>
      </c>
      <c r="AJ214" s="112">
        <f t="shared" si="22"/>
        <v>2.8492626054053435E-3</v>
      </c>
    </row>
    <row r="215" spans="32:36" x14ac:dyDescent="0.2">
      <c r="AF215" s="114">
        <f>_xll.qlCalendarAdvance(Calendar,AF214,"1d","mf",,Trigger)</f>
        <v>43038</v>
      </c>
      <c r="AG215" s="100">
        <f>_xll.qlDayCounterYearFraction(DayCounter,SettlementDate,AF215,,,Trigger)</f>
        <v>0.83611111111111114</v>
      </c>
      <c r="AH215" s="112">
        <f t="shared" si="23"/>
        <v>2.5672551748571401E-3</v>
      </c>
      <c r="AI215" s="112">
        <f t="shared" si="21"/>
        <v>2.8566923990132735E-3</v>
      </c>
      <c r="AJ215" s="112">
        <f t="shared" si="22"/>
        <v>2.856636528220977E-3</v>
      </c>
    </row>
    <row r="216" spans="32:36" x14ac:dyDescent="0.2">
      <c r="AF216" s="114">
        <f>_xll.qlCalendarAdvance(Calendar,AF215,"1d","mf",,Trigger)</f>
        <v>43039</v>
      </c>
      <c r="AG216" s="100">
        <f>_xll.qlDayCounterYearFraction(DayCounter,SettlementDate,AF216,,,Trigger)</f>
        <v>0.83888888888888891</v>
      </c>
      <c r="AH216" s="112">
        <f t="shared" si="23"/>
        <v>2.5672551748571401E-3</v>
      </c>
      <c r="AI216" s="112">
        <f t="shared" si="21"/>
        <v>2.8591349072340003E-3</v>
      </c>
      <c r="AJ216" s="112">
        <f t="shared" si="22"/>
        <v>2.8590948072426316E-3</v>
      </c>
    </row>
    <row r="217" spans="32:36" x14ac:dyDescent="0.2">
      <c r="AF217" s="114">
        <f>_xll.qlCalendarAdvance(Calendar,AF216,"1d","mf",,Trigger)</f>
        <v>43040</v>
      </c>
      <c r="AG217" s="100">
        <f>_xll.qlDayCounterYearFraction(DayCounter,SettlementDate,AF217,,,Trigger)</f>
        <v>0.84166666666666667</v>
      </c>
      <c r="AH217" s="112">
        <f t="shared" si="23"/>
        <v>2.5672551748571401E-3</v>
      </c>
      <c r="AI217" s="112">
        <f t="shared" si="21"/>
        <v>2.8615774154547272E-3</v>
      </c>
      <c r="AJ217" s="112">
        <f t="shared" si="22"/>
        <v>2.8615532386391737E-3</v>
      </c>
    </row>
    <row r="218" spans="32:36" x14ac:dyDescent="0.2">
      <c r="AF218" s="114">
        <f>_xll.qlCalendarAdvance(Calendar,AF217,"1d","mf",,Trigger)</f>
        <v>43041</v>
      </c>
      <c r="AG218" s="100">
        <f>_xll.qlDayCounterYearFraction(DayCounter,SettlementDate,AF218,,,Trigger)</f>
        <v>0.84444444444444444</v>
      </c>
      <c r="AH218" s="112">
        <f t="shared" si="23"/>
        <v>2.5672551748571401E-3</v>
      </c>
      <c r="AI218" s="112">
        <f t="shared" si="21"/>
        <v>2.864019923675454E-3</v>
      </c>
      <c r="AJ218" s="112">
        <f t="shared" si="22"/>
        <v>2.8640118224106045E-3</v>
      </c>
    </row>
    <row r="219" spans="32:36" x14ac:dyDescent="0.2">
      <c r="AF219" s="114">
        <f>_xll.qlCalendarAdvance(Calendar,AF218,"1d","mf",,Trigger)</f>
        <v>43042</v>
      </c>
      <c r="AG219" s="100">
        <f>_xll.qlDayCounterYearFraction(DayCounter,SettlementDate,AF219,,,Trigger)</f>
        <v>0.84722222222222221</v>
      </c>
      <c r="AH219" s="112">
        <f t="shared" si="23"/>
        <v>2.5672551748571401E-3</v>
      </c>
      <c r="AI219" s="112">
        <f t="shared" si="21"/>
        <v>2.8664624318961809E-3</v>
      </c>
      <c r="AJ219" s="112">
        <f t="shared" si="22"/>
        <v>2.8664705585569232E-3</v>
      </c>
    </row>
    <row r="220" spans="32:36" x14ac:dyDescent="0.2">
      <c r="AF220" s="114">
        <f>_xll.qlCalendarAdvance(Calendar,AF219,"1d","mf",,Trigger)</f>
        <v>43045</v>
      </c>
      <c r="AG220" s="100">
        <f>_xll.qlDayCounterYearFraction(DayCounter,SettlementDate,AF220,,,Trigger)</f>
        <v>0.85555555555555551</v>
      </c>
      <c r="AH220" s="112">
        <f t="shared" si="23"/>
        <v>2.5672551748571401E-3</v>
      </c>
      <c r="AI220" s="112">
        <f t="shared" si="21"/>
        <v>2.8737899565583615E-3</v>
      </c>
      <c r="AJ220" s="112">
        <f t="shared" si="22"/>
        <v>2.8738476812452088E-3</v>
      </c>
    </row>
    <row r="221" spans="32:36" x14ac:dyDescent="0.2">
      <c r="AF221" s="114">
        <f>_xll.qlCalendarAdvance(Calendar,AF220,"1d","mf",,Trigger)</f>
        <v>43046</v>
      </c>
      <c r="AG221" s="100">
        <f>_xll.qlDayCounterYearFraction(DayCounter,SettlementDate,AF221,,,Trigger)</f>
        <v>0.85833333333333328</v>
      </c>
      <c r="AH221" s="112">
        <f t="shared" si="23"/>
        <v>2.5672551748571401E-3</v>
      </c>
      <c r="AI221" s="112">
        <f t="shared" si="21"/>
        <v>2.8762324647790883E-3</v>
      </c>
      <c r="AJ221" s="112">
        <f t="shared" si="22"/>
        <v>2.8763070268910803E-3</v>
      </c>
    </row>
    <row r="222" spans="32:36" x14ac:dyDescent="0.2">
      <c r="AF222" s="114">
        <f>_xll.qlCalendarAdvance(Calendar,AF221,"1d","mf",,Trigger)</f>
        <v>43047</v>
      </c>
      <c r="AG222" s="100">
        <f>_xll.qlDayCounterYearFraction(DayCounter,SettlementDate,AF222,,,Trigger)</f>
        <v>0.86111111111111116</v>
      </c>
      <c r="AH222" s="112">
        <f t="shared" si="23"/>
        <v>2.5672551748571401E-3</v>
      </c>
      <c r="AI222" s="112">
        <f t="shared" si="21"/>
        <v>2.8786749729998152E-3</v>
      </c>
      <c r="AJ222" s="112">
        <f t="shared" si="22"/>
        <v>2.8787665249118397E-3</v>
      </c>
    </row>
    <row r="223" spans="32:36" x14ac:dyDescent="0.2">
      <c r="AF223" s="114">
        <f>_xll.qlCalendarAdvance(Calendar,AF222,"1d","mf",,Trigger)</f>
        <v>43048</v>
      </c>
      <c r="AG223" s="100">
        <f>_xll.qlDayCounterYearFraction(DayCounter,SettlementDate,AF223,,,Trigger)</f>
        <v>0.86388888888888893</v>
      </c>
      <c r="AH223" s="112">
        <f t="shared" si="23"/>
        <v>2.5672551748571401E-3</v>
      </c>
      <c r="AI223" s="112">
        <f t="shared" si="21"/>
        <v>2.881117481220542E-3</v>
      </c>
      <c r="AJ223" s="112">
        <f t="shared" si="22"/>
        <v>2.8812261753074883E-3</v>
      </c>
    </row>
    <row r="224" spans="32:36" x14ac:dyDescent="0.2">
      <c r="AF224" s="114">
        <f>_xll.qlCalendarAdvance(Calendar,AF223,"1d","mf",,Trigger)</f>
        <v>43049</v>
      </c>
      <c r="AG224" s="100">
        <f>_xll.qlDayCounterYearFraction(DayCounter,SettlementDate,AF224,,,Trigger)</f>
        <v>0.8666666666666667</v>
      </c>
      <c r="AH224" s="112">
        <f t="shared" si="23"/>
        <v>2.5672551748571401E-3</v>
      </c>
      <c r="AI224" s="112">
        <f t="shared" si="21"/>
        <v>2.8835599894412689E-3</v>
      </c>
      <c r="AJ224" s="112">
        <f t="shared" si="22"/>
        <v>2.8836859780780244E-3</v>
      </c>
    </row>
    <row r="225" spans="32:36" x14ac:dyDescent="0.2">
      <c r="AF225" s="114">
        <f>_xll.qlCalendarAdvance(Calendar,AF224,"1d","mf",,Trigger)</f>
        <v>43052</v>
      </c>
      <c r="AG225" s="100">
        <f>_xll.qlDayCounterYearFraction(DayCounter,SettlementDate,AF225,,,Trigger)</f>
        <v>0.875</v>
      </c>
      <c r="AH225" s="112">
        <f t="shared" si="23"/>
        <v>2.5672551748571401E-3</v>
      </c>
      <c r="AI225" s="112">
        <f t="shared" si="21"/>
        <v>2.8908875141034495E-3</v>
      </c>
      <c r="AJ225" s="112">
        <f t="shared" si="22"/>
        <v>2.8910663006389615E-3</v>
      </c>
    </row>
    <row r="226" spans="32:36" x14ac:dyDescent="0.2">
      <c r="AF226" s="114">
        <f>_xll.qlCalendarAdvance(Calendar,AF225,"1d","mf",,Trigger)</f>
        <v>43053</v>
      </c>
      <c r="AG226" s="100">
        <f>_xll.qlDayCounterYearFraction(DayCounter,SettlementDate,AF226,,,Trigger)</f>
        <v>0.87777777777777777</v>
      </c>
      <c r="AH226" s="112">
        <f t="shared" si="23"/>
        <v>2.5672551748571401E-3</v>
      </c>
      <c r="AI226" s="112">
        <f t="shared" si="21"/>
        <v>2.8933300223241763E-3</v>
      </c>
      <c r="AJ226" s="112">
        <f t="shared" si="22"/>
        <v>2.8935267129090504E-3</v>
      </c>
    </row>
    <row r="227" spans="32:36" x14ac:dyDescent="0.2">
      <c r="AF227" s="114">
        <f>_xll.qlCalendarAdvance(Calendar,AF226,"1d","mf",,Trigger)</f>
        <v>43054</v>
      </c>
      <c r="AG227" s="100">
        <f>_xll.qlDayCounterYearFraction(DayCounter,SettlementDate,AF227,,,Trigger)</f>
        <v>0.88055555555555554</v>
      </c>
      <c r="AH227" s="112">
        <f t="shared" si="23"/>
        <v>2.5672551748571401E-3</v>
      </c>
      <c r="AI227" s="112">
        <f t="shared" si="21"/>
        <v>2.8957725305449032E-3</v>
      </c>
      <c r="AJ227" s="112">
        <f t="shared" si="22"/>
        <v>2.8959872775540271E-3</v>
      </c>
    </row>
    <row r="228" spans="32:36" x14ac:dyDescent="0.2">
      <c r="AF228" s="114">
        <f>_xll.qlCalendarAdvance(Calendar,AF227,"1d","mf",,Trigger)</f>
        <v>43055</v>
      </c>
      <c r="AG228" s="100">
        <f>_xll.qlDayCounterYearFraction(DayCounter,SettlementDate,AF228,,,Trigger)</f>
        <v>0.8833333333333333</v>
      </c>
      <c r="AH228" s="112">
        <f t="shared" si="23"/>
        <v>2.5672551748571401E-3</v>
      </c>
      <c r="AI228" s="112">
        <f t="shared" si="21"/>
        <v>2.89821503876563E-3</v>
      </c>
      <c r="AJ228" s="112">
        <f t="shared" si="22"/>
        <v>2.8984479945738926E-3</v>
      </c>
    </row>
    <row r="229" spans="32:36" x14ac:dyDescent="0.2">
      <c r="AF229" s="114">
        <f>_xll.qlCalendarAdvance(Calendar,AF228,"1d","mf",,Trigger)</f>
        <v>43056</v>
      </c>
      <c r="AG229" s="100">
        <f>_xll.qlDayCounterYearFraction(DayCounter,SettlementDate,AF229,,,Trigger)</f>
        <v>0.88611111111111107</v>
      </c>
      <c r="AH229" s="112">
        <f t="shared" si="23"/>
        <v>2.5672551748571401E-3</v>
      </c>
      <c r="AI229" s="112">
        <f t="shared" si="21"/>
        <v>2.9006575469863569E-3</v>
      </c>
      <c r="AJ229" s="112">
        <f t="shared" si="22"/>
        <v>2.900908863968646E-3</v>
      </c>
    </row>
    <row r="230" spans="32:36" x14ac:dyDescent="0.2">
      <c r="AF230" s="114">
        <f>_xll.qlCalendarAdvance(Calendar,AF229,"1d","mf",,Trigger)</f>
        <v>43059</v>
      </c>
      <c r="AG230" s="100">
        <f>_xll.qlDayCounterYearFraction(DayCounter,SettlementDate,AF230,,,Trigger)</f>
        <v>0.89444444444444449</v>
      </c>
      <c r="AH230" s="112">
        <f t="shared" si="23"/>
        <v>2.5672551748571401E-3</v>
      </c>
      <c r="AI230" s="112">
        <f t="shared" si="21"/>
        <v>2.9079850716485374E-3</v>
      </c>
      <c r="AJ230" s="112">
        <f t="shared" si="22"/>
        <v>2.9082923864022356E-3</v>
      </c>
    </row>
    <row r="231" spans="32:36" x14ac:dyDescent="0.2">
      <c r="AF231" s="114">
        <f>_xll.qlCalendarAdvance(Calendar,AF230,"1d","mf",,Trigger)</f>
        <v>43060</v>
      </c>
      <c r="AG231" s="100">
        <f>_xll.qlDayCounterYearFraction(DayCounter,SettlementDate,AF231,,,Trigger)</f>
        <v>0.89722222222222225</v>
      </c>
      <c r="AH231" s="112">
        <f t="shared" si="23"/>
        <v>2.5672551748571401E-3</v>
      </c>
      <c r="AI231" s="112">
        <f t="shared" si="21"/>
        <v>2.9104275798692643E-3</v>
      </c>
      <c r="AJ231" s="112">
        <f t="shared" si="22"/>
        <v>2.9107538652965417E-3</v>
      </c>
    </row>
    <row r="232" spans="32:36" x14ac:dyDescent="0.2">
      <c r="AF232" s="114">
        <f>_xll.qlCalendarAdvance(Calendar,AF231,"1d","mf",,Trigger)</f>
        <v>43061</v>
      </c>
      <c r="AG232" s="100">
        <f>_xll.qlDayCounterYearFraction(DayCounter,SettlementDate,AF232,,,Trigger)</f>
        <v>0.9</v>
      </c>
      <c r="AH232" s="112">
        <f t="shared" si="23"/>
        <v>2.5672551748571401E-3</v>
      </c>
      <c r="AI232" s="112">
        <f t="shared" si="21"/>
        <v>2.9128700880899912E-3</v>
      </c>
      <c r="AJ232" s="112">
        <f t="shared" si="22"/>
        <v>2.9132154965657358E-3</v>
      </c>
    </row>
    <row r="233" spans="32:36" x14ac:dyDescent="0.2">
      <c r="AF233" s="114">
        <f>_xll.qlCalendarAdvance(Calendar,AF232,"1d","mf",,Trigger)</f>
        <v>43062</v>
      </c>
      <c r="AG233" s="100">
        <f>_xll.qlDayCounterYearFraction(DayCounter,SettlementDate,AF233,,,Trigger)</f>
        <v>0.90277777777777779</v>
      </c>
      <c r="AH233" s="112">
        <f t="shared" si="23"/>
        <v>2.5672551748571401E-3</v>
      </c>
      <c r="AI233" s="112">
        <f t="shared" si="21"/>
        <v>2.915312596310718E-3</v>
      </c>
      <c r="AJ233" s="112">
        <f t="shared" si="22"/>
        <v>2.9156772802098182E-3</v>
      </c>
    </row>
    <row r="234" spans="32:36" x14ac:dyDescent="0.2">
      <c r="AF234" s="114">
        <f>_xll.qlCalendarAdvance(Calendar,AF233,"1d","mf",,Trigger)</f>
        <v>43063</v>
      </c>
      <c r="AG234" s="100">
        <f>_xll.qlDayCounterYearFraction(DayCounter,SettlementDate,AF234,,,Trigger)</f>
        <v>0.90555555555555556</v>
      </c>
      <c r="AH234" s="112">
        <f t="shared" si="23"/>
        <v>2.5672551748571401E-3</v>
      </c>
      <c r="AI234" s="112">
        <f t="shared" si="21"/>
        <v>2.9177551045314449E-3</v>
      </c>
      <c r="AJ234" s="112">
        <f t="shared" si="22"/>
        <v>2.9181392162287889E-3</v>
      </c>
    </row>
    <row r="235" spans="32:36" x14ac:dyDescent="0.2">
      <c r="AF235" s="114">
        <f>_xll.qlCalendarAdvance(Calendar,AF234,"1d","mf",,Trigger)</f>
        <v>43066</v>
      </c>
      <c r="AG235" s="100">
        <f>_xll.qlDayCounterYearFraction(DayCounter,SettlementDate,AF235,,,Trigger)</f>
        <v>0.91388888888888886</v>
      </c>
      <c r="AH235" s="112">
        <f t="shared" si="23"/>
        <v>2.5672551748571401E-3</v>
      </c>
      <c r="AI235" s="112">
        <f t="shared" si="21"/>
        <v>2.9250826291936254E-3</v>
      </c>
      <c r="AJ235" s="112">
        <f t="shared" si="22"/>
        <v>2.9255259385350305E-3</v>
      </c>
    </row>
    <row r="236" spans="32:36" x14ac:dyDescent="0.2">
      <c r="AF236" s="114">
        <f>_xll.qlCalendarAdvance(Calendar,AF235,"1d","mf",,Trigger)</f>
        <v>43067</v>
      </c>
      <c r="AG236" s="100">
        <f>_xll.qlDayCounterYearFraction(DayCounter,SettlementDate,AF236,,,Trigger)</f>
        <v>0.91666666666666663</v>
      </c>
      <c r="AH236" s="112">
        <f t="shared" si="23"/>
        <v>2.5672551748571401E-3</v>
      </c>
      <c r="AI236" s="112">
        <f t="shared" si="21"/>
        <v>2.9275251374143523E-3</v>
      </c>
      <c r="AJ236" s="112">
        <f t="shared" si="22"/>
        <v>2.9279884840535536E-3</v>
      </c>
    </row>
    <row r="237" spans="32:36" x14ac:dyDescent="0.2">
      <c r="AF237" s="114">
        <f>_xll.qlCalendarAdvance(Calendar,AF236,"1d","mf",,Trigger)</f>
        <v>43068</v>
      </c>
      <c r="AG237" s="100">
        <f>_xll.qlDayCounterYearFraction(DayCounter,SettlementDate,AF237,,,Trigger)</f>
        <v>0.9194444444444444</v>
      </c>
      <c r="AH237" s="112">
        <f t="shared" si="23"/>
        <v>2.5672551748571401E-3</v>
      </c>
      <c r="AI237" s="112">
        <f t="shared" si="21"/>
        <v>2.9299676456350792E-3</v>
      </c>
      <c r="AJ237" s="112">
        <f t="shared" si="22"/>
        <v>2.9304511819469655E-3</v>
      </c>
    </row>
    <row r="238" spans="32:36" x14ac:dyDescent="0.2">
      <c r="AF238" s="114">
        <f>_xll.qlCalendarAdvance(Calendar,AF237,"1d","mf",,Trigger)</f>
        <v>43069</v>
      </c>
      <c r="AG238" s="100">
        <f>_xll.qlDayCounterYearFraction(DayCounter,SettlementDate,AF238,,,Trigger)</f>
        <v>0.92222222222222228</v>
      </c>
      <c r="AH238" s="112">
        <f t="shared" si="23"/>
        <v>2.5672551748571401E-3</v>
      </c>
      <c r="AI238" s="112">
        <f t="shared" si="21"/>
        <v>2.9324101538558064E-3</v>
      </c>
      <c r="AJ238" s="112">
        <f t="shared" si="22"/>
        <v>2.9329140322152652E-3</v>
      </c>
    </row>
    <row r="239" spans="32:36" x14ac:dyDescent="0.2">
      <c r="AF239" s="114">
        <f>_xll.qlCalendarAdvance(Calendar,AF238,"1d","mf",,Trigger)</f>
        <v>43070</v>
      </c>
      <c r="AG239" s="100">
        <f>_xll.qlDayCounterYearFraction(DayCounter,SettlementDate,AF239,,,Trigger)</f>
        <v>0.92500000000000004</v>
      </c>
      <c r="AH239" s="112">
        <f t="shared" si="23"/>
        <v>2.5672551748571401E-3</v>
      </c>
      <c r="AI239" s="112">
        <f t="shared" si="21"/>
        <v>2.9348526620765333E-3</v>
      </c>
      <c r="AJ239" s="112">
        <f t="shared" si="22"/>
        <v>2.9353770348584532E-3</v>
      </c>
    </row>
    <row r="240" spans="32:36" x14ac:dyDescent="0.2">
      <c r="AF240" s="114">
        <f>_xll.qlCalendarAdvance(Calendar,AF239,"1d","mf",,Trigger)</f>
        <v>43073</v>
      </c>
      <c r="AG240" s="100">
        <f>_xll.qlDayCounterYearFraction(DayCounter,SettlementDate,AF240,,,Trigger)</f>
        <v>0.93333333333333335</v>
      </c>
      <c r="AH240" s="112">
        <f t="shared" si="23"/>
        <v>2.5672551748571401E-3</v>
      </c>
      <c r="AI240" s="112">
        <f t="shared" si="21"/>
        <v>2.9421801867387139E-3</v>
      </c>
      <c r="AJ240" s="112">
        <f t="shared" si="22"/>
        <v>2.9427669570373464E-3</v>
      </c>
    </row>
    <row r="241" spans="32:36" x14ac:dyDescent="0.2">
      <c r="AF241" s="114">
        <f>_xll.qlCalendarAdvance(Calendar,AF240,"1d","mf",,Trigger)</f>
        <v>43074</v>
      </c>
      <c r="AG241" s="100">
        <f>_xll.qlDayCounterYearFraction(DayCounter,SettlementDate,AF241,,,Trigger)</f>
        <v>0.93611111111111112</v>
      </c>
      <c r="AH241" s="112">
        <f t="shared" si="23"/>
        <v>2.5672551748571401E-3</v>
      </c>
      <c r="AI241" s="112">
        <f t="shared" si="21"/>
        <v>2.9446226949594407E-3</v>
      </c>
      <c r="AJ241" s="112">
        <f t="shared" si="22"/>
        <v>2.9452305691800868E-3</v>
      </c>
    </row>
    <row r="242" spans="32:36" x14ac:dyDescent="0.2">
      <c r="AF242" s="114">
        <f>_xll.qlCalendarAdvance(Calendar,AF241,"1d","mf",,Trigger)</f>
        <v>43075</v>
      </c>
      <c r="AG242" s="100">
        <f>_xll.qlDayCounterYearFraction(DayCounter,SettlementDate,AF242,,,Trigger)</f>
        <v>0.93888888888888888</v>
      </c>
      <c r="AH242" s="112">
        <f t="shared" si="23"/>
        <v>2.5672551748571401E-3</v>
      </c>
      <c r="AI242" s="112">
        <f t="shared" si="21"/>
        <v>2.9470652031801676E-3</v>
      </c>
      <c r="AJ242" s="112">
        <f t="shared" si="22"/>
        <v>2.9476943336977164E-3</v>
      </c>
    </row>
    <row r="243" spans="32:36" x14ac:dyDescent="0.2">
      <c r="AF243" s="114">
        <f>_xll.qlCalendarAdvance(Calendar,AF242,"1d","mf",,Trigger)</f>
        <v>43076</v>
      </c>
      <c r="AG243" s="100">
        <f>_xll.qlDayCounterYearFraction(DayCounter,SettlementDate,AF243,,,Trigger)</f>
        <v>0.94166666666666665</v>
      </c>
      <c r="AH243" s="112">
        <f t="shared" si="23"/>
        <v>2.5672551748571401E-3</v>
      </c>
      <c r="AI243" s="112">
        <f t="shared" si="21"/>
        <v>2.9495077114008944E-3</v>
      </c>
      <c r="AJ243" s="112">
        <f t="shared" si="22"/>
        <v>2.9501582505902335E-3</v>
      </c>
    </row>
    <row r="244" spans="32:36" x14ac:dyDescent="0.2">
      <c r="AF244" s="114">
        <f>_xll.qlCalendarAdvance(Calendar,AF243,"1d","mf",,Trigger)</f>
        <v>43077</v>
      </c>
      <c r="AG244" s="100">
        <f>_xll.qlDayCounterYearFraction(DayCounter,SettlementDate,AF244,,,Trigger)</f>
        <v>0.94444444444444442</v>
      </c>
      <c r="AH244" s="112">
        <f t="shared" si="23"/>
        <v>2.5672551748571401E-3</v>
      </c>
      <c r="AI244" s="112">
        <f t="shared" si="21"/>
        <v>2.9519502196216213E-3</v>
      </c>
      <c r="AJ244" s="112">
        <f t="shared" si="22"/>
        <v>2.9526223198576389E-3</v>
      </c>
    </row>
    <row r="245" spans="32:36" x14ac:dyDescent="0.2">
      <c r="AF245" s="114">
        <f>_xll.qlCalendarAdvance(Calendar,AF244,"1d","mf",,Trigger)</f>
        <v>43080</v>
      </c>
      <c r="AG245" s="100">
        <f>_xll.qlDayCounterYearFraction(DayCounter,SettlementDate,AF245,,,Trigger)</f>
        <v>0.95277777777777772</v>
      </c>
      <c r="AH245" s="112">
        <f t="shared" si="23"/>
        <v>2.5672551748571401E-3</v>
      </c>
      <c r="AI245" s="112">
        <f t="shared" si="21"/>
        <v>2.9592777442838019E-3</v>
      </c>
      <c r="AJ245" s="112">
        <f t="shared" si="22"/>
        <v>2.9600154419091836E-3</v>
      </c>
    </row>
    <row r="246" spans="32:36" x14ac:dyDescent="0.2">
      <c r="AF246" s="114">
        <f>_xll.qlCalendarAdvance(Calendar,AF245,"1d","mf",,Trigger)</f>
        <v>43081</v>
      </c>
      <c r="AG246" s="100">
        <f>_xll.qlDayCounterYearFraction(DayCounter,SettlementDate,AF246,,,Trigger)</f>
        <v>0.9555555555555556</v>
      </c>
      <c r="AH246" s="112">
        <f t="shared" si="23"/>
        <v>2.5672551748571401E-3</v>
      </c>
      <c r="AI246" s="112">
        <f t="shared" si="21"/>
        <v>2.9617202525045287E-3</v>
      </c>
      <c r="AJ246" s="112">
        <f t="shared" si="22"/>
        <v>2.9624801206761418E-3</v>
      </c>
    </row>
    <row r="247" spans="32:36" x14ac:dyDescent="0.2">
      <c r="AF247" s="114">
        <f>_xll.qlCalendarAdvance(Calendar,AF246,"1d","mf",,Trigger)</f>
        <v>43082</v>
      </c>
      <c r="AG247" s="100">
        <f>_xll.qlDayCounterYearFraction(DayCounter,SettlementDate,AF247,,,Trigger)</f>
        <v>0.95833333333333337</v>
      </c>
      <c r="AH247" s="112">
        <f t="shared" si="23"/>
        <v>2.5672551748571401E-3</v>
      </c>
      <c r="AI247" s="112">
        <f t="shared" si="21"/>
        <v>2.9641627607252556E-3</v>
      </c>
      <c r="AJ247" s="112">
        <f t="shared" si="22"/>
        <v>2.9649449518179883E-3</v>
      </c>
    </row>
    <row r="248" spans="32:36" x14ac:dyDescent="0.2">
      <c r="AF248" s="114">
        <f>_xll.qlCalendarAdvance(Calendar,AF247,"1d","mf",,Trigger)</f>
        <v>43083</v>
      </c>
      <c r="AG248" s="100">
        <f>_xll.qlDayCounterYearFraction(DayCounter,SettlementDate,AF248,,,Trigger)</f>
        <v>0.96111111111111114</v>
      </c>
      <c r="AH248" s="112">
        <f t="shared" si="23"/>
        <v>2.5672551748571401E-3</v>
      </c>
      <c r="AI248" s="112">
        <f t="shared" si="21"/>
        <v>2.9666052689459824E-3</v>
      </c>
      <c r="AJ248" s="112">
        <f t="shared" si="22"/>
        <v>2.9674099353347223E-3</v>
      </c>
    </row>
    <row r="249" spans="32:36" x14ac:dyDescent="0.2">
      <c r="AF249" s="114">
        <f>_xll.qlCalendarAdvance(Calendar,AF248,"1d","mf",,Trigger)</f>
        <v>43084</v>
      </c>
      <c r="AG249" s="100">
        <f>_xll.qlDayCounterYearFraction(DayCounter,SettlementDate,AF249,,,Trigger)</f>
        <v>0.96388888888888891</v>
      </c>
      <c r="AH249" s="112">
        <f t="shared" si="23"/>
        <v>2.5672551748571401E-3</v>
      </c>
      <c r="AI249" s="112">
        <f t="shared" si="21"/>
        <v>2.9690477771667093E-3</v>
      </c>
      <c r="AJ249" s="112">
        <f t="shared" si="22"/>
        <v>2.969875071226345E-3</v>
      </c>
    </row>
    <row r="250" spans="32:36" x14ac:dyDescent="0.2">
      <c r="AF250" s="114">
        <f>_xll.qlCalendarAdvance(Calendar,AF249,"1d","mf",,Trigger)</f>
        <v>43087</v>
      </c>
      <c r="AG250" s="100">
        <f>_xll.qlDayCounterYearFraction(DayCounter,SettlementDate,AF250,,,Trigger)</f>
        <v>0.97222222222222221</v>
      </c>
      <c r="AH250" s="112">
        <f t="shared" si="23"/>
        <v>2.5672551748571401E-3</v>
      </c>
      <c r="AI250" s="112">
        <f t="shared" si="21"/>
        <v>2.9763753018288899E-3</v>
      </c>
      <c r="AJ250" s="112">
        <f t="shared" si="22"/>
        <v>2.9772713931505422E-3</v>
      </c>
    </row>
    <row r="251" spans="32:36" x14ac:dyDescent="0.2">
      <c r="AF251" s="114">
        <f>_xll.qlCalendarAdvance(Calendar,AF250,"1d","mf",,Trigger)</f>
        <v>43088</v>
      </c>
      <c r="AG251" s="100">
        <f>_xll.qlDayCounterYearFraction(DayCounter,SettlementDate,AF251,,,Trigger)</f>
        <v>0.97499999999999998</v>
      </c>
      <c r="AH251" s="112">
        <f t="shared" si="23"/>
        <v>2.5672551748571401E-3</v>
      </c>
      <c r="AI251" s="112">
        <f t="shared" si="21"/>
        <v>2.9788178100496167E-3</v>
      </c>
      <c r="AJ251" s="112">
        <f t="shared" si="22"/>
        <v>2.9797371385417173E-3</v>
      </c>
    </row>
    <row r="252" spans="32:36" x14ac:dyDescent="0.2">
      <c r="AF252" s="114">
        <f>_xll.qlCalendarAdvance(Calendar,AF251,"1d","mf",,Trigger)</f>
        <v>43089</v>
      </c>
      <c r="AG252" s="100">
        <f>_xll.qlDayCounterYearFraction(DayCounter,SettlementDate,AF252,,,Trigger)</f>
        <v>0.97777777777777775</v>
      </c>
      <c r="AH252" s="112">
        <f t="shared" si="23"/>
        <v>2.5672551748571401E-3</v>
      </c>
      <c r="AI252" s="112">
        <f t="shared" si="21"/>
        <v>2.9812603182703436E-3</v>
      </c>
      <c r="AJ252" s="112">
        <f t="shared" si="22"/>
        <v>2.9822030363077807E-3</v>
      </c>
    </row>
    <row r="253" spans="32:36" x14ac:dyDescent="0.2">
      <c r="AF253" s="114">
        <f>_xll.qlCalendarAdvance(Calendar,AF252,"1d","mf",,Trigger)</f>
        <v>43090</v>
      </c>
      <c r="AG253" s="100">
        <f>_xll.qlDayCounterYearFraction(DayCounter,SettlementDate,AF253,,,Trigger)</f>
        <v>0.98055555555555551</v>
      </c>
      <c r="AH253" s="112">
        <f t="shared" si="23"/>
        <v>2.5672551748571401E-3</v>
      </c>
      <c r="AI253" s="112">
        <f t="shared" ref="AI253:AI259" si="24">$W$10+$W$9*AG253</f>
        <v>2.9837028264910704E-3</v>
      </c>
      <c r="AJ253" s="112">
        <f t="shared" ref="AJ253:AJ259" si="25">($W$5+$W$4*AG253+$W$3*AG253^2)</f>
        <v>2.9846690864487324E-3</v>
      </c>
    </row>
    <row r="254" spans="32:36" x14ac:dyDescent="0.2">
      <c r="AF254" s="114">
        <f>_xll.qlCalendarAdvance(Calendar,AF253,"1d","mf",,Trigger)</f>
        <v>43091</v>
      </c>
      <c r="AG254" s="100">
        <f>_xll.qlDayCounterYearFraction(DayCounter,SettlementDate,AF254,,,Trigger)</f>
        <v>0.98333333333333328</v>
      </c>
      <c r="AH254" s="112">
        <f t="shared" si="23"/>
        <v>2.5672551748571401E-3</v>
      </c>
      <c r="AI254" s="112">
        <f t="shared" si="24"/>
        <v>2.9861453347117973E-3</v>
      </c>
      <c r="AJ254" s="112">
        <f t="shared" si="25"/>
        <v>2.9871352889645725E-3</v>
      </c>
    </row>
    <row r="255" spans="32:36" x14ac:dyDescent="0.2">
      <c r="AF255" s="114">
        <f>_xll.qlCalendarAdvance(Calendar,AF254,"1d","mf",,Trigger)</f>
        <v>43096</v>
      </c>
      <c r="AG255" s="100">
        <f>_xll.qlDayCounterYearFraction(DayCounter,SettlementDate,AF255,,,Trigger)</f>
        <v>0.99722222222222223</v>
      </c>
      <c r="AH255" s="112">
        <f t="shared" si="23"/>
        <v>2.5672551748571401E-3</v>
      </c>
      <c r="AI255" s="112">
        <f t="shared" si="24"/>
        <v>2.9983578758154316E-3</v>
      </c>
      <c r="AJ255" s="112">
        <f t="shared" si="25"/>
        <v>2.9994685871670948E-3</v>
      </c>
    </row>
    <row r="256" spans="32:36" x14ac:dyDescent="0.2">
      <c r="AF256" s="114">
        <f>_xll.qlCalendarAdvance(Calendar,AF255,"1d","mf",,Trigger)</f>
        <v>43097</v>
      </c>
      <c r="AG256" s="100">
        <f>_xll.qlDayCounterYearFraction(DayCounter,SettlementDate,AF256,,,Trigger)</f>
        <v>1</v>
      </c>
      <c r="AH256" s="112">
        <f t="shared" si="23"/>
        <v>2.5672551748571401E-3</v>
      </c>
      <c r="AI256" s="112">
        <f t="shared" si="24"/>
        <v>3.0008003840361584E-3</v>
      </c>
      <c r="AJ256" s="112">
        <f t="shared" si="25"/>
        <v>3.0019357039322639E-3</v>
      </c>
    </row>
    <row r="257" spans="32:36" x14ac:dyDescent="0.2">
      <c r="AF257" s="114">
        <f>_xll.qlCalendarAdvance(Calendar,AF256,"1d","mf",,Trigger)</f>
        <v>43098</v>
      </c>
      <c r="AG257" s="100">
        <f>_xll.qlDayCounterYearFraction(DayCounter,SettlementDate,AF257,,,Trigger)</f>
        <v>1.0027777777777778</v>
      </c>
      <c r="AH257" s="112">
        <f t="shared" si="23"/>
        <v>2.5672551748571401E-3</v>
      </c>
      <c r="AI257" s="112">
        <f t="shared" si="24"/>
        <v>3.0032428922568853E-3</v>
      </c>
      <c r="AJ257" s="112">
        <f t="shared" si="25"/>
        <v>3.0044029730723213E-3</v>
      </c>
    </row>
    <row r="258" spans="32:36" x14ac:dyDescent="0.2">
      <c r="AF258" s="114">
        <f>_xll.qlCalendarAdvance(Calendar,AF257,"1d","mf",,Trigger)</f>
        <v>43102</v>
      </c>
      <c r="AG258" s="100">
        <f>_xll.qlDayCounterYearFraction(DayCounter,SettlementDate,AF258,,,Trigger)</f>
        <v>1.0138888888888888</v>
      </c>
      <c r="AH258" s="112">
        <f t="shared" si="23"/>
        <v>2.5672551748571401E-3</v>
      </c>
      <c r="AI258" s="112">
        <f t="shared" si="24"/>
        <v>3.0130129251397927E-3</v>
      </c>
      <c r="AJ258" s="112">
        <f t="shared" si="25"/>
        <v>3.0142735733814322E-3</v>
      </c>
    </row>
    <row r="259" spans="32:36" x14ac:dyDescent="0.2">
      <c r="AF259" s="118">
        <f>_xll.qlCalendarAdvance(Calendar,AF258,"1d","mf",,Trigger)</f>
        <v>43103</v>
      </c>
      <c r="AG259" s="105">
        <f>_xll.qlDayCounterYearFraction(DayCounter,SettlementDate,AF259,,,Trigger)</f>
        <v>1.0166666666666666</v>
      </c>
      <c r="AH259" s="121">
        <f t="shared" ref="AH259" si="26">$W$13</f>
        <v>2.5672551748571401E-3</v>
      </c>
      <c r="AI259" s="121">
        <f t="shared" si="24"/>
        <v>3.0154554333605196E-3</v>
      </c>
      <c r="AJ259" s="121">
        <f t="shared" si="25"/>
        <v>3.0167416043959299E-3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E2" sqref="E2"/>
    </sheetView>
  </sheetViews>
  <sheetFormatPr defaultColWidth="9.33203125"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135</v>
      </c>
      <c r="D2" s="216" t="s">
        <v>136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5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EURSND_SYNTH1M_Quote#0000</v>
      </c>
      <c r="E3" s="209" t="str">
        <f>_xll.ohRangeRetrieveError(D3)</f>
        <v/>
      </c>
      <c r="F3" s="6"/>
      <c r="G3" s="190" t="s">
        <v>55</v>
      </c>
      <c r="H3" s="191">
        <f>'1MSynthDepo'!C23</f>
        <v>-3.9317261681182103E-3</v>
      </c>
      <c r="I3" s="7" t="s">
        <v>56</v>
      </c>
      <c r="J3" s="186">
        <v>-3.6909277038699173E-3</v>
      </c>
      <c r="K3" s="6"/>
      <c r="L3" s="178">
        <f t="array" ref="L3:L40">QuoteLive</f>
        <v>-3.9317261681182103E-3</v>
      </c>
      <c r="M3" s="179">
        <f>_xll.qlSimpleQuoteSetValue(D3,ROUND($L3,6),EvaluationDate)</f>
        <v>0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EURSWD_SYNTH1M_Quote#0000</v>
      </c>
      <c r="E4" s="210" t="str">
        <f>_xll.ohRangeRetrieveError(D4)</f>
        <v/>
      </c>
      <c r="F4" s="6"/>
      <c r="G4" s="190" t="s">
        <v>57</v>
      </c>
      <c r="H4" s="191">
        <f>'1MSynthDepo'!C24</f>
        <v>-3.7136435420917885E-3</v>
      </c>
      <c r="I4" s="7" t="s">
        <v>56</v>
      </c>
      <c r="J4" s="186">
        <v>-3.6727649871278901E-3</v>
      </c>
      <c r="K4" s="6"/>
      <c r="L4" s="178">
        <v>-3.7136435420917885E-3</v>
      </c>
      <c r="M4" s="179">
        <f>_xll.qlSimpleQuoteSetValue(D4,ROUND($L4,6),EvaluationDate)</f>
        <v>0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EUR2WD_SYNTH1M_Quote#0000</v>
      </c>
      <c r="E5" s="210" t="str">
        <f>_xll.ohRangeRetrieveError(D5)</f>
        <v/>
      </c>
      <c r="F5" s="6"/>
      <c r="G5" s="190" t="s">
        <v>58</v>
      </c>
      <c r="H5" s="191">
        <f>'1MSynthDepo'!C25</f>
        <v>-3.7053118242961042E-3</v>
      </c>
      <c r="I5" s="7" t="s">
        <v>56</v>
      </c>
      <c r="J5" s="186">
        <v>-3.6528863876242718E-3</v>
      </c>
      <c r="K5" s="6"/>
      <c r="L5" s="178">
        <v>-3.7053118242961042E-3</v>
      </c>
      <c r="M5" s="179">
        <f>_xll.qlSimpleQuoteSetValue(D5,ROUND($L5,6),EvaluationDate)</f>
        <v>0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EUR3WD_SYNTH1M_Quote#0000</v>
      </c>
      <c r="E6" s="210" t="str">
        <f>_xll.ohRangeRetrieveError(D6)</f>
        <v/>
      </c>
      <c r="F6" s="6"/>
      <c r="G6" s="192" t="s">
        <v>59</v>
      </c>
      <c r="H6" s="191">
        <f>'1MSynthDepo'!C26</f>
        <v>-3.6981625138705304E-3</v>
      </c>
      <c r="I6" s="7" t="s">
        <v>56</v>
      </c>
      <c r="J6" s="187">
        <v>-3.634302801782674E-3</v>
      </c>
      <c r="K6" s="6"/>
      <c r="L6" s="180">
        <v>-3.6981625138705304E-3</v>
      </c>
      <c r="M6" s="181">
        <f>_xll.qlSimpleQuoteSetValue(D6,ROUND($L6,6),EvaluationDate)</f>
        <v>0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EUR1MD_SYNTH1M_Quote#0000</v>
      </c>
      <c r="E7" s="211" t="str">
        <f>_xll.ohRangeRetrieveError(D7)</f>
        <v/>
      </c>
      <c r="F7" s="6"/>
      <c r="G7" s="193" t="s">
        <v>60</v>
      </c>
      <c r="H7" s="194">
        <f>'1MSynthDepo'!C27</f>
        <v>-3.6800000068452328E-3</v>
      </c>
      <c r="I7" s="7" t="s">
        <v>56</v>
      </c>
      <c r="J7" s="188">
        <v>-3.6400000000003812E-3</v>
      </c>
      <c r="K7" s="6"/>
      <c r="L7" s="182">
        <v>-3.6800000068452328E-3</v>
      </c>
      <c r="M7" s="183">
        <f>_xll.qlSimpleQuoteSetValue(D7,ROUND($L7,6),EvaluationDate)</f>
        <v>0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EURSND_SYNTH3M_Quote#0000</v>
      </c>
      <c r="E8" s="209"/>
      <c r="F8" s="8"/>
      <c r="G8" s="195" t="s">
        <v>55</v>
      </c>
      <c r="H8" s="196">
        <f>'3MSynthDepo'!C25</f>
        <v>-3.4732016163907531E-3</v>
      </c>
      <c r="I8" s="9"/>
      <c r="J8" s="186">
        <v>-2.7968626583918521E-3</v>
      </c>
      <c r="K8" s="8"/>
      <c r="L8" s="178">
        <v>-3.4732016163907531E-3</v>
      </c>
      <c r="M8" s="179">
        <f>_xll.qlSimpleQuoteSetValue(D8,ROUND($L8,6),EvaluationDate)</f>
        <v>0</v>
      </c>
      <c r="N8" s="168">
        <f>_xll.ohTrigger(M8:M14)</f>
        <v>5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EURSWD_SYNTH3M_Quote#0000</v>
      </c>
      <c r="E9" s="210"/>
      <c r="F9" s="8"/>
      <c r="G9" s="197" t="s">
        <v>57</v>
      </c>
      <c r="H9" s="191">
        <f>'3MSynthDepo'!C26</f>
        <v>-3.2577707080783114E-3</v>
      </c>
      <c r="I9" s="9"/>
      <c r="J9" s="186">
        <v>-2.7811683315194713E-3</v>
      </c>
      <c r="K9" s="8"/>
      <c r="L9" s="178">
        <v>-3.2577707080783114E-3</v>
      </c>
      <c r="M9" s="179">
        <f>_xll.qlSimpleQuoteSetValue(D9,ROUND($L9,6),EvaluationDate)</f>
        <v>0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EUR2WD_SYNTH3M_Quote#0000</v>
      </c>
      <c r="E10" s="210"/>
      <c r="F10" s="8"/>
      <c r="G10" s="197" t="s">
        <v>58</v>
      </c>
      <c r="H10" s="191">
        <f>'3MSynthDepo'!C27</f>
        <v>-3.2516387400963582E-3</v>
      </c>
      <c r="I10" s="9"/>
      <c r="J10" s="186">
        <v>-2.7634045783282118E-3</v>
      </c>
      <c r="K10" s="8"/>
      <c r="L10" s="178">
        <v>-3.2516387400963582E-3</v>
      </c>
      <c r="M10" s="179">
        <f>_xll.qlSimpleQuoteSetValue(D10,ROUND($L10,6),EvaluationDate)</f>
        <v>0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EUR3WD_SYNTH3M_Quote#0000</v>
      </c>
      <c r="E11" s="210"/>
      <c r="F11" s="8"/>
      <c r="G11" s="198" t="s">
        <v>59</v>
      </c>
      <c r="H11" s="199">
        <f>'3MSynthDepo'!C28</f>
        <v>-3.2457263644073259E-3</v>
      </c>
      <c r="I11" s="9"/>
      <c r="J11" s="187">
        <v>-2.7461122484963496E-3</v>
      </c>
      <c r="K11" s="8"/>
      <c r="L11" s="180">
        <v>-3.2457263644073259E-3</v>
      </c>
      <c r="M11" s="181">
        <f>_xll.qlSimpleQuoteSetValue(D11,ROUND($L11,6),EvaluationDate)</f>
        <v>0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EUR1MD_SYNTH3M_Quote#0000</v>
      </c>
      <c r="E12" s="210"/>
      <c r="F12" s="8"/>
      <c r="G12" s="197" t="s">
        <v>60</v>
      </c>
      <c r="H12" s="191">
        <f>'3MSynthDepo'!C29</f>
        <v>-3.2276607511002695E-3</v>
      </c>
      <c r="I12" s="9"/>
      <c r="J12" s="186">
        <v>-2.7522281102994543E-3</v>
      </c>
      <c r="K12" s="8"/>
      <c r="L12" s="178">
        <v>-3.2276607511002695E-3</v>
      </c>
      <c r="M12" s="179">
        <f>_xll.qlSimpleQuoteSetValue(D12,ROUND($L12,6),EvaluationDate)</f>
        <v>0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EUR2MD_SYNTH3M_Quote#0000</v>
      </c>
      <c r="E13" s="210"/>
      <c r="F13" s="8"/>
      <c r="G13" s="197" t="s">
        <v>61</v>
      </c>
      <c r="H13" s="191">
        <f>'3MSynthDepo'!C30</f>
        <v>-3.2074600060440521E-3</v>
      </c>
      <c r="I13" s="9"/>
      <c r="J13" s="186">
        <v>-2.7822688035199815E-3</v>
      </c>
      <c r="K13" s="8"/>
      <c r="L13" s="178">
        <v>-3.2074600060440521E-3</v>
      </c>
      <c r="M13" s="179">
        <f>_xll.qlSimpleQuoteSetValue(D13,ROUND($L13,6),EvaluationDate)</f>
        <v>0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EUR3MD_SYNTH3M_Quote#0000</v>
      </c>
      <c r="E14" s="211"/>
      <c r="F14" s="8"/>
      <c r="G14" s="198" t="s">
        <v>62</v>
      </c>
      <c r="H14" s="199">
        <f>'3MSynthDepo'!C31</f>
        <v>-3.1869588790677263E-3</v>
      </c>
      <c r="I14" s="9"/>
      <c r="J14" s="187">
        <v>-2.8084093361644704E-3</v>
      </c>
      <c r="K14" s="8"/>
      <c r="L14" s="180">
        <v>-3.1869588790677263E-3</v>
      </c>
      <c r="M14" s="181">
        <f>_xll.qlSimpleQuoteSetValue(D14,ROUND($L14,6),EvaluationDate)</f>
        <v>0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EURSND_SYNTH6M_Quote#0000</v>
      </c>
      <c r="E15" s="209" t="str">
        <f>_xll.ohRangeRetrieveError(D15)</f>
        <v/>
      </c>
      <c r="F15" s="8"/>
      <c r="G15" s="195" t="s">
        <v>55</v>
      </c>
      <c r="H15" s="196">
        <f>'6MSynthDepo'!C28</f>
        <v>-2.6269172964088483E-3</v>
      </c>
      <c r="I15" s="9"/>
      <c r="J15" s="186">
        <v>-1.4056201226964049E-3</v>
      </c>
      <c r="K15" s="8"/>
      <c r="L15" s="178">
        <v>-2.6269172964088483E-3</v>
      </c>
      <c r="M15" s="179">
        <f>_xll.qlSimpleQuoteSetValue(D15,ROUND($L15,6),EvaluationDate)</f>
        <v>0</v>
      </c>
      <c r="N15" s="170">
        <f>_xll.ohTrigger(M15:M24)</f>
        <v>5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EURSWD_SYNTH6M_Quote#0000</v>
      </c>
      <c r="E16" s="210" t="str">
        <f>_xll.ohRangeRetrieveError(D16)</f>
        <v/>
      </c>
      <c r="F16" s="8"/>
      <c r="G16" s="197" t="s">
        <v>57</v>
      </c>
      <c r="H16" s="191">
        <f>'6MSynthDepo'!C29</f>
        <v>-2.4112089932521691E-3</v>
      </c>
      <c r="I16" s="9"/>
      <c r="J16" s="186">
        <v>-1.3982728396972582E-3</v>
      </c>
      <c r="K16" s="8"/>
      <c r="L16" s="178">
        <v>-2.4112089932521691E-3</v>
      </c>
      <c r="M16" s="179">
        <f>_xll.qlSimpleQuoteSetValue(D16,ROUND($L16,6),EvaluationDate)</f>
        <v>0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EUR2WD_SYNTH6M_Quote#0000</v>
      </c>
      <c r="E17" s="210" t="str">
        <f>_xll.ohRangeRetrieveError(D17)</f>
        <v/>
      </c>
      <c r="F17" s="2"/>
      <c r="G17" s="197" t="s">
        <v>58</v>
      </c>
      <c r="H17" s="191">
        <f>'6MSynthDepo'!C30</f>
        <v>-2.4045506152917512E-3</v>
      </c>
      <c r="I17" s="9"/>
      <c r="J17" s="186">
        <v>-1.3898099057008118E-3</v>
      </c>
      <c r="K17" s="8"/>
      <c r="L17" s="178">
        <v>-2.4045506152917512E-3</v>
      </c>
      <c r="M17" s="179">
        <f>_xll.qlSimpleQuoteSetValue(D17,ROUND($L17,6),EvaluationDate)</f>
        <v>0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EUR3WD_SYNTH6M_Quote#0000</v>
      </c>
      <c r="E18" s="210" t="str">
        <f>_xll.ohRangeRetrieveError(D18)</f>
        <v/>
      </c>
      <c r="F18" s="2"/>
      <c r="G18" s="197" t="s">
        <v>59</v>
      </c>
      <c r="H18" s="191">
        <f>'6MSynthDepo'!C31</f>
        <v>-2.3978928671304039E-3</v>
      </c>
      <c r="I18" s="9"/>
      <c r="J18" s="186">
        <v>-1.381347435051821E-3</v>
      </c>
      <c r="K18" s="8"/>
      <c r="L18" s="178">
        <v>-2.3978928671304039E-3</v>
      </c>
      <c r="M18" s="179">
        <f>_xll.qlSimpleQuoteSetValue(D18,ROUND($L18,6),EvaluationDate)</f>
        <v>0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EUR1MD_SYNTH6M_Quote#0000</v>
      </c>
      <c r="E19" s="210" t="str">
        <f>_xll.ohRangeRetrieveError(D19)</f>
        <v/>
      </c>
      <c r="F19" s="2"/>
      <c r="G19" s="195" t="s">
        <v>60</v>
      </c>
      <c r="H19" s="196">
        <f>'6MSynthDepo'!C32</f>
        <v>-2.3783819522599403E-3</v>
      </c>
      <c r="I19" s="51"/>
      <c r="J19" s="189">
        <v>-1.3992640793028621E-3</v>
      </c>
      <c r="K19" s="52"/>
      <c r="L19" s="184">
        <v>-2.3783819522599403E-3</v>
      </c>
      <c r="M19" s="185">
        <f>_xll.qlSimpleQuoteSetValue(D19,ROUND($L19,6),EvaluationDate)</f>
        <v>0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EUR2MD_SYNTH6M_Quote#0000</v>
      </c>
      <c r="E20" s="210" t="str">
        <f>_xll.ohRangeRetrieveError(D20)</f>
        <v/>
      </c>
      <c r="F20" s="2"/>
      <c r="G20" s="197" t="s">
        <v>61</v>
      </c>
      <c r="H20" s="191">
        <f>'6MSynthDepo'!C33</f>
        <v>-2.3517598726646998E-3</v>
      </c>
      <c r="I20" s="9"/>
      <c r="J20" s="186">
        <v>-1.4606278486255827E-3</v>
      </c>
      <c r="K20" s="8"/>
      <c r="L20" s="178">
        <v>-2.3517598726646998E-3</v>
      </c>
      <c r="M20" s="179">
        <f>_xll.qlSimpleQuoteSetValue(D20,ROUND($L20,6),EvaluationDate)</f>
        <v>0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EUR3MD_SYNTH6M_Quote#0000</v>
      </c>
      <c r="E21" s="210" t="str">
        <f>_xll.ohRangeRetrieveError(D21)</f>
        <v/>
      </c>
      <c r="F21" s="2"/>
      <c r="G21" s="197" t="s">
        <v>62</v>
      </c>
      <c r="H21" s="191">
        <f>'6MSynthDepo'!C34</f>
        <v>-2.319634981455381E-3</v>
      </c>
      <c r="I21" s="9"/>
      <c r="J21" s="186">
        <v>-1.5066798648545659E-3</v>
      </c>
      <c r="K21" s="8"/>
      <c r="L21" s="178">
        <v>-2.319634981455381E-3</v>
      </c>
      <c r="M21" s="179">
        <f>_xll.qlSimpleQuoteSetValue(D21,ROUND($L21,6),EvaluationDate)</f>
        <v>0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EUR4MD_SYNTH6M_Quote#0000</v>
      </c>
      <c r="E22" s="210" t="str">
        <f>_xll.ohRangeRetrieveError(D22)</f>
        <v/>
      </c>
      <c r="F22" s="2"/>
      <c r="G22" s="197" t="s">
        <v>63</v>
      </c>
      <c r="H22" s="191">
        <f>'6MSynthDepo'!C35</f>
        <v>-2.2942547121925783E-3</v>
      </c>
      <c r="I22" s="9"/>
      <c r="J22" s="186">
        <v>-1.6084007389081708E-3</v>
      </c>
      <c r="K22" s="8"/>
      <c r="L22" s="178">
        <v>-2.2942547121925783E-3</v>
      </c>
      <c r="M22" s="179">
        <f>_xll.qlSimpleQuoteSetValue(D22,ROUND($L22,6),EvaluationDate)</f>
        <v>0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EUR5MD_SYNTH6M_Quote#0000</v>
      </c>
      <c r="E23" s="210" t="str">
        <f>_xll.ohRangeRetrieveError(D23)</f>
        <v/>
      </c>
      <c r="F23" s="2"/>
      <c r="G23" s="197" t="s">
        <v>64</v>
      </c>
      <c r="H23" s="191">
        <f>'6MSynthDepo'!C36</f>
        <v>-2.2620101763888246E-3</v>
      </c>
      <c r="I23" s="9"/>
      <c r="J23" s="186">
        <v>-1.6664673150589961E-3</v>
      </c>
      <c r="K23" s="8"/>
      <c r="L23" s="178">
        <v>-2.2620101763888246E-3</v>
      </c>
      <c r="M23" s="179">
        <f>_xll.qlSimpleQuoteSetValue(D23,ROUND($L23,6),EvaluationDate)</f>
        <v>0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EUR6MD_SYNTH6M_Quote#0000</v>
      </c>
      <c r="E24" s="211" t="str">
        <f>_xll.ohRangeRetrieveError(D24)</f>
        <v/>
      </c>
      <c r="F24" s="2"/>
      <c r="G24" s="198" t="s">
        <v>65</v>
      </c>
      <c r="H24" s="199">
        <f>'6MSynthDepo'!C37</f>
        <v>-2.2283582285826625E-3</v>
      </c>
      <c r="I24" s="9"/>
      <c r="J24" s="187">
        <v>-1.7197015979246626E-3</v>
      </c>
      <c r="K24" s="8"/>
      <c r="L24" s="180">
        <v>-2.2283582285826625E-3</v>
      </c>
      <c r="M24" s="181">
        <f>_xll.qlSimpleQuoteSetValue(D24,ROUND($L24,6),EvaluationDate)</f>
        <v>0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EURSND_SYNTH1Y_Quote#0000</v>
      </c>
      <c r="E25" s="210" t="str">
        <f>_xll.ohRangeRetrieveError(D25)</f>
        <v/>
      </c>
      <c r="F25" s="8"/>
      <c r="G25" s="200" t="s">
        <v>55</v>
      </c>
      <c r="H25" s="196">
        <f>'12MSynthDepo'!C34</f>
        <v>-1.5772969134397741E-3</v>
      </c>
      <c r="I25" s="9"/>
      <c r="J25" s="186">
        <v>1.0564268004387145E-4</v>
      </c>
      <c r="K25" s="8"/>
      <c r="L25" s="178">
        <v>-1.5772969134397741E-3</v>
      </c>
      <c r="M25" s="179">
        <f>_xll.qlSimpleQuoteSetValue(D25,ROUND($L25,6),EvaluationDate)</f>
        <v>0</v>
      </c>
      <c r="N25" s="170">
        <f>_xll.ohTrigger(M25:M40)</f>
        <v>5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EURSWD_SYNTH1Y_Quote#0000</v>
      </c>
      <c r="E26" s="210" t="str">
        <f>_xll.ohRangeRetrieveError(D26)</f>
        <v/>
      </c>
      <c r="F26" s="8"/>
      <c r="G26" s="201" t="s">
        <v>57</v>
      </c>
      <c r="H26" s="191">
        <f>'12MSynthDepo'!C35</f>
        <v>-1.3600542626798376E-3</v>
      </c>
      <c r="I26" s="9"/>
      <c r="J26" s="186">
        <v>1.1286825636399758E-4</v>
      </c>
      <c r="K26" s="8"/>
      <c r="L26" s="178">
        <v>-1.3600542626798376E-3</v>
      </c>
      <c r="M26" s="179">
        <f>_xll.qlSimpleQuoteSetValue(D26,ROUND($L26,6),EvaluationDate)</f>
        <v>0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EUR2WD_SYNTH1Y_Quote#0000</v>
      </c>
      <c r="E27" s="210" t="str">
        <f>_xll.ohRangeRetrieveError(D27)</f>
        <v/>
      </c>
      <c r="F27" s="2"/>
      <c r="G27" s="201" t="s">
        <v>58</v>
      </c>
      <c r="H27" s="191">
        <f>'12MSynthDepo'!C36</f>
        <v>-1.3516063641391288E-3</v>
      </c>
      <c r="I27" s="9"/>
      <c r="J27" s="186">
        <v>1.2118965934782011E-4</v>
      </c>
      <c r="K27" s="8"/>
      <c r="L27" s="178">
        <v>-1.3516063641391288E-3</v>
      </c>
      <c r="M27" s="179">
        <f>_xll.qlSimpleQuoteSetValue(D27,ROUND($L27,6),EvaluationDate)</f>
        <v>0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EUR3WD_SYNTH1Y_Quote#0000</v>
      </c>
      <c r="E28" s="210" t="str">
        <f>_xll.ohRangeRetrieveError(D28)</f>
        <v/>
      </c>
      <c r="F28" s="2"/>
      <c r="G28" s="201" t="s">
        <v>59</v>
      </c>
      <c r="H28" s="191">
        <f>'12MSynthDepo'!C37</f>
        <v>-1.3431589186208015E-3</v>
      </c>
      <c r="I28" s="9"/>
      <c r="J28" s="186">
        <v>1.2951109486181167E-4</v>
      </c>
      <c r="K28" s="8"/>
      <c r="L28" s="178">
        <v>-1.3431589186208015E-3</v>
      </c>
      <c r="M28" s="179">
        <f>_xll.qlSimpleQuoteSetValue(D28,ROUND($L28,6),EvaluationDate)</f>
        <v>0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EUR1MD_SYNTH1Y_Quote#0000</v>
      </c>
      <c r="E29" s="210" t="str">
        <f>_xll.ohRangeRetrieveError(D29)</f>
        <v/>
      </c>
      <c r="F29" s="2"/>
      <c r="G29" s="202" t="s">
        <v>60</v>
      </c>
      <c r="H29" s="199">
        <f>'12MSynthDepo'!C38</f>
        <v>-1.3210900727586483E-3</v>
      </c>
      <c r="I29" s="9"/>
      <c r="J29" s="187">
        <v>1.1138992809166561E-4</v>
      </c>
      <c r="K29" s="8"/>
      <c r="L29" s="180">
        <v>-1.3210900727586483E-3</v>
      </c>
      <c r="M29" s="181">
        <f>_xll.qlSimpleQuoteSetValue(D29,ROUND($L29,6),EvaluationDate)</f>
        <v>0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EUR2MD_SYNTH1Y_Quote#0000</v>
      </c>
      <c r="E30" s="210" t="str">
        <f>_xll.ohRangeRetrieveError(D30)</f>
        <v/>
      </c>
      <c r="F30" s="2"/>
      <c r="G30" s="201" t="s">
        <v>61</v>
      </c>
      <c r="H30" s="191">
        <f>'12MSynthDepo'!C39</f>
        <v>-1.2873055261384608E-3</v>
      </c>
      <c r="I30" s="9"/>
      <c r="J30" s="186">
        <v>4.9360502812742121E-5</v>
      </c>
      <c r="K30" s="8"/>
      <c r="L30" s="178">
        <v>-1.2873055261384608E-3</v>
      </c>
      <c r="M30" s="179">
        <f>_xll.qlSimpleQuoteSetValue(D30,ROUND($L30,6),EvaluationDate)</f>
        <v>0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EUR3MD_SYNTH1Y_Quote#0000</v>
      </c>
      <c r="E31" s="210" t="str">
        <f>_xll.ohRangeRetrieveError(D31)</f>
        <v/>
      </c>
      <c r="F31" s="2"/>
      <c r="G31" s="201" t="s">
        <v>62</v>
      </c>
      <c r="H31" s="191">
        <f>'12MSynthDepo'!C40</f>
        <v>-1.2469908120717752E-3</v>
      </c>
      <c r="I31" s="9"/>
      <c r="J31" s="186">
        <v>2.6946812894100982E-6</v>
      </c>
      <c r="K31" s="8"/>
      <c r="L31" s="178">
        <v>-1.2469908120717752E-3</v>
      </c>
      <c r="M31" s="179">
        <f>_xll.qlSimpleQuoteSetValue(D31,ROUND($L31,6),EvaluationDate)</f>
        <v>0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EUR4MD_SYNTH1Y_Quote#0000</v>
      </c>
      <c r="E32" s="210" t="str">
        <f>_xll.ohRangeRetrieveError(D32)</f>
        <v/>
      </c>
      <c r="F32" s="2"/>
      <c r="G32" s="201" t="s">
        <v>63</v>
      </c>
      <c r="H32" s="191">
        <f>'12MSynthDepo'!C41</f>
        <v>-1.2141860535507254E-3</v>
      </c>
      <c r="I32" s="9"/>
      <c r="J32" s="186">
        <v>-9.9721796701233214E-5</v>
      </c>
      <c r="K32" s="8"/>
      <c r="L32" s="178">
        <v>-1.2141860535507254E-3</v>
      </c>
      <c r="M32" s="179">
        <f>_xll.qlSimpleQuoteSetValue(D32,ROUND($L32,6),EvaluationDate)</f>
        <v>0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EUR5MD_SYNTH1Y_Quote#0000</v>
      </c>
      <c r="E33" s="210" t="str">
        <f>_xll.ohRangeRetrieveError(D33)</f>
        <v/>
      </c>
      <c r="F33" s="8"/>
      <c r="G33" s="201" t="s">
        <v>64</v>
      </c>
      <c r="H33" s="191">
        <f>'12MSynthDepo'!C42</f>
        <v>-1.1739992599096897E-3</v>
      </c>
      <c r="I33" s="9"/>
      <c r="J33" s="186">
        <v>-1.5848221860354888E-4</v>
      </c>
      <c r="K33" s="8"/>
      <c r="L33" s="178">
        <v>-1.1739992599096897E-3</v>
      </c>
      <c r="M33" s="179">
        <f>_xll.qlSimpleQuoteSetValue(D33,ROUND($L33,6),EvaluationDate)</f>
        <v>0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EUR6MD_SYNTH1Y_Quote#0000</v>
      </c>
      <c r="E34" s="210" t="str">
        <f>_xll.ohRangeRetrieveError(D34)</f>
        <v/>
      </c>
      <c r="F34" s="8"/>
      <c r="G34" s="201" t="s">
        <v>65</v>
      </c>
      <c r="H34" s="191">
        <f>'12MSynthDepo'!C43</f>
        <v>-1.1323996324553586E-3</v>
      </c>
      <c r="I34" s="9"/>
      <c r="J34" s="186">
        <v>-2.1240003545388287E-4</v>
      </c>
      <c r="K34" s="8"/>
      <c r="L34" s="178">
        <v>-1.1323996324553586E-3</v>
      </c>
      <c r="M34" s="179">
        <f>_xll.qlSimpleQuoteSetValue(D34,ROUND($L34,6),EvaluationDate)</f>
        <v>0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EUR7MD_SYNTH1Y_Quote#0000</v>
      </c>
      <c r="E35" s="210" t="str">
        <f>_xll.ohRangeRetrieveError(D35)</f>
        <v/>
      </c>
      <c r="F35" s="8"/>
      <c r="G35" s="201" t="s">
        <v>66</v>
      </c>
      <c r="H35" s="191">
        <f>'12MSynthDepo'!C44</f>
        <v>-1.0878980342659791E-3</v>
      </c>
      <c r="I35" s="9"/>
      <c r="J35" s="186">
        <v>-2.7889035334675627E-4</v>
      </c>
      <c r="K35" s="8"/>
      <c r="L35" s="178">
        <v>-1.0878980342659791E-3</v>
      </c>
      <c r="M35" s="179">
        <f>_xll.qlSimpleQuoteSetValue(D35,ROUND($L35,6),EvaluationDate)</f>
        <v>0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EUR8MD_SYNTH1Y_Quote#0000</v>
      </c>
      <c r="E36" s="210" t="str">
        <f>_xll.ohRangeRetrieveError(D36)</f>
        <v/>
      </c>
      <c r="F36" s="8"/>
      <c r="G36" s="201" t="s">
        <v>67</v>
      </c>
      <c r="H36" s="191">
        <f>'12MSynthDepo'!C45</f>
        <v>-1.0433062091195029E-3</v>
      </c>
      <c r="I36" s="9"/>
      <c r="J36" s="186">
        <v>-3.1597088364807295E-4</v>
      </c>
      <c r="K36" s="8"/>
      <c r="L36" s="178">
        <v>-1.0433062091195029E-3</v>
      </c>
      <c r="M36" s="179">
        <f>_xll.qlSimpleQuoteSetValue(D36,ROUND($L36,6),EvaluationDate)</f>
        <v>0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EUR9MD_SYNTH1Y_Quote#0000</v>
      </c>
      <c r="E37" s="210" t="str">
        <f>_xll.ohRangeRetrieveError(D37)</f>
        <v/>
      </c>
      <c r="F37" s="8"/>
      <c r="G37" s="201" t="s">
        <v>68</v>
      </c>
      <c r="H37" s="191">
        <f>'12MSynthDepo'!C46</f>
        <v>-1.0030747718264173E-3</v>
      </c>
      <c r="I37" s="9"/>
      <c r="J37" s="186">
        <v>-3.519161825773871E-4</v>
      </c>
      <c r="K37" s="8"/>
      <c r="L37" s="178">
        <v>-1.0030747718264173E-3</v>
      </c>
      <c r="M37" s="179">
        <f>_xll.qlSimpleQuoteSetValue(D37,ROUND($L37,6),EvaluationDate)</f>
        <v>0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EUR10MD_SYNTH1Y_Quote#0000</v>
      </c>
      <c r="E38" s="210" t="str">
        <f>_xll.ohRangeRetrieveError(D38)</f>
        <v/>
      </c>
      <c r="F38" s="8"/>
      <c r="G38" s="201" t="s">
        <v>69</v>
      </c>
      <c r="H38" s="191">
        <f>'12MSynthDepo'!C47</f>
        <v>-9.58320487785386E-4</v>
      </c>
      <c r="I38" s="9"/>
      <c r="J38" s="186">
        <v>-3.8672968882506219E-4</v>
      </c>
      <c r="K38" s="8"/>
      <c r="L38" s="178">
        <v>-9.58320487785386E-4</v>
      </c>
      <c r="M38" s="179">
        <f>_xll.qlSimpleQuoteSetValue(D38,ROUND($L38,6),EvaluationDate)</f>
        <v>0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EUR11MD_SYNTH1Y_Quote#0000</v>
      </c>
      <c r="E39" s="210" t="str">
        <f>_xll.ohRangeRetrieveError(D39)</f>
        <v/>
      </c>
      <c r="F39" s="8"/>
      <c r="G39" s="201" t="s">
        <v>70</v>
      </c>
      <c r="H39" s="191">
        <f>'12MSynthDepo'!C48</f>
        <v>-9.1250569114365813E-4</v>
      </c>
      <c r="I39" s="9"/>
      <c r="J39" s="186">
        <v>-4.1923626714251191E-4</v>
      </c>
      <c r="K39" s="8"/>
      <c r="L39" s="178">
        <v>-9.1250569114365813E-4</v>
      </c>
      <c r="M39" s="179">
        <f>_xll.qlSimpleQuoteSetValue(D39,ROUND($L39,6),EvaluationDate)</f>
        <v>0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EUR1YD_SYNTH1Y_Quote#0000</v>
      </c>
      <c r="E40" s="211" t="str">
        <f>_xll.ohRangeRetrieveError(D40)</f>
        <v/>
      </c>
      <c r="F40" s="8"/>
      <c r="G40" s="202" t="s">
        <v>71</v>
      </c>
      <c r="H40" s="199">
        <f>'12MSynthDepo'!C49</f>
        <v>-8.6834037122931996E-4</v>
      </c>
      <c r="I40" s="9"/>
      <c r="J40" s="187">
        <v>-4.3525232802020704E-4</v>
      </c>
      <c r="K40" s="8"/>
      <c r="L40" s="180">
        <v>-8.6834037122931996E-4</v>
      </c>
      <c r="M40" s="181">
        <f>_xll.qlSimpleQuoteSetValue(D40,ROUND($L40,6),EvaluationDate)</f>
        <v>0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showGridLines="0" topLeftCell="N1" workbookViewId="0">
      <selection activeCell="P2" sqref="P2"/>
    </sheetView>
  </sheetViews>
  <sheetFormatPr defaultColWidth="9.33203125"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customWidth="1" outlineLevel="1"/>
    <col min="23" max="23" width="14.1640625" style="213" customWidth="1" outlineLevel="1"/>
    <col min="24" max="24" width="11.6640625" style="213" bestFit="1" customWidth="1"/>
    <col min="25" max="25" width="10.5" style="213" bestFit="1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obj_00450#0000</v>
      </c>
      <c r="M1" s="213" t="str">
        <f>_xll.ohRangeRetrieveError(L1)</f>
        <v/>
      </c>
    </row>
    <row r="2" spans="1:21" ht="24" customHeight="1" x14ac:dyDescent="0.2">
      <c r="A2" s="221"/>
      <c r="B2" s="214" t="s">
        <v>134</v>
      </c>
      <c r="C2" s="214" t="s">
        <v>106</v>
      </c>
      <c r="D2" s="214"/>
      <c r="E2" s="215"/>
      <c r="F2" s="215"/>
      <c r="G2" s="214" t="s">
        <v>107</v>
      </c>
      <c r="H2" s="214" t="s">
        <v>108</v>
      </c>
      <c r="I2" s="214" t="s">
        <v>109</v>
      </c>
      <c r="J2" s="214" t="s">
        <v>110</v>
      </c>
      <c r="K2" s="214" t="s">
        <v>72</v>
      </c>
      <c r="L2" s="214" t="s">
        <v>73</v>
      </c>
      <c r="M2" s="216" t="s">
        <v>31</v>
      </c>
      <c r="N2" s="224"/>
      <c r="O2" s="224"/>
      <c r="P2" s="217"/>
      <c r="Q2" s="217" t="s">
        <v>74</v>
      </c>
      <c r="R2" s="217" t="s">
        <v>110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113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obj_0047e#0000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-3.6800000000000001E-3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42737</v>
      </c>
      <c r="U3" s="254">
        <f>_xll.qlRateHelperPillarDate(L3,Trigger)</f>
        <v>42768</v>
      </c>
    </row>
    <row r="4" spans="1:21" ht="11.25" customHeight="1" x14ac:dyDescent="0.2">
      <c r="A4" s="222"/>
      <c r="B4" s="39">
        <v>2</v>
      </c>
      <c r="C4" s="39" t="s">
        <v>113</v>
      </c>
      <c r="D4" s="40" t="s">
        <v>42</v>
      </c>
      <c r="E4" s="41" t="s">
        <v>137</v>
      </c>
      <c r="F4" s="41" t="s">
        <v>138</v>
      </c>
      <c r="G4" s="39" t="s">
        <v>114</v>
      </c>
      <c r="H4" s="42" t="s">
        <v>111</v>
      </c>
      <c r="I4" s="42" t="s">
        <v>11</v>
      </c>
      <c r="J4" s="43">
        <v>0</v>
      </c>
      <c r="K4" s="44" t="str">
        <f t="shared" ref="K4:K9" si="0">Currency&amp;$E4&amp;$F4&amp;$D4&amp;"_Quote"</f>
        <v>EURAM1E2M_Quote</v>
      </c>
      <c r="L4" s="45" t="str">
        <f>_xll.qlSwapRateHelper2(,$K4,$B4,D4,Calendar,$G4,$H4,$I4,$L$1,$J4,C4,OvernightCurve,,,Permanent,Trigger,ObjectOverwrite)</f>
        <v>obj_00484#0000</v>
      </c>
      <c r="M4" s="46" t="str">
        <f>_xll.ohRangeRetrieveError(L4)</f>
        <v/>
      </c>
      <c r="N4" s="223"/>
      <c r="O4" s="223"/>
      <c r="P4" s="262" t="str">
        <f>_xll.qlRateHelperQuoteName(L4,Trigger)</f>
        <v>EURAM1E2M_Quote</v>
      </c>
      <c r="Q4" s="252">
        <f>_xll.qlQuoteValue(K4,AllTriggers)</f>
        <v>-3.6700000000000001E-3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42737</v>
      </c>
      <c r="U4" s="254">
        <f>_xll.qlRateHelperPillarDate(L4,Trigger)</f>
        <v>42796</v>
      </c>
    </row>
    <row r="5" spans="1:21" ht="11.25" customHeight="1" x14ac:dyDescent="0.2">
      <c r="A5" s="222"/>
      <c r="B5" s="15">
        <v>2</v>
      </c>
      <c r="C5" s="15" t="s">
        <v>113</v>
      </c>
      <c r="D5" s="16" t="s">
        <v>36</v>
      </c>
      <c r="E5" s="17" t="s">
        <v>137</v>
      </c>
      <c r="F5" s="17" t="s">
        <v>138</v>
      </c>
      <c r="G5" s="15" t="s">
        <v>114</v>
      </c>
      <c r="H5" s="18" t="s">
        <v>111</v>
      </c>
      <c r="I5" s="18" t="s">
        <v>11</v>
      </c>
      <c r="J5" s="19">
        <v>0</v>
      </c>
      <c r="K5" s="20" t="str">
        <f t="shared" si="0"/>
        <v>EURAM1E3M_Quote</v>
      </c>
      <c r="L5" s="21" t="str">
        <f>_xll.qlSwapRateHelper2(,$K5,$B5,D5,Calendar,$G5,$H5,$I5,$L$1,$J5,C5,OvernightCurve,,,Permanent,Trigger,ObjectOverwrite)</f>
        <v>obj_00482#0000</v>
      </c>
      <c r="M5" s="22" t="str">
        <f>_xll.ohRangeRetrieveError(L5)</f>
        <v/>
      </c>
      <c r="N5" s="223"/>
      <c r="O5" s="223"/>
      <c r="P5" s="262" t="str">
        <f>_xll.qlRateHelperQuoteName(L5,Trigger)</f>
        <v>EURAM1E3M_Quote</v>
      </c>
      <c r="Q5" s="252">
        <f>_xll.qlQuoteValue(K5,AllTriggers)</f>
        <v>-3.6800000000000001E-3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42737</v>
      </c>
      <c r="U5" s="254">
        <f>_xll.qlRateHelperPillarDate(L5,Trigger)</f>
        <v>42828</v>
      </c>
    </row>
    <row r="6" spans="1:21" ht="11.25" customHeight="1" x14ac:dyDescent="0.2">
      <c r="A6" s="221"/>
      <c r="B6" s="15">
        <v>2</v>
      </c>
      <c r="C6" s="15" t="s">
        <v>113</v>
      </c>
      <c r="D6" s="16" t="s">
        <v>43</v>
      </c>
      <c r="E6" s="17" t="s">
        <v>137</v>
      </c>
      <c r="F6" s="17" t="s">
        <v>138</v>
      </c>
      <c r="G6" s="15" t="s">
        <v>114</v>
      </c>
      <c r="H6" s="18" t="s">
        <v>111</v>
      </c>
      <c r="I6" s="18" t="s">
        <v>11</v>
      </c>
      <c r="J6" s="19">
        <v>0</v>
      </c>
      <c r="K6" s="20" t="str">
        <f t="shared" si="0"/>
        <v>EURAM1E4M_Quote</v>
      </c>
      <c r="L6" s="21" t="str">
        <f>_xll.qlSwapRateHelper2(,$K6,$B6,D6,Calendar,$G6,$H6,$I6,$L$1,$J6,C6,OvernightCurve,,,Permanent,Trigger,ObjectOverwrite)</f>
        <v>obj_00483#0000</v>
      </c>
      <c r="M6" s="22" t="str">
        <f>_xll.ohRangeRetrieveError(L6)</f>
        <v/>
      </c>
      <c r="N6" s="223"/>
      <c r="O6" s="223"/>
      <c r="P6" s="262" t="str">
        <f>_xll.qlRateHelperQuoteName(L6,Trigger)</f>
        <v>EURAM1E4M_Quote</v>
      </c>
      <c r="Q6" s="252">
        <f>_xll.qlQuoteValue(K6,AllTriggers)</f>
        <v>-3.6900000000000001E-3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42737</v>
      </c>
      <c r="U6" s="254">
        <f>_xll.qlRateHelperPillarDate(L6,Trigger)</f>
        <v>42857</v>
      </c>
    </row>
    <row r="7" spans="1:21" ht="11.25" customHeight="1" x14ac:dyDescent="0.2">
      <c r="A7" s="221"/>
      <c r="B7" s="15">
        <v>2</v>
      </c>
      <c r="C7" s="15" t="s">
        <v>113</v>
      </c>
      <c r="D7" s="16" t="s">
        <v>44</v>
      </c>
      <c r="E7" s="17" t="s">
        <v>137</v>
      </c>
      <c r="F7" s="17" t="s">
        <v>138</v>
      </c>
      <c r="G7" s="15" t="s">
        <v>114</v>
      </c>
      <c r="H7" s="18" t="s">
        <v>111</v>
      </c>
      <c r="I7" s="18" t="s">
        <v>11</v>
      </c>
      <c r="J7" s="19">
        <v>0</v>
      </c>
      <c r="K7" s="20" t="str">
        <f t="shared" si="0"/>
        <v>EURAM1E5M_Quote</v>
      </c>
      <c r="L7" s="21" t="str">
        <f>_xll.qlSwapRateHelper2(,$K7,$B7,D7,Calendar,$G7,$H7,$I7,$L$1,$J7,C7,OvernightCurve,,,Permanent,Trigger,ObjectOverwrite)</f>
        <v>obj_00480#0000</v>
      </c>
      <c r="M7" s="22" t="str">
        <f>_xll.ohRangeRetrieveError(L7)</f>
        <v/>
      </c>
      <c r="N7" s="223"/>
      <c r="O7" s="223"/>
      <c r="P7" s="262" t="str">
        <f>_xll.qlRateHelperQuoteName(L7,Trigger)</f>
        <v>EURAM1E5M_Quote</v>
      </c>
      <c r="Q7" s="252">
        <f>_xll.qlQuoteValue(K7,AllTriggers)</f>
        <v>-3.6800000000000001E-3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42737</v>
      </c>
      <c r="U7" s="254">
        <f>_xll.qlRateHelperPillarDate(L7,Trigger)</f>
        <v>42888</v>
      </c>
    </row>
    <row r="8" spans="1:21" ht="11.25" customHeight="1" x14ac:dyDescent="0.2">
      <c r="A8" s="221"/>
      <c r="B8" s="15">
        <v>2</v>
      </c>
      <c r="C8" s="15" t="s">
        <v>113</v>
      </c>
      <c r="D8" s="16" t="s">
        <v>37</v>
      </c>
      <c r="E8" s="17" t="s">
        <v>137</v>
      </c>
      <c r="F8" s="17" t="s">
        <v>138</v>
      </c>
      <c r="G8" s="15" t="s">
        <v>114</v>
      </c>
      <c r="H8" s="18" t="s">
        <v>111</v>
      </c>
      <c r="I8" s="18" t="s">
        <v>11</v>
      </c>
      <c r="J8" s="19">
        <v>0</v>
      </c>
      <c r="K8" s="20" t="str">
        <f t="shared" si="0"/>
        <v>EURAM1E6M_Quote</v>
      </c>
      <c r="L8" s="21" t="str">
        <f>_xll.qlSwapRateHelper2(,$K8,$B8,D8,Calendar,$G8,$H8,$I8,$L$1,$J8,C8,OvernightCurve,,,Permanent,Trigger,ObjectOverwrite)</f>
        <v>obj_00481#0000</v>
      </c>
      <c r="M8" s="22" t="str">
        <f>_xll.ohRangeRetrieveError(L8)</f>
        <v/>
      </c>
      <c r="N8" s="223"/>
      <c r="O8" s="223"/>
      <c r="P8" s="262" t="str">
        <f>_xll.qlRateHelperQuoteName(L8,Trigger)</f>
        <v>EURAM1E6M_Quote</v>
      </c>
      <c r="Q8" s="252">
        <f>_xll.qlQuoteValue(K8,AllTriggers)</f>
        <v>-3.6800000000000001E-3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42737</v>
      </c>
      <c r="U8" s="254">
        <f>_xll.qlRateHelperPillarDate(L8,Trigger)</f>
        <v>42919</v>
      </c>
    </row>
    <row r="9" spans="1:21" ht="11.25" customHeight="1" x14ac:dyDescent="0.2">
      <c r="B9" s="23">
        <v>2</v>
      </c>
      <c r="C9" s="23" t="s">
        <v>113</v>
      </c>
      <c r="D9" s="24" t="s">
        <v>45</v>
      </c>
      <c r="E9" s="25" t="s">
        <v>137</v>
      </c>
      <c r="F9" s="25" t="s">
        <v>138</v>
      </c>
      <c r="G9" s="23" t="s">
        <v>114</v>
      </c>
      <c r="H9" s="26" t="s">
        <v>111</v>
      </c>
      <c r="I9" s="26" t="s">
        <v>11</v>
      </c>
      <c r="J9" s="27">
        <v>0</v>
      </c>
      <c r="K9" s="32" t="str">
        <f t="shared" si="0"/>
        <v>EURAM1E7M_Quote</v>
      </c>
      <c r="L9" s="33" t="str">
        <f>_xll.qlSwapRateHelper2(,$K9,$B9,D9,Calendar,$G9,$H9,$I9,$L$1,$J9,C9,OvernightCurve,,,Permanent,Trigger,ObjectOverwrite)</f>
        <v>obj_00485#0000</v>
      </c>
      <c r="M9" s="28" t="str">
        <f>_xll.ohRangeRetrieveError(L9)</f>
        <v/>
      </c>
      <c r="P9" s="264" t="str">
        <f>_xll.qlRateHelperQuoteName(L9,Trigger)</f>
        <v>EURAM1E7M_Quote</v>
      </c>
      <c r="Q9" s="257">
        <f>_xll.qlQuoteValue(K9,AllTriggers)</f>
        <v>-3.6800000000000001E-3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42737</v>
      </c>
      <c r="U9" s="259">
        <f>_xll.qlRateHelperPillarDate(L9,Trigger)</f>
        <v>42949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131</v>
      </c>
    </row>
    <row r="12" spans="1:21" ht="11.25" customHeight="1" x14ac:dyDescent="0.2">
      <c r="M12" s="217" t="s">
        <v>112</v>
      </c>
      <c r="P12" s="217" t="s">
        <v>78</v>
      </c>
      <c r="Q12" s="217" t="s">
        <v>79</v>
      </c>
      <c r="R12" s="217" t="s">
        <v>110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obj_0047e#0000</v>
      </c>
      <c r="P13" s="251" t="str">
        <f t="array" ref="P13:P21">_xll.ohFilter(P3:P8,S3:S8)</f>
        <v>Euribor1MLastFixing_Quote</v>
      </c>
      <c r="Q13" s="252">
        <f t="array" ref="Q13:Q21">_xll.ohFilter(Q3:Q8,S3:S8)</f>
        <v>-3.6800000000000001E-3</v>
      </c>
      <c r="R13" s="253" t="str">
        <f t="array" ref="R13:R21">_xll.ohFilter(R3:R8,S3:S8)</f>
        <v>--</v>
      </c>
      <c r="S13" s="254">
        <f t="array" ref="S13:S21">_xll.ohFilter(T3:T8,S3:S8)</f>
        <v>42737</v>
      </c>
      <c r="T13" s="254">
        <f t="array" ref="T13:T21">_xll.ohFilter(U3:U8,S3:S8)</f>
        <v>42768</v>
      </c>
      <c r="U13" s="255">
        <v>1.0003169893398782</v>
      </c>
    </row>
    <row r="14" spans="1:21" x14ac:dyDescent="0.2">
      <c r="M14" s="30" t="str">
        <v>obj_00484#0000</v>
      </c>
      <c r="P14" s="251" t="str">
        <v>EURAM1E2M_Quote</v>
      </c>
      <c r="Q14" s="252">
        <v>-3.6700000000000001E-3</v>
      </c>
      <c r="R14" s="253">
        <v>0</v>
      </c>
      <c r="S14" s="254">
        <v>42737</v>
      </c>
      <c r="T14" s="254">
        <v>42796</v>
      </c>
      <c r="U14" s="255">
        <v>1.0006018297925452</v>
      </c>
    </row>
    <row r="15" spans="1:21" x14ac:dyDescent="0.2">
      <c r="J15" s="226"/>
      <c r="K15" s="226"/>
      <c r="M15" s="30" t="str">
        <v>obj_00482#0000</v>
      </c>
      <c r="P15" s="251" t="str">
        <v>EURAM1E3M_Quote</v>
      </c>
      <c r="Q15" s="252">
        <v>-3.6800000000000001E-3</v>
      </c>
      <c r="R15" s="253">
        <v>0</v>
      </c>
      <c r="S15" s="254">
        <v>42737</v>
      </c>
      <c r="T15" s="254">
        <v>42828</v>
      </c>
      <c r="U15" s="255">
        <v>1.000931071956821</v>
      </c>
    </row>
    <row r="16" spans="1:21" x14ac:dyDescent="0.2">
      <c r="M16" s="30" t="str">
        <v>obj_00483#0000</v>
      </c>
      <c r="P16" s="251" t="str">
        <v>EURAM1E4M_Quote</v>
      </c>
      <c r="Q16" s="252">
        <v>-3.6900000000000001E-3</v>
      </c>
      <c r="R16" s="253">
        <v>0</v>
      </c>
      <c r="S16" s="254">
        <v>42737</v>
      </c>
      <c r="T16" s="254">
        <v>42857</v>
      </c>
      <c r="U16" s="255">
        <v>1.0012314807742593</v>
      </c>
    </row>
    <row r="17" spans="10:25" x14ac:dyDescent="0.2">
      <c r="J17" s="226"/>
      <c r="K17" s="226"/>
      <c r="M17" s="30" t="str">
        <v>obj_00480#0000</v>
      </c>
      <c r="P17" s="251" t="str">
        <v>EURAM1E5M_Quote</v>
      </c>
      <c r="Q17" s="252">
        <v>-3.6800000000000001E-3</v>
      </c>
      <c r="R17" s="253">
        <v>0</v>
      </c>
      <c r="S17" s="254">
        <v>42737</v>
      </c>
      <c r="T17" s="254">
        <v>42888</v>
      </c>
      <c r="U17" s="255">
        <v>1.001545889239339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117</v>
      </c>
      <c r="T25" s="87" t="str">
        <f>"F "&amp;K1</f>
        <v>F 1M</v>
      </c>
      <c r="U25" s="87" t="s">
        <v>120</v>
      </c>
      <c r="V25" s="87" t="s">
        <v>118</v>
      </c>
      <c r="W25" s="87" t="s">
        <v>119</v>
      </c>
      <c r="X25" s="87" t="s">
        <v>121</v>
      </c>
      <c r="Y25" s="87" t="s">
        <v>130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42737</v>
      </c>
      <c r="R26" s="267">
        <f>_xll.qlInterestRateIndexMaturity(iborindex1M,Q26,Trigger)</f>
        <v>42768</v>
      </c>
      <c r="S26" s="100">
        <f>_xll.qlDayCounterYearFraction(DayCounter,Q26,R26,,,Trigger)</f>
        <v>8.611111111111111E-2</v>
      </c>
      <c r="T26" s="112">
        <f>_xll.qlIndexFixing(iborindex1M,_xll.qlInterestRateIndexFixingDate(iborindex1M,Q26,Trigger),TRUE,AllTriggers)</f>
        <v>-3.6800000068452328E-3</v>
      </c>
      <c r="U26" s="112">
        <f>(V26/W26-1)/S26</f>
        <v>-3.4800000002182547E-3</v>
      </c>
      <c r="V26" s="115">
        <f>_xll.qlYieldTSDiscount(OvernightCurve,Q26,,AllTriggers)</f>
        <v>1.0000352787656608</v>
      </c>
      <c r="W26" s="115">
        <f>_xll.qlYieldTSDiscount(OvernightCurve,R26,,AllTriggers)</f>
        <v>1.0003350458344147</v>
      </c>
      <c r="X26" s="268">
        <f>LN((1+T26*S26)/(1+U26*S26))</f>
        <v>-1.7227533659100159E-5</v>
      </c>
      <c r="Y26" s="112">
        <f>T26-U26</f>
        <v>-2.0000000662697814E-4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42768</v>
      </c>
      <c r="R27" s="267">
        <f>_xll.qlInterestRateIndexMaturity(iborindex1M,Q27,Trigger)</f>
        <v>42796</v>
      </c>
      <c r="S27" s="100">
        <f>_xll.qlDayCounterYearFraction(DayCounter,Q27,R27,,,Trigger)</f>
        <v>7.7777777777777779E-2</v>
      </c>
      <c r="T27" s="112">
        <f>_xll.qlIndexFixing(iborindex1M,_xll.qlInterestRateIndexFixingDate(iborindex1M,Q27,Trigger),TRUE,AllTriggers)</f>
        <v>-3.6600316753286422E-3</v>
      </c>
      <c r="U27" s="112">
        <f>(V27/W27-1)/S27</f>
        <v>-3.4810431513649614E-3</v>
      </c>
      <c r="V27" s="115">
        <f>_xll.qlYieldTSDiscount(OvernightCurve,Q27,,AllTriggers)</f>
        <v>1.0003350458344147</v>
      </c>
      <c r="W27" s="115">
        <f>_xll.qlYieldTSDiscount(OvernightCurve,R27,,AllTriggers)</f>
        <v>1.0006059576967901</v>
      </c>
      <c r="X27" s="268">
        <f>LN((1+T27*S27)/(1+U27*S27))</f>
        <v>-1.3925196786882433E-5</v>
      </c>
      <c r="Y27" s="112">
        <f t="shared" ref="Y27:Y29" si="3">T27-U27</f>
        <v>-1.7898852396368075E-4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42796</v>
      </c>
      <c r="R28" s="267">
        <f>_xll.qlInterestRateIndexMaturity(iborindex1M,Q28,Trigger)</f>
        <v>42828</v>
      </c>
      <c r="S28" s="100">
        <f>_xll.qlDayCounterYearFraction(DayCounter,Q28,R28,,,Trigger)</f>
        <v>8.8888888888888892E-2</v>
      </c>
      <c r="T28" s="112">
        <f>_xll.qlIndexFixing(iborindex1M,_xll.qlInterestRateIndexFixingDate(iborindex1M,Q28,Trigger),TRUE,AllTriggers)</f>
        <v>-3.7005288894277621E-3</v>
      </c>
      <c r="U28" s="112">
        <f>(V28/W28-1)/S28</f>
        <v>-3.47711724116892E-3</v>
      </c>
      <c r="V28" s="115">
        <f>_xll.qlYieldTSDiscount(OvernightCurve,Q28,,AllTriggers)</f>
        <v>1.0006059576967901</v>
      </c>
      <c r="W28" s="115">
        <f>_xll.qlYieldTSDiscount(OvernightCurve,R28,,AllTriggers)</f>
        <v>1.0009153176886199</v>
      </c>
      <c r="X28" s="268">
        <f>LN((1+T28*S28)/(1+U28*S28))</f>
        <v>-1.986515029113336E-5</v>
      </c>
      <c r="Y28" s="112">
        <f t="shared" si="3"/>
        <v>-2.2341164825884219E-4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42828</v>
      </c>
      <c r="R29" s="270">
        <f>_xll.qlInterestRateIndexMaturity(iborindex1M,Q29,Trigger)</f>
        <v>42858</v>
      </c>
      <c r="S29" s="105">
        <f>_xll.qlDayCounterYearFraction(DayCounter,Q29,R29,,,Trigger)</f>
        <v>8.3333333333333329E-2</v>
      </c>
      <c r="T29" s="121">
        <f>_xll.qlIndexFixing(iborindex1M,_xll.qlInterestRateIndexFixingDate(iborindex1M,Q29,Trigger),TRUE,AllTriggers)</f>
        <v>-3.7219725419461724E-3</v>
      </c>
      <c r="U29" s="121">
        <f>(V29/W29-1)/S29</f>
        <v>-3.4903214899535406E-3</v>
      </c>
      <c r="V29" s="119">
        <f>_xll.qlYieldTSDiscount(OvernightCurve,Q29,,AllTriggers)</f>
        <v>1.0009153176886199</v>
      </c>
      <c r="W29" s="119">
        <f>_xll.qlYieldTSDiscount(OvernightCurve,R29,,AllTriggers)</f>
        <v>1.0012065287438829</v>
      </c>
      <c r="X29" s="271">
        <f>LN((1+T29*S29)/(1+U29*S29))</f>
        <v>-1.9310057242073691E-5</v>
      </c>
      <c r="Y29" s="121">
        <f t="shared" si="3"/>
        <v>-2.3165105199263181E-4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R4:R9 T4:U9" evalErro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3540"/>
  <sheetViews>
    <sheetView showGridLines="0" topLeftCell="A2" workbookViewId="0">
      <selection activeCell="D2" sqref="D2"/>
    </sheetView>
  </sheetViews>
  <sheetFormatPr defaultColWidth="9.33203125"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_xll.qlInterpolation(,interpolator3M,_xll.ohFilter(E3:E23,M3:M23),_xll.ohFilter(L3:L23,M3:M23))</f>
        <v>obj_00489#0004</v>
      </c>
    </row>
    <row r="2" spans="1:25" ht="26.4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117</v>
      </c>
      <c r="H2" s="87" t="str">
        <f>F1&amp;" Market quote"</f>
        <v>3M Market quote</v>
      </c>
      <c r="I2" s="87" t="s">
        <v>118</v>
      </c>
      <c r="J2" s="87" t="s">
        <v>119</v>
      </c>
      <c r="K2" s="87" t="s">
        <v>120</v>
      </c>
      <c r="L2" s="87" t="s">
        <v>130</v>
      </c>
      <c r="M2" s="87" t="s">
        <v>78</v>
      </c>
      <c r="N2" s="87" t="s">
        <v>124</v>
      </c>
      <c r="O2" s="87" t="s">
        <v>133</v>
      </c>
      <c r="P2" s="87" t="s">
        <v>121</v>
      </c>
      <c r="R2" s="87" t="s">
        <v>100</v>
      </c>
      <c r="S2" s="87" t="s">
        <v>124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42737</v>
      </c>
      <c r="F3" s="245">
        <f>_xll.qlCalendarAdvance(Calendar,E3,F1,"mf",,Trigger)</f>
        <v>42828</v>
      </c>
      <c r="G3" s="95">
        <f>_xll.qlDayCounterYearFraction(DayCounter,E3,F3,,,Trigger)</f>
        <v>0.25277777777777777</v>
      </c>
      <c r="H3" s="246">
        <f>_xll.qlQuoteValue(D3,LastFixingsTrigger)</f>
        <v>-3.1900000000000001E-3</v>
      </c>
      <c r="I3" s="247">
        <f>_xll.qlYieldTSDiscount(OvernightCurve,E3,,AllTriggers)</f>
        <v>1.0000352787656608</v>
      </c>
      <c r="J3" s="247">
        <f>_xll.qlYieldTSDiscount(OvernightCurve,F3,,AllTriggers)</f>
        <v>1.0009153176886199</v>
      </c>
      <c r="K3" s="246">
        <f t="shared" ref="K3:K17" si="0">(I3/J3-1)/G3</f>
        <v>-3.4782889228784737E-3</v>
      </c>
      <c r="L3" s="246">
        <f>H3-K3</f>
        <v>2.8828892287847355E-4</v>
      </c>
      <c r="M3" s="233" t="b">
        <v>0</v>
      </c>
      <c r="N3" s="239">
        <f>_xll.qlInterpolationInterpolate(B3Minterpolation,E3,TRUE,Trigger)</f>
        <v>2.9133004381063895E-4</v>
      </c>
      <c r="O3" s="240">
        <f>(L3-N3)*10000</f>
        <v>-3.0411209321653913E-2</v>
      </c>
      <c r="P3" s="241">
        <f>LN((1+H3*G3)/(1+K3*G3))</f>
        <v>7.2934502340939696E-5</v>
      </c>
      <c r="R3" s="109">
        <f>E3</f>
        <v>42737</v>
      </c>
      <c r="S3" s="125">
        <f>_xll.qlInterpolationInterpolate(B3Minterpolation,R3,TRUE)</f>
        <v>2.9133004381063895E-4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42768</v>
      </c>
      <c r="F4" s="114">
        <f>_xll.qlCalendarAdvance(Calendar,E4,$F$1,"mf",,Trigger)</f>
        <v>42857</v>
      </c>
      <c r="G4" s="100">
        <f>_xll.qlDayCounterYearFraction(DayCounter,E4,F4,,,Trigger)</f>
        <v>0.24722222222222223</v>
      </c>
      <c r="H4" s="112">
        <f>_xll.qlQuoteValue(D4,AllTriggers)</f>
        <v>-3.16E-3</v>
      </c>
      <c r="I4" s="115">
        <f>_xll.qlYieldTSDiscount(OvernightCurve,E4,,AllTriggers)</f>
        <v>1.0003350458344147</v>
      </c>
      <c r="J4" s="115">
        <f>_xll.qlYieldTSDiscount(OvernightCurve,F4,,AllTriggers)</f>
        <v>1.0011968203438091</v>
      </c>
      <c r="K4" s="112">
        <f t="shared" si="0"/>
        <v>-3.481662551629924E-3</v>
      </c>
      <c r="L4" s="112">
        <f t="shared" ref="L4:L23" si="2">H4-K4</f>
        <v>3.2166255162992393E-4</v>
      </c>
      <c r="M4" s="50" t="b">
        <v>1</v>
      </c>
      <c r="N4" s="112">
        <f>_xll.qlInterpolationInterpolate(B3Minterpolation,E4,TRUE,Trigger)</f>
        <v>3.2166255162992393E-4</v>
      </c>
      <c r="O4" s="242">
        <f t="shared" ref="O4:O23" si="3">(L4-N4)*10000</f>
        <v>0</v>
      </c>
      <c r="P4" s="236">
        <f t="shared" ref="P4:P23" si="4">LN((1+H4*G4)/(1+K4*G4))</f>
        <v>7.9587470844993334E-5</v>
      </c>
      <c r="R4" s="114">
        <f>_xll.qlCalendarAdvance(Calendar,R3,"1D","f")</f>
        <v>42738</v>
      </c>
      <c r="S4" s="112">
        <f>_xll.qlInterpolationInterpolate(B3Minterpolation,R4,TRUE)</f>
        <v>2.9264919037350686E-4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42796</v>
      </c>
      <c r="F5" s="114">
        <f>_xll.qlCalendarAdvance(Calendar,E5,$F$1,"mf",,Trigger)</f>
        <v>42888</v>
      </c>
      <c r="G5" s="100">
        <f>_xll.qlDayCounterYearFraction(DayCounter,E5,F5,,,Trigger)</f>
        <v>0.25555555555555554</v>
      </c>
      <c r="H5" s="112">
        <f>_xll.qlQuoteValue(D5,AllTriggers)</f>
        <v>-3.1300000000000004E-3</v>
      </c>
      <c r="I5" s="115">
        <f>_xll.qlYieldTSDiscount(OvernightCurve,E5,,AllTriggers)</f>
        <v>1.0006059576967901</v>
      </c>
      <c r="J5" s="115">
        <f>_xll.qlYieldTSDiscount(OvernightCurve,F5,,AllTriggers)</f>
        <v>1.0014961447971529</v>
      </c>
      <c r="K5" s="112">
        <f t="shared" ref="K5:K15" si="6">(I5/J5-1)/G5</f>
        <v>-3.4781370308839305E-3</v>
      </c>
      <c r="L5" s="112">
        <f t="shared" ref="L5:L15" si="7">H5-K5</f>
        <v>3.4813703088393006E-4</v>
      </c>
      <c r="M5" s="50" t="b">
        <v>1</v>
      </c>
      <c r="N5" s="112">
        <f>_xll.qlInterpolationInterpolate(B3Minterpolation,E5,TRUE,Trigger)</f>
        <v>3.4813703088393006E-4</v>
      </c>
      <c r="O5" s="242">
        <f t="shared" ref="O5:O15" si="8">(L5-N5)*10000</f>
        <v>0</v>
      </c>
      <c r="P5" s="236">
        <f t="shared" ref="P5:P15" si="9">LN((1+H5*G5)/(1+K5*G5))</f>
        <v>8.9043538361234683E-5</v>
      </c>
      <c r="R5" s="114">
        <f>_xll.qlCalendarAdvance(Calendar,R4,"1D","f")</f>
        <v>42739</v>
      </c>
      <c r="S5" s="112">
        <f>_xll.qlInterpolationInterpolate(B3Minterpolation,R5,TRUE)</f>
        <v>2.9393482756896185E-4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42828</v>
      </c>
      <c r="F6" s="114">
        <f>_xll.qlCalendarAdvance(Calendar,E6,$F$1,"mf",,Trigger)</f>
        <v>42919</v>
      </c>
      <c r="G6" s="100">
        <f>_xll.qlDayCounterYearFraction(DayCounter,E6,F6,,,Trigger)</f>
        <v>0.25277777777777777</v>
      </c>
      <c r="H6" s="112">
        <f>_xll.qlQuoteValue(D6,AllTriggers)</f>
        <v>-3.0800000000000007E-3</v>
      </c>
      <c r="I6" s="115">
        <f>_xll.qlYieldTSDiscount(OvernightCurve,E6,,AllTriggers)</f>
        <v>1.0009153176886199</v>
      </c>
      <c r="J6" s="115">
        <f>_xll.qlYieldTSDiscount(OvernightCurve,F6,,AllTriggers)</f>
        <v>1.0017944448536091</v>
      </c>
      <c r="K6" s="112">
        <f t="shared" si="6"/>
        <v>-3.4716360482097246E-3</v>
      </c>
      <c r="L6" s="112">
        <f t="shared" si="7"/>
        <v>3.9163604820972387E-4</v>
      </c>
      <c r="M6" s="50" t="b">
        <v>1</v>
      </c>
      <c r="N6" s="112">
        <f>_xll.qlInterpolationInterpolate(B3Minterpolation,E6,TRUE,Trigger)</f>
        <v>3.9163604820972387E-4</v>
      </c>
      <c r="O6" s="242">
        <f t="shared" si="8"/>
        <v>0</v>
      </c>
      <c r="P6" s="236">
        <f t="shared" si="9"/>
        <v>9.9078932751796905E-5</v>
      </c>
      <c r="R6" s="114">
        <f>_xll.qlCalendarAdvance(Calendar,R5,"1D","f")</f>
        <v>42740</v>
      </c>
      <c r="S6" s="112">
        <f>_xll.qlInterpolationInterpolate(B3Minterpolation,R6,TRUE)</f>
        <v>2.9518807237591781E-4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42857</v>
      </c>
      <c r="F7" s="114">
        <f>_xll.qlCalendarAdvance(Calendar,E7,$F$1,"mf",,Trigger)</f>
        <v>42949</v>
      </c>
      <c r="G7" s="100">
        <f>_xll.qlDayCounterYearFraction(DayCounter,E7,F7,,,Trigger)</f>
        <v>0.25555555555555554</v>
      </c>
      <c r="H7" s="112">
        <f>_xll.qlQuoteValue(D7,AllTriggers)</f>
        <v>-3.0300000000000006E-3</v>
      </c>
      <c r="I7" s="115">
        <f>_xll.qlYieldTSDiscount(OvernightCurve,E7,,AllTriggers)</f>
        <v>1.0011968203438091</v>
      </c>
      <c r="J7" s="115">
        <f>_xll.qlYieldTSDiscount(OvernightCurve,F7,,AllTriggers)</f>
        <v>1.002080087952258</v>
      </c>
      <c r="K7" s="112">
        <f t="shared" si="6"/>
        <v>-3.4490901439455999E-3</v>
      </c>
      <c r="L7" s="112">
        <f t="shared" si="7"/>
        <v>4.1909014394559936E-4</v>
      </c>
      <c r="M7" s="50" t="b">
        <v>1</v>
      </c>
      <c r="N7" s="112">
        <f>_xll.qlInterpolationInterpolate(B3Minterpolation,E7,TRUE,Trigger)</f>
        <v>4.1909014394559936E-4</v>
      </c>
      <c r="O7" s="242">
        <f t="shared" si="8"/>
        <v>0</v>
      </c>
      <c r="P7" s="236">
        <f t="shared" si="9"/>
        <v>1.0718955515626604E-4</v>
      </c>
      <c r="R7" s="114">
        <f>_xll.qlCalendarAdvance(Calendar,R6,"1D","f")</f>
        <v>42741</v>
      </c>
      <c r="S7" s="112">
        <f>_xll.qlInterpolationInterpolate(B3Minterpolation,R7,TRUE)</f>
        <v>2.9641004177328843E-4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42888</v>
      </c>
      <c r="F8" s="114">
        <f>_xll.qlCalendarAdvance(Calendar,E8,$F$1,"mf",,Trigger)</f>
        <v>42982</v>
      </c>
      <c r="G8" s="100">
        <f>_xll.qlDayCounterYearFraction(DayCounter,E8,F8,,,Trigger)</f>
        <v>0.26111111111111113</v>
      </c>
      <c r="H8" s="112">
        <f>_xll.qlQuoteValue(D8,AllTriggers)</f>
        <v>-2.9700000000000004E-3</v>
      </c>
      <c r="I8" s="115">
        <f>_xll.qlYieldTSDiscount(OvernightCurve,E8,,AllTriggers)</f>
        <v>1.0014961447971529</v>
      </c>
      <c r="J8" s="115">
        <f>_xll.qlYieldTSDiscount(OvernightCurve,F8,,AllTriggers)</f>
        <v>1.0023958476558112</v>
      </c>
      <c r="K8" s="112">
        <f t="shared" si="6"/>
        <v>-3.4374349520494476E-3</v>
      </c>
      <c r="L8" s="112">
        <f t="shared" si="7"/>
        <v>4.6743495204944717E-4</v>
      </c>
      <c r="M8" s="50" t="b">
        <v>1</v>
      </c>
      <c r="N8" s="112">
        <f>_xll.qlInterpolationInterpolate(B3Minterpolation,E8,TRUE,Trigger)</f>
        <v>4.6743495204944717E-4</v>
      </c>
      <c r="O8" s="242">
        <f t="shared" si="8"/>
        <v>0</v>
      </c>
      <c r="P8" s="236">
        <f t="shared" si="9"/>
        <v>1.2215464541848544E-4</v>
      </c>
      <c r="R8" s="114">
        <f>_xll.qlCalendarAdvance(Calendar,R7,"1D","f")</f>
        <v>42744</v>
      </c>
      <c r="S8" s="112">
        <f>_xll.qlInterpolationInterpolate(B3Minterpolation,R8,TRUE)</f>
        <v>2.9989946729702579E-4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42919</v>
      </c>
      <c r="F9" s="114">
        <f>_xll.qlCalendarAdvance(Calendar,E9,$F$1,"mf",,Trigger)</f>
        <v>43011</v>
      </c>
      <c r="G9" s="100">
        <f>_xll.qlDayCounterYearFraction(DayCounter,E9,F9,,,Trigger)</f>
        <v>0.25555555555555554</v>
      </c>
      <c r="H9" s="112">
        <f>_xll.qlQuoteValue(D9,AllTriggers)</f>
        <v>-2.9100000000000003E-3</v>
      </c>
      <c r="I9" s="115">
        <f>_xll.qlYieldTSDiscount(OvernightCurve,E9,,AllTriggers)</f>
        <v>1.0017944448536091</v>
      </c>
      <c r="J9" s="115">
        <f>_xll.qlYieldTSDiscount(OvernightCurve,F9,,AllTriggers)</f>
        <v>1.0026708442275565</v>
      </c>
      <c r="K9" s="112">
        <f t="shared" si="6"/>
        <v>-3.4202538892198105E-3</v>
      </c>
      <c r="L9" s="112">
        <f t="shared" si="7"/>
        <v>5.1025388921981021E-4</v>
      </c>
      <c r="M9" s="50" t="b">
        <v>1</v>
      </c>
      <c r="N9" s="112">
        <f>_xll.qlInterpolationInterpolate(B3Minterpolation,E9,TRUE,Trigger)</f>
        <v>5.1025388921981021E-4</v>
      </c>
      <c r="O9" s="242">
        <f t="shared" si="8"/>
        <v>0</v>
      </c>
      <c r="P9" s="236">
        <f t="shared" si="9"/>
        <v>1.3050377635712328E-4</v>
      </c>
      <c r="R9" s="114">
        <f>_xll.qlCalendarAdvance(Calendar,R8,"1D","f")</f>
        <v>42745</v>
      </c>
      <c r="S9" s="112">
        <f>_xll.qlInterpolationInterpolate(B3Minterpolation,R9,TRUE)</f>
        <v>3.0100750484519267E-4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42949</v>
      </c>
      <c r="F10" s="114">
        <f>_xll.qlCalendarAdvance(Calendar,E10,$F$1,"mf",,Trigger)</f>
        <v>43041</v>
      </c>
      <c r="G10" s="100">
        <f>_xll.qlDayCounterYearFraction(DayCounter,E10,F10,,,Trigger)</f>
        <v>0.25555555555555554</v>
      </c>
      <c r="H10" s="112">
        <f>_xll.qlQuoteValue(D10,AllTriggers)</f>
        <v>-2.8500000000000001E-3</v>
      </c>
      <c r="I10" s="115">
        <f>_xll.qlYieldTSDiscount(OvernightCurve,E10,,AllTriggers)</f>
        <v>1.002080087952258</v>
      </c>
      <c r="J10" s="115">
        <f>_xll.qlYieldTSDiscount(OvernightCurve,F10,,AllTriggers)</f>
        <v>1.0029542054771392</v>
      </c>
      <c r="K10" s="112">
        <f t="shared" si="6"/>
        <v>-3.4103849022126338E-3</v>
      </c>
      <c r="L10" s="112">
        <f t="shared" si="7"/>
        <v>5.6038490221263374E-4</v>
      </c>
      <c r="M10" s="50" t="b">
        <v>1</v>
      </c>
      <c r="N10" s="112">
        <f>_xll.qlInterpolationInterpolate(B3Minterpolation,E10,TRUE,Trigger)</f>
        <v>5.6038490221263374E-4</v>
      </c>
      <c r="O10" s="242">
        <f t="shared" si="8"/>
        <v>0</v>
      </c>
      <c r="P10" s="236">
        <f t="shared" si="9"/>
        <v>1.4332412567971716E-4</v>
      </c>
      <c r="R10" s="114">
        <f>_xll.qlCalendarAdvance(Calendar,R9,"1D","f")</f>
        <v>42746</v>
      </c>
      <c r="S10" s="112">
        <f>_xll.qlInterpolationInterpolate(B3Minterpolation,R10,TRUE)</f>
        <v>3.0208985187834305E-4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42982</v>
      </c>
      <c r="F11" s="114">
        <f>_xll.qlCalendarAdvance(Calendar,E11,$F$1,"mf",,Trigger)</f>
        <v>43073</v>
      </c>
      <c r="G11" s="100">
        <f>_xll.qlDayCounterYearFraction(DayCounter,E11,F11,,,Trigger)</f>
        <v>0.25277777777777777</v>
      </c>
      <c r="H11" s="112">
        <f>_xll.qlQuoteValue(D11,AllTriggers)</f>
        <v>-2.7800000000000004E-3</v>
      </c>
      <c r="I11" s="115">
        <f>_xll.qlYieldTSDiscount(OvernightCurve,E11,,AllTriggers)</f>
        <v>1.0023958476558112</v>
      </c>
      <c r="J11" s="115">
        <f>_xll.qlYieldTSDiscount(OvernightCurve,F11,,AllTriggers)</f>
        <v>1.0032556507086401</v>
      </c>
      <c r="K11" s="112">
        <f t="shared" si="6"/>
        <v>-3.3903807749591963E-3</v>
      </c>
      <c r="L11" s="112">
        <f t="shared" si="7"/>
        <v>6.1038077495919598E-4</v>
      </c>
      <c r="M11" s="50" t="b">
        <v>1</v>
      </c>
      <c r="N11" s="112">
        <f>_xll.qlInterpolationInterpolate(B3Minterpolation,E11,TRUE,Trigger)</f>
        <v>6.1038077495919598E-4</v>
      </c>
      <c r="O11" s="242">
        <f t="shared" si="8"/>
        <v>0</v>
      </c>
      <c r="P11" s="236">
        <f t="shared" si="9"/>
        <v>1.5441111642110219E-4</v>
      </c>
      <c r="R11" s="114">
        <f>_xll.qlCalendarAdvance(Calendar,R10,"1D","f")</f>
        <v>42747</v>
      </c>
      <c r="S11" s="112">
        <f>_xll.qlInterpolationInterpolate(B3Minterpolation,R11,TRUE)</f>
        <v>3.0314762537539061E-4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43010</v>
      </c>
      <c r="F12" s="114">
        <f>_xll.qlCalendarAdvance(Calendar,E12,$F$1,"mf",,Trigger)</f>
        <v>43102</v>
      </c>
      <c r="G12" s="100">
        <f>_xll.qlDayCounterYearFraction(DayCounter,E12,F12,,,Trigger)</f>
        <v>0.25555555555555554</v>
      </c>
      <c r="H12" s="112">
        <f>_xll.qlQuoteValue(D12,AllTriggers)</f>
        <v>-2.7200000000000002E-3</v>
      </c>
      <c r="I12" s="115">
        <f>_xll.qlYieldTSDiscount(OvernightCurve,E12,,AllTriggers)</f>
        <v>1.0026614002314569</v>
      </c>
      <c r="J12" s="115">
        <f>_xll.qlYieldTSDiscount(OvernightCurve,F12,,AllTriggers)</f>
        <v>1.0035251769469908</v>
      </c>
      <c r="K12" s="112">
        <f t="shared" si="6"/>
        <v>-3.3681226151961309E-3</v>
      </c>
      <c r="L12" s="112">
        <f t="shared" si="7"/>
        <v>6.4812261519613069E-4</v>
      </c>
      <c r="M12" s="50" t="b">
        <v>1</v>
      </c>
      <c r="N12" s="112">
        <f>_xll.qlInterpolationInterpolate(B3Minterpolation,E12,TRUE,Trigger)</f>
        <v>6.4812261519613069E-4</v>
      </c>
      <c r="O12" s="242">
        <f t="shared" si="8"/>
        <v>0</v>
      </c>
      <c r="P12" s="236">
        <f t="shared" si="9"/>
        <v>1.6576028473818619E-4</v>
      </c>
      <c r="R12" s="114">
        <f>_xll.qlCalendarAdvance(Calendar,R11,"1D","f")</f>
        <v>42748</v>
      </c>
      <c r="S12" s="112">
        <f>_xll.qlInterpolationInterpolate(B3Minterpolation,R12,TRUE)</f>
        <v>3.0418194231524921E-4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43041</v>
      </c>
      <c r="F13" s="114">
        <f>_xll.qlCalendarAdvance(Calendar,E13,$F$1,"mf",,Trigger)</f>
        <v>43133</v>
      </c>
      <c r="G13" s="100">
        <f>_xll.qlDayCounterYearFraction(DayCounter,E13,F13,,,Trigger)</f>
        <v>0.25555555555555554</v>
      </c>
      <c r="H13" s="112">
        <f>_xll.qlQuoteValue(D13,AllTriggers)</f>
        <v>-2.6800000000000001E-3</v>
      </c>
      <c r="I13" s="115">
        <f>_xll.qlYieldTSDiscount(OvernightCurve,E13,,AllTriggers)</f>
        <v>1.0029542054771392</v>
      </c>
      <c r="J13" s="115">
        <f>_xll.qlYieldTSDiscount(OvernightCurve,F13,,AllTriggers)</f>
        <v>1.0038130681300788</v>
      </c>
      <c r="K13" s="112">
        <f t="shared" si="6"/>
        <v>-3.3480007478559545E-3</v>
      </c>
      <c r="L13" s="112">
        <f t="shared" si="7"/>
        <v>6.6800074785595444E-4</v>
      </c>
      <c r="M13" s="50" t="b">
        <v>1</v>
      </c>
      <c r="N13" s="112">
        <f>_xll.qlInterpolationInterpolate(B3Minterpolation,E13,TRUE,Trigger)</f>
        <v>6.6800074785595444E-4</v>
      </c>
      <c r="O13" s="242">
        <f t="shared" si="8"/>
        <v>0</v>
      </c>
      <c r="P13" s="236">
        <f t="shared" si="9"/>
        <v>1.708428934511018E-4</v>
      </c>
      <c r="R13" s="114">
        <f>_xll.qlCalendarAdvance(Calendar,R12,"1D","f")</f>
        <v>42751</v>
      </c>
      <c r="S13" s="112">
        <f>_xll.qlInterpolationInterpolate(B3Minterpolation,R13,TRUE)</f>
        <v>3.0715532358082856E-4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43073</v>
      </c>
      <c r="F14" s="114">
        <f>_xll.qlCalendarAdvance(Calendar,E14,$F$1,"mf",,Trigger)</f>
        <v>43164</v>
      </c>
      <c r="G14" s="100">
        <f>_xll.qlDayCounterYearFraction(DayCounter,E14,F14,,,Trigger)</f>
        <v>0.25277777777777777</v>
      </c>
      <c r="H14" s="112">
        <f>_xll.qlQuoteValue(D14,AllTriggers)</f>
        <v>-2.64E-3</v>
      </c>
      <c r="I14" s="115">
        <f>_xll.qlYieldTSDiscount(OvernightCurve,E14,,AllTriggers)</f>
        <v>1.0032556507086401</v>
      </c>
      <c r="J14" s="115">
        <f>_xll.qlYieldTSDiscount(OvernightCurve,F14,,AllTriggers)</f>
        <v>1.0041010419033547</v>
      </c>
      <c r="K14" s="112">
        <f t="shared" si="6"/>
        <v>-3.3307452007058768E-3</v>
      </c>
      <c r="L14" s="112">
        <f t="shared" si="7"/>
        <v>6.9074520070587682E-4</v>
      </c>
      <c r="M14" s="50" t="b">
        <v>1</v>
      </c>
      <c r="N14" s="112">
        <f>_xll.qlInterpolationInterpolate(B3Minterpolation,E14,TRUE,Trigger)</f>
        <v>6.9074520070587682E-4</v>
      </c>
      <c r="O14" s="242">
        <f t="shared" si="8"/>
        <v>0</v>
      </c>
      <c r="P14" s="236">
        <f t="shared" si="9"/>
        <v>1.7473690001867909E-4</v>
      </c>
      <c r="R14" s="114">
        <f>_xll.qlCalendarAdvance(Calendar,R13,"1D","f")</f>
        <v>42752</v>
      </c>
      <c r="S14" s="112">
        <f>_xll.qlInterpolationInterpolate(B3Minterpolation,R14,TRUE)</f>
        <v>3.0810698408106874E-4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43102</v>
      </c>
      <c r="F15" s="114">
        <f>_xll.qlCalendarAdvance(Calendar,E15,$F$1,"mf",,Trigger)</f>
        <v>43193</v>
      </c>
      <c r="G15" s="100">
        <f>_xll.qlDayCounterYearFraction(DayCounter,E15,F15,,,Trigger)</f>
        <v>0.25277777777777777</v>
      </c>
      <c r="H15" s="112">
        <f>_xll.qlQuoteValue(D15,AllTriggers)</f>
        <v>-2.5900000000000003E-3</v>
      </c>
      <c r="I15" s="115">
        <f>_xll.qlYieldTSDiscount(OvernightCurve,E15,,AllTriggers)</f>
        <v>1.0035251769469908</v>
      </c>
      <c r="J15" s="115">
        <f>_xll.qlYieldTSDiscount(OvernightCurve,F15,,AllTriggers)</f>
        <v>1.0043705115139778</v>
      </c>
      <c r="K15" s="112">
        <f t="shared" si="6"/>
        <v>-3.3296285247590017E-3</v>
      </c>
      <c r="L15" s="112">
        <f t="shared" si="7"/>
        <v>7.3962852475900143E-4</v>
      </c>
      <c r="M15" s="50" t="b">
        <v>1</v>
      </c>
      <c r="N15" s="112">
        <f>_xll.qlInterpolationInterpolate(B3Minterpolation,E15,TRUE,Trigger)</f>
        <v>7.3962852475900143E-4</v>
      </c>
      <c r="O15" s="242">
        <f t="shared" si="8"/>
        <v>0</v>
      </c>
      <c r="P15" s="236">
        <f t="shared" si="9"/>
        <v>1.8710164023567929E-4</v>
      </c>
      <c r="R15" s="114">
        <f>_xll.qlCalendarAdvance(Calendar,R14,"1D","f")</f>
        <v>42753</v>
      </c>
      <c r="S15" s="112">
        <f>_xll.qlInterpolationInterpolate(B3Minterpolation,R15,TRUE)</f>
        <v>3.0904077291868875E-4</v>
      </c>
      <c r="X15" s="86"/>
      <c r="Y15" s="86"/>
    </row>
    <row r="16" spans="1:25" ht="11.25" customHeight="1" x14ac:dyDescent="0.2">
      <c r="C16" s="60" t="str">
        <f>_xll.qlIMMNextCode(SettlementDate,FALSE)</f>
        <v>F7</v>
      </c>
      <c r="D16" s="296" t="str">
        <f t="shared" ref="D16:D23" si="10">Currency&amp;"FUT"&amp;"3M"&amp;C16&amp;QuoteSuffix</f>
        <v>EURFUT3MF7_Quote</v>
      </c>
      <c r="E16" s="109">
        <f>_xll.qlIMMdate(C16,$E$3,Trigger)</f>
        <v>42753</v>
      </c>
      <c r="F16" s="109">
        <f>_xll.qlCalendarAdvance(Calendar,E16,$F$1,"mf",,Trigger)</f>
        <v>42843</v>
      </c>
      <c r="G16" s="110">
        <f>_xll.qlDayCounterYearFraction(DayCounter,E16,F16,,,Trigger)</f>
        <v>0.25</v>
      </c>
      <c r="H16" s="125">
        <f>1-_xll.qlQuoteValue(D16,AllTriggers)/100-_xll.qlQuoteValue(Currency&amp;"FUT"&amp;"3M"&amp;C16&amp;"ConvAdj_Quote")</f>
        <v>-3.1749999999999279E-3</v>
      </c>
      <c r="I16" s="111">
        <f>_xll.qlYieldTSDiscount(OvernightCurve,E16,,AllTriggers)</f>
        <v>1.0001904198834466</v>
      </c>
      <c r="J16" s="111">
        <f>_xll.qlYieldTSDiscount(OvernightCurve,F16,,AllTriggers)</f>
        <v>1.0010609126270009</v>
      </c>
      <c r="K16" s="125">
        <f t="shared" si="0"/>
        <v>-3.4782808221729411E-3</v>
      </c>
      <c r="L16" s="125">
        <f t="shared" si="2"/>
        <v>3.0328082217301322E-4</v>
      </c>
      <c r="M16" s="297" t="b">
        <v>0</v>
      </c>
      <c r="N16" s="125">
        <f>_xll.qlInterpolationInterpolate(B3Minterpolation,E16,TRUE,Trigger)</f>
        <v>3.0904077291868875E-4</v>
      </c>
      <c r="O16" s="298">
        <f t="shared" si="3"/>
        <v>-5.7599507456755301E-2</v>
      </c>
      <c r="P16" s="235">
        <f t="shared" si="4"/>
        <v>7.5883314704966071E-5</v>
      </c>
      <c r="R16" s="114">
        <f>_xll.qlCalendarAdvance(Calendar,R15,"1D","f")</f>
        <v>42754</v>
      </c>
      <c r="S16" s="112">
        <f>_xll.qlInterpolationInterpolate(B3Minterpolation,R16,TRUE)</f>
        <v>3.0995780707260235E-4</v>
      </c>
      <c r="X16" s="86"/>
      <c r="Y16" s="86"/>
    </row>
    <row r="17" spans="3:25" ht="11.25" customHeight="1" x14ac:dyDescent="0.2">
      <c r="C17" s="60" t="str">
        <f>_xll.qlIMMNextCode($E$16,TRUE)</f>
        <v>H7</v>
      </c>
      <c r="D17" s="248" t="str">
        <f t="shared" si="10"/>
        <v>EURFUT3MH7_Quote</v>
      </c>
      <c r="E17" s="114">
        <f>_xll.qlIMMdate(C17,$E$3,Trigger)</f>
        <v>42809</v>
      </c>
      <c r="F17" s="114">
        <f>_xll.qlCalendarAdvance(Calendar,E17,$F$1,"mf",,Trigger)</f>
        <v>42901</v>
      </c>
      <c r="G17" s="100">
        <f>_xll.qlDayCounterYearFraction(DayCounter,E17,F17,,,Trigger)</f>
        <v>0.25555555555555554</v>
      </c>
      <c r="H17" s="112">
        <f>1-_xll.qlQuoteValue(D17,AllTriggers)/100-_xll.qlQuoteValue(Currency&amp;"FUT"&amp;"3M"&amp;C17&amp;"ConvAdj_Quote")</f>
        <v>-3.1250000000000444E-3</v>
      </c>
      <c r="I17" s="115">
        <f>_xll.qlYieldTSDiscount(OvernightCurve,E17,,AllTriggers)</f>
        <v>1.0007309278314371</v>
      </c>
      <c r="J17" s="115">
        <f>_xll.qlYieldTSDiscount(OvernightCurve,F17,,AllTriggers)</f>
        <v>1.0016216154345836</v>
      </c>
      <c r="K17" s="112">
        <f t="shared" si="0"/>
        <v>-3.4796566517265692E-3</v>
      </c>
      <c r="L17" s="112">
        <f t="shared" si="2"/>
        <v>3.5465665172652481E-4</v>
      </c>
      <c r="M17" s="50" t="b">
        <v>0</v>
      </c>
      <c r="N17" s="112">
        <f>_xll.qlInterpolationInterpolate(B3Minterpolation,E17,TRUE,Trigger)</f>
        <v>3.6605423653650549E-4</v>
      </c>
      <c r="O17" s="242">
        <f t="shared" si="3"/>
        <v>-0.11397584809980674</v>
      </c>
      <c r="P17" s="236">
        <f t="shared" si="4"/>
        <v>9.0711031336568519E-5</v>
      </c>
      <c r="R17" s="114">
        <f>_xll.qlCalendarAdvance(Calendar,R16,"1D","f")</f>
        <v>42755</v>
      </c>
      <c r="S17" s="112">
        <f>_xll.qlInterpolationInterpolate(B3Minterpolation,R17,TRUE)</f>
        <v>3.1085920352172326E-4</v>
      </c>
      <c r="X17" s="86"/>
      <c r="Y17" s="86"/>
    </row>
    <row r="18" spans="3:25" ht="11.25" customHeight="1" x14ac:dyDescent="0.2">
      <c r="C18" s="60" t="str">
        <f>_xll.qlIMMNextCode($E17,TRUE)</f>
        <v>M7</v>
      </c>
      <c r="D18" s="248" t="str">
        <f t="shared" si="10"/>
        <v>EURFUT3MM7_Quote</v>
      </c>
      <c r="E18" s="114">
        <f>_xll.qlIMMdate(C18,$E$3,Trigger)</f>
        <v>42907</v>
      </c>
      <c r="F18" s="114">
        <f>_xll.qlCalendarAdvance(Calendar,E18,$F$1,"mf",,Trigger)</f>
        <v>42999</v>
      </c>
      <c r="G18" s="100">
        <f>_xll.qlDayCounterYearFraction(DayCounter,E18,F18,,,Trigger)</f>
        <v>0.25555555555555554</v>
      </c>
      <c r="H18" s="112">
        <f>1-_xll.qlQuoteValue(D18,AllTriggers)/100-_xll.qlQuoteValue(Currency&amp;"FUT"&amp;"3M"&amp;C18&amp;"ConvAdj_Quote")</f>
        <v>-2.9250000000000664E-3</v>
      </c>
      <c r="I18" s="115">
        <f>_xll.qlYieldTSDiscount(OvernightCurve,E18,,AllTriggers)</f>
        <v>1.0016792219277264</v>
      </c>
      <c r="J18" s="115">
        <f>_xll.qlYieldTSDiscount(OvernightCurve,F18,,AllTriggers)</f>
        <v>1.0025575221449758</v>
      </c>
      <c r="K18" s="112">
        <f t="shared" ref="K18" si="11">(I18/J18-1)/G18</f>
        <v>-3.4280595987250919E-3</v>
      </c>
      <c r="L18" s="112">
        <f t="shared" si="2"/>
        <v>5.0305959872502543E-4</v>
      </c>
      <c r="M18" s="50" t="b">
        <v>0</v>
      </c>
      <c r="N18" s="112">
        <f>_xll.qlInterpolationInterpolate(B3Minterpolation,E18,TRUE,Trigger)</f>
        <v>4.9357400396141582E-4</v>
      </c>
      <c r="O18" s="242">
        <f t="shared" si="3"/>
        <v>9.4855947636096144E-2</v>
      </c>
      <c r="P18" s="236">
        <f t="shared" si="4"/>
        <v>1.2866412234733426E-4</v>
      </c>
      <c r="R18" s="114">
        <f>_xll.qlCalendarAdvance(Calendar,R17,"1D","f")</f>
        <v>42758</v>
      </c>
      <c r="S18" s="112">
        <f>_xll.qlInterpolationInterpolate(B3Minterpolation,R18,TRUE)</f>
        <v>3.1348073642946758E-4</v>
      </c>
      <c r="X18" s="86"/>
      <c r="Y18" s="86"/>
    </row>
    <row r="19" spans="3:25" ht="11.25" customHeight="1" x14ac:dyDescent="0.2">
      <c r="C19" s="60" t="str">
        <f>_xll.qlIMMNextCode($E18,TRUE)</f>
        <v>U7</v>
      </c>
      <c r="D19" s="248" t="str">
        <f t="shared" si="10"/>
        <v>EURFUT3MU7_Quote</v>
      </c>
      <c r="E19" s="114">
        <f>_xll.qlIMMdate(C19,$E$3,Trigger)</f>
        <v>42998</v>
      </c>
      <c r="F19" s="114">
        <f>_xll.qlCalendarAdvance(Calendar,E19,$F$1,"mf",,Trigger)</f>
        <v>43089</v>
      </c>
      <c r="G19" s="100">
        <f>_xll.qlDayCounterYearFraction(DayCounter,E19,F19,,,Trigger)</f>
        <v>0.25277777777777777</v>
      </c>
      <c r="H19" s="112">
        <f>1-_xll.qlQuoteValue(D19,AllTriggers)/100-_xll.qlQuoteValue(Currency&amp;"FUT"&amp;"3M"&amp;C19&amp;"ConvAdj_Quote")</f>
        <v>-2.7749999999999719E-3</v>
      </c>
      <c r="I19" s="115">
        <f>_xll.qlYieldTSDiscount(OvernightCurve,E19,,AllTriggers)</f>
        <v>1.0025480792162389</v>
      </c>
      <c r="J19" s="115">
        <f>_xll.qlYieldTSDiscount(OvernightCurve,F19,,AllTriggers)</f>
        <v>1.0034064072982782</v>
      </c>
      <c r="K19" s="112">
        <f>(I19/J19-1)/G19</f>
        <v>-3.3840561476950891E-3</v>
      </c>
      <c r="L19" s="112">
        <f t="shared" si="2"/>
        <v>6.0905614769511717E-4</v>
      </c>
      <c r="M19" s="50" t="b">
        <v>0</v>
      </c>
      <c r="N19" s="112">
        <f>_xll.qlInterpolationInterpolate(B3Minterpolation,E19,TRUE,Trigger)</f>
        <v>6.3362174158765935E-4</v>
      </c>
      <c r="O19" s="242">
        <f t="shared" si="3"/>
        <v>-0.24565593892542179</v>
      </c>
      <c r="P19" s="236">
        <f t="shared" si="4"/>
        <v>1.5407579804917367E-4</v>
      </c>
      <c r="R19" s="114">
        <f>_xll.qlCalendarAdvance(Calendar,R18,"1D","f")</f>
        <v>42759</v>
      </c>
      <c r="S19" s="112">
        <f>_xll.qlInterpolationInterpolate(B3Minterpolation,R19,TRUE)</f>
        <v>3.1433075184855545E-4</v>
      </c>
      <c r="X19" s="86"/>
      <c r="Y19" s="86"/>
    </row>
    <row r="20" spans="3:25" ht="11.25" customHeight="1" x14ac:dyDescent="0.2">
      <c r="C20" s="60" t="str">
        <f>_xll.qlIMMNextCode($E19,TRUE)</f>
        <v>Z7</v>
      </c>
      <c r="D20" s="248" t="str">
        <f t="shared" si="10"/>
        <v>EURFUT3MZ7_Quote</v>
      </c>
      <c r="E20" s="114">
        <f>_xll.qlIMMdate(C20,$E$3,Trigger)</f>
        <v>43089</v>
      </c>
      <c r="F20" s="114">
        <f>_xll.qlCalendarAdvance(Calendar,E20,$F$1,"mf",,Trigger)</f>
        <v>43179</v>
      </c>
      <c r="G20" s="100">
        <f>_xll.qlDayCounterYearFraction(DayCounter,E20,F20,,,Trigger)</f>
        <v>0.25</v>
      </c>
      <c r="H20" s="112">
        <f>1-_xll.qlQuoteValue(D20,AllTriggers)/100-_xll.qlQuoteValue(Currency&amp;"FUT"&amp;"3M"&amp;C20&amp;"ConvAdj_Quote")</f>
        <v>-2.6250000000000995E-3</v>
      </c>
      <c r="I20" s="115">
        <f>_xll.qlYieldTSDiscount(OvernightCurve,E20,,AllTriggers)</f>
        <v>1.0034064072982782</v>
      </c>
      <c r="J20" s="115">
        <f>_xll.qlYieldTSDiscount(OvernightCurve,F20,,AllTriggers)</f>
        <v>1.00424041370872</v>
      </c>
      <c r="K20" s="112">
        <f>(I20/J20-1)/G20</f>
        <v>-3.3219392450525298E-3</v>
      </c>
      <c r="L20" s="112">
        <f t="shared" si="2"/>
        <v>6.9693924505243032E-4</v>
      </c>
      <c r="M20" s="50" t="b">
        <v>0</v>
      </c>
      <c r="N20" s="112">
        <f>_xll.qlInterpolationInterpolate(B3Minterpolation,E20,TRUE,Trigger)</f>
        <v>7.1508264381174515E-4</v>
      </c>
      <c r="O20" s="242">
        <f t="shared" si="3"/>
        <v>-0.18143398759314827</v>
      </c>
      <c r="P20" s="236">
        <f t="shared" si="4"/>
        <v>1.7436442853740691E-4</v>
      </c>
      <c r="R20" s="114">
        <f>_xll.qlCalendarAdvance(Calendar,R19,"1D","f")</f>
        <v>42760</v>
      </c>
      <c r="S20" s="112">
        <f>_xll.qlInterpolationInterpolate(B3Minterpolation,R20,TRUE)</f>
        <v>3.1517071445741942E-4</v>
      </c>
      <c r="X20" s="86"/>
      <c r="Y20" s="86"/>
    </row>
    <row r="21" spans="3:25" ht="11.25" customHeight="1" x14ac:dyDescent="0.2">
      <c r="C21" s="60" t="str">
        <f>_xll.qlIMMNextCode($E20,TRUE)</f>
        <v>H8</v>
      </c>
      <c r="D21" s="248" t="str">
        <f t="shared" si="10"/>
        <v>EURFUT3MH8_Quote</v>
      </c>
      <c r="E21" s="114">
        <f>_xll.qlIMMdate(C21,$E$3,Trigger)</f>
        <v>43180</v>
      </c>
      <c r="F21" s="114">
        <f>_xll.qlCalendarAdvance(Calendar,E21,$F$1,"mf",,Trigger)</f>
        <v>43272</v>
      </c>
      <c r="G21" s="100">
        <f>_xll.qlDayCounterYearFraction(DayCounter,E21,F21,,,Trigger)</f>
        <v>0.25555555555555554</v>
      </c>
      <c r="H21" s="112">
        <f>1-_xll.qlQuoteValue(D21,AllTriggers)/100-_xll.qlQuoteValue(Currency&amp;"FUT"&amp;"3M"&amp;C21&amp;"ConvAdj_Quote")</f>
        <v>-2.4250000000001215E-3</v>
      </c>
      <c r="I21" s="115">
        <f>_xll.qlYieldTSDiscount(OvernightCurve,E21,,AllTriggers)</f>
        <v>1.0042497058502093</v>
      </c>
      <c r="J21" s="115">
        <f>_xll.qlYieldTSDiscount(OvernightCurve,F21,,AllTriggers)</f>
        <v>1.0050965363435749</v>
      </c>
      <c r="K21" s="112">
        <f>(I21/J21-1)/G21</f>
        <v>-3.2968818610311311E-3</v>
      </c>
      <c r="L21" s="112">
        <f t="shared" si="2"/>
        <v>8.7188186103100964E-4</v>
      </c>
      <c r="M21" s="50" t="b">
        <v>1</v>
      </c>
      <c r="N21" s="112">
        <f>_xll.qlInterpolationInterpolate(B3Minterpolation,E21,TRUE,Trigger)</f>
        <v>8.7188186103100964E-4</v>
      </c>
      <c r="O21" s="242">
        <f t="shared" si="3"/>
        <v>0</v>
      </c>
      <c r="P21" s="236">
        <f t="shared" si="4"/>
        <v>2.2297727953088562E-4</v>
      </c>
      <c r="R21" s="114">
        <f>_xll.qlCalendarAdvance(Calendar,R20,"1D","f")</f>
        <v>42761</v>
      </c>
      <c r="S21" s="112">
        <f>_xll.qlInterpolationInterpolate(B3Minterpolation,R21,TRUE)</f>
        <v>3.160017412349733E-4</v>
      </c>
      <c r="X21" s="86"/>
      <c r="Y21" s="86"/>
    </row>
    <row r="22" spans="3:25" ht="11.25" customHeight="1" x14ac:dyDescent="0.2">
      <c r="C22" s="60" t="str">
        <f>_xll.qlIMMNextCode($E21,TRUE)</f>
        <v>M8</v>
      </c>
      <c r="D22" s="248" t="str">
        <f t="shared" si="10"/>
        <v>EURFUT3MM8_Quote</v>
      </c>
      <c r="E22" s="114">
        <f>_xll.qlIMMdate(C22,$E$3,Trigger)</f>
        <v>43271</v>
      </c>
      <c r="F22" s="114">
        <f>_xll.qlCalendarAdvance(Calendar,E22,$F$1,"mf",,Trigger)</f>
        <v>43363</v>
      </c>
      <c r="G22" s="100">
        <f>_xll.qlDayCounterYearFraction(DayCounter,E22,F22,,,Trigger)</f>
        <v>0.25555555555555554</v>
      </c>
      <c r="H22" s="112">
        <f>1-_xll.qlQuoteValue(D22,AllTriggers)/100-_xll.qlQuoteValue(Currency&amp;"FUT"&amp;"3M"&amp;C22&amp;"ConvAdj_Quote")</f>
        <v>-2.2999999999999687E-3</v>
      </c>
      <c r="I22" s="115">
        <f>_xll.qlYieldTSDiscount(OvernightCurve,E22,,AllTriggers)</f>
        <v>1.0050873428770695</v>
      </c>
      <c r="J22" s="115">
        <f>_xll.qlYieldTSDiscount(OvernightCurve,F22,,AllTriggers)</f>
        <v>1.0059102889567613</v>
      </c>
      <c r="K22" s="112">
        <f>(I22/J22-1)/G22</f>
        <v>-3.2013031633647215E-3</v>
      </c>
      <c r="L22" s="112">
        <f t="shared" si="2"/>
        <v>9.0130316336475272E-4</v>
      </c>
      <c r="M22" s="50" t="b">
        <v>1</v>
      </c>
      <c r="N22" s="112">
        <f>_xll.qlInterpolationInterpolate(B3Minterpolation,E22,TRUE,Trigger)</f>
        <v>9.0130316336475272E-4</v>
      </c>
      <c r="O22" s="242">
        <f t="shared" si="3"/>
        <v>0</v>
      </c>
      <c r="P22" s="236">
        <f t="shared" si="4"/>
        <v>2.304950568421634E-4</v>
      </c>
      <c r="R22" s="114">
        <f>_xll.qlCalendarAdvance(Calendar,R21,"1D","f")</f>
        <v>42762</v>
      </c>
      <c r="S22" s="112">
        <f>_xll.qlInterpolationInterpolate(B3Minterpolation,R22,TRUE)</f>
        <v>3.1682494916013086E-4</v>
      </c>
      <c r="X22" s="86"/>
      <c r="Y22" s="86"/>
    </row>
    <row r="23" spans="3:25" ht="11.25" customHeight="1" x14ac:dyDescent="0.2">
      <c r="C23" s="60" t="str">
        <f>_xll.qlIMMNextCode($E22,TRUE)</f>
        <v>U8</v>
      </c>
      <c r="D23" s="249" t="str">
        <f t="shared" si="10"/>
        <v>EURFUT3MU8_Quote</v>
      </c>
      <c r="E23" s="118">
        <f>_xll.qlIMMdate(C23,$E$3,Trigger)</f>
        <v>43362</v>
      </c>
      <c r="F23" s="118">
        <f>_xll.qlCalendarAdvance(Calendar,E23,$F$1,"mf",,Trigger)</f>
        <v>43453</v>
      </c>
      <c r="G23" s="105">
        <f>_xll.qlDayCounterYearFraction(DayCounter,E23,F23,,,Trigger)</f>
        <v>0.25277777777777777</v>
      </c>
      <c r="H23" s="121">
        <f>1-_xll.qlQuoteValue(D23,AllTriggers)/100-_xll.qlQuoteValue(Currency&amp;"FUT"&amp;"3M"&amp;C23&amp;"ConvAdj_Quote")</f>
        <v>-2.1250000000001545E-3</v>
      </c>
      <c r="I23" s="119">
        <f>_xll.qlYieldTSDiscount(OvernightCurve,E23,,AllTriggers)</f>
        <v>1.0059013781028343</v>
      </c>
      <c r="J23" s="119">
        <f>_xll.qlYieldTSDiscount(OvernightCurve,F23,,AllTriggers)</f>
        <v>1.0067000996098576</v>
      </c>
      <c r="K23" s="121">
        <f>(I23/J23-1)/G23</f>
        <v>-3.1387474697247382E-3</v>
      </c>
      <c r="L23" s="121">
        <f t="shared" si="2"/>
        <v>1.0137474697245836E-3</v>
      </c>
      <c r="M23" s="55" t="b">
        <v>1</v>
      </c>
      <c r="N23" s="121">
        <f>_xll.qlInterpolationInterpolate(B3Minterpolation,E23,TRUE,Trigger)</f>
        <v>1.0137474697245836E-3</v>
      </c>
      <c r="O23" s="243">
        <f t="shared" si="3"/>
        <v>0</v>
      </c>
      <c r="P23" s="238">
        <f t="shared" si="4"/>
        <v>2.5642342719999888E-4</v>
      </c>
      <c r="R23" s="114">
        <f>_xll.qlCalendarAdvance(Calendar,R22,"1D","f")</f>
        <v>42765</v>
      </c>
      <c r="S23" s="112">
        <f>_xll.qlInterpolationInterpolate(B3Minterpolation,R23,TRUE)</f>
        <v>3.1925882961036321E-4</v>
      </c>
      <c r="X23" s="86"/>
      <c r="Y23" s="86"/>
    </row>
    <row r="24" spans="3:25" ht="11.25" customHeight="1" x14ac:dyDescent="0.2">
      <c r="E24" s="229"/>
      <c r="F24" s="229"/>
      <c r="G24" s="86"/>
      <c r="K24" s="86"/>
      <c r="L24" s="86"/>
      <c r="R24" s="114">
        <f>_xll.qlCalendarAdvance(Calendar,R23,"1D","f")</f>
        <v>42766</v>
      </c>
      <c r="S24" s="112">
        <f>_xll.qlInterpolationInterpolate(B3Minterpolation,R24,TRUE)</f>
        <v>3.2006193191507306E-4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42767</v>
      </c>
      <c r="S25" s="112">
        <f>_xll.qlInterpolationInterpolate(B3Minterpolation,R25,TRUE)</f>
        <v>3.2086280026195538E-4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42768</v>
      </c>
      <c r="S26" s="112">
        <f>_xll.qlInterpolationInterpolate(B3Minterpolation,R26,TRUE)</f>
        <v>3.2166255162992393E-4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42769</v>
      </c>
      <c r="S27" s="112">
        <f>_xll.qlInterpolationInterpolate(B3Minterpolation,R27,TRUE)</f>
        <v>3.2246230299789249E-4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42772</v>
      </c>
      <c r="S28" s="112">
        <f>_xll.qlInterpolationInterpolate(B3Minterpolation,R28,TRUE)</f>
        <v>3.2487272689093582E-4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42773</v>
      </c>
      <c r="S29" s="112">
        <f>_xll.qlInterpolationInterpolate(B3Minterpolation,R29,TRUE)</f>
        <v>3.2568364804804199E-4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42774</v>
      </c>
      <c r="S30" s="112">
        <f>_xll.qlInterpolationInterpolate(B3Minterpolation,R30,TRUE)</f>
        <v>3.26500154099717E-4</v>
      </c>
      <c r="U30" s="230"/>
      <c r="V30" s="230"/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42775</v>
      </c>
      <c r="S31" s="112">
        <f>_xll.qlInterpolationInterpolate(B3Minterpolation,R31,TRUE)</f>
        <v>3.2732336202487457E-4</v>
      </c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42776</v>
      </c>
      <c r="S32" s="112">
        <f>_xll.qlInterpolationInterpolate(B3Minterpolation,R32,TRUE)</f>
        <v>3.2815438880242845E-4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42779</v>
      </c>
      <c r="S33" s="112">
        <f>_xll.qlInterpolationInterpolate(B3Minterpolation,R33,TRUE)</f>
        <v>3.3070555203860579E-4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42780</v>
      </c>
      <c r="S34" s="112">
        <f>_xll.qlInterpolationInterpolate(B3Minterpolation,R34,TRUE)</f>
        <v>3.3157902401488262E-4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42781</v>
      </c>
      <c r="S35" s="112">
        <f>_xll.qlInterpolationInterpolate(B3Minterpolation,R35,TRUE)</f>
        <v>3.324658997381246E-4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42782</v>
      </c>
      <c r="S36" s="112">
        <f>_xll.qlInterpolationInterpolate(B3Minterpolation,R36,TRUE)</f>
        <v>3.3336729618724551E-4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42783</v>
      </c>
      <c r="S37" s="112">
        <f>_xll.qlInterpolationInterpolate(B3Minterpolation,R37,TRUE)</f>
        <v>3.3428433034115912E-4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42786</v>
      </c>
      <c r="S38" s="112">
        <f>_xll.qlInterpolationInterpolate(B3Minterpolation,R38,TRUE)</f>
        <v>3.3714042882079342E-4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42787</v>
      </c>
      <c r="S39" s="112">
        <f>_xll.qlInterpolationInterpolate(B3Minterpolation,R39,TRUE)</f>
        <v>3.381311835830153E-4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42788</v>
      </c>
      <c r="S40" s="112">
        <f>_xll.qlInterpolationInterpolate(B3Minterpolation,R40,TRUE)</f>
        <v>3.3914316094459866E-4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42789</v>
      </c>
      <c r="S41" s="112">
        <f>_xll.qlInterpolationInterpolate(B3Minterpolation,R41,TRUE)</f>
        <v>3.4017747788445726E-4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42790</v>
      </c>
      <c r="S42" s="112">
        <f>_xll.qlInterpolationInterpolate(B3Minterpolation,R42,TRUE)</f>
        <v>3.4123525138150481E-4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42793</v>
      </c>
      <c r="S43" s="112">
        <f>_xll.qlInterpolationInterpolate(B3Minterpolation,R43,TRUE)</f>
        <v>3.4456048100491921E-4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42794</v>
      </c>
      <c r="S44" s="112">
        <f>_xll.qlInterpolationInterpolate(B3Minterpolation,R44,TRUE)</f>
        <v>3.4572325051986043E-4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42795</v>
      </c>
      <c r="S45" s="112">
        <f>_xll.qlInterpolationInterpolate(B3Minterpolation,R45,TRUE)</f>
        <v>3.4691506148655944E-4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42796</v>
      </c>
      <c r="S46" s="112">
        <f>_xll.qlInterpolationInterpolate(B3Minterpolation,R46,TRUE)</f>
        <v>3.4813703088393006E-4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42797</v>
      </c>
      <c r="S47" s="112">
        <f>_xll.qlInterpolationInterpolate(B3Minterpolation,R47,TRUE)</f>
        <v>3.4938971991523276E-4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42800</v>
      </c>
      <c r="S48" s="112">
        <f>_xll.qlInterpolationInterpolate(B3Minterpolation,R48,TRUE)</f>
        <v>3.5331326271659756E-4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42801</v>
      </c>
      <c r="S49" s="112">
        <f>_xll.qlInterpolationInterpolate(B3Minterpolation,R49,TRUE)</f>
        <v>3.5466887663618626E-4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42802</v>
      </c>
      <c r="S50" s="112">
        <f>_xll.qlInterpolationInterpolate(B3Minterpolation,R50,TRUE)</f>
        <v>3.5604467759033255E-4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42803</v>
      </c>
      <c r="S51" s="112">
        <f>_xll.qlInterpolationInterpolate(B3Minterpolation,R51,TRUE)</f>
        <v>3.5743844790403099E-4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42804</v>
      </c>
      <c r="S52" s="112">
        <f>_xll.qlInterpolationInterpolate(B3Minterpolation,R52,TRUE)</f>
        <v>3.5884796990227598E-4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42807</v>
      </c>
      <c r="S53" s="112">
        <f>_xll.qlInterpolationInterpolate(B3Minterpolation,R53,TRUE)</f>
        <v>3.6314886925423493E-4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42808</v>
      </c>
      <c r="S54" s="112">
        <f>_xll.qlInterpolationInterpolate(B3Minterpolation,R54,TRUE)</f>
        <v>3.6459922124061075E-4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42809</v>
      </c>
      <c r="S55" s="112">
        <f>_xll.qlInterpolationInterpolate(B3Minterpolation,R55,TRUE)</f>
        <v>3.6605423653650549E-4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42810</v>
      </c>
      <c r="S56" s="112">
        <f>_xll.qlInterpolationInterpolate(B3Minterpolation,R56,TRUE)</f>
        <v>3.6751169746691354E-4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42811</v>
      </c>
      <c r="S57" s="112">
        <f>_xll.qlInterpolationInterpolate(B3Minterpolation,R57,TRUE)</f>
        <v>3.6896938635682942E-4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42814</v>
      </c>
      <c r="S58" s="112">
        <f>_xll.qlInterpolationInterpolate(B3Minterpolation,R58,TRUE)</f>
        <v>3.7332164403356831E-4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42815</v>
      </c>
      <c r="S59" s="112">
        <f>_xll.qlInterpolationInterpolate(B3Minterpolation,R59,TRUE)</f>
        <v>3.7475806801145995E-4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42816</v>
      </c>
      <c r="S60" s="112">
        <f>_xll.qlInterpolationInterpolate(B3Minterpolation,R60,TRUE)</f>
        <v>3.7618363157383168E-4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42817</v>
      </c>
      <c r="S61" s="112">
        <f>_xll.qlInterpolationInterpolate(B3Minterpolation,R61,TRUE)</f>
        <v>3.7759611704567795E-4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42818</v>
      </c>
      <c r="S62" s="112">
        <f>_xll.qlInterpolationInterpolate(B3Minterpolation,R62,TRUE)</f>
        <v>3.7899330675199327E-4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42821</v>
      </c>
      <c r="S63" s="112">
        <f>_xll.qlInterpolationInterpolate(B3Minterpolation,R63,TRUE)</f>
        <v>3.8307092452769789E-4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42822</v>
      </c>
      <c r="S64" s="112">
        <f>_xll.qlInterpolationInterpolate(B3Minterpolation,R64,TRUE)</f>
        <v>3.8438475442183391E-4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42823</v>
      </c>
      <c r="S65" s="112">
        <f>_xll.qlInterpolationInterpolate(B3Minterpolation,R65,TRUE)</f>
        <v>3.8567220017541123E-4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42824</v>
      </c>
      <c r="S66" s="112">
        <f>_xll.qlInterpolationInterpolate(B3Minterpolation,R66,TRUE)</f>
        <v>3.8693104411342437E-4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42825</v>
      </c>
      <c r="S67" s="112">
        <f>_xll.qlInterpolationInterpolate(B3Minterpolation,R67,TRUE)</f>
        <v>3.8815906856086771E-4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42828</v>
      </c>
      <c r="S68" s="112">
        <f>_xll.qlInterpolationInterpolate(B3Minterpolation,R68,TRUE)</f>
        <v>3.9163604820972387E-4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42829</v>
      </c>
      <c r="S69" s="112">
        <f>_xll.qlInterpolationInterpolate(B3Minterpolation,R69,TRUE)</f>
        <v>3.927194862687215E-4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42830</v>
      </c>
      <c r="S70" s="112">
        <f>_xll.qlInterpolationInterpolate(B3Minterpolation,R70,TRUE)</f>
        <v>3.9376622640545361E-4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42831</v>
      </c>
      <c r="S71" s="112">
        <f>_xll.qlInterpolationInterpolate(B3Minterpolation,R71,TRUE)</f>
        <v>3.9477926088824671E-4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42832</v>
      </c>
      <c r="S72" s="112">
        <f>_xll.qlInterpolationInterpolate(B3Minterpolation,R72,TRUE)</f>
        <v>3.9576158198542709E-4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42835</v>
      </c>
      <c r="S73" s="112">
        <f>_xll.qlInterpolationInterpolate(B3Minterpolation,R73,TRUE)</f>
        <v>3.9855418764655662E-4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42836</v>
      </c>
      <c r="S74" s="112">
        <f>_xll.qlInterpolationInterpolate(B3Minterpolation,R74,TRUE)</f>
        <v>3.9944357788455063E-4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42837</v>
      </c>
      <c r="S75" s="112">
        <f>_xll.qlInterpolationInterpolate(B3Minterpolation,R75,TRUE)</f>
        <v>4.0031721607856403E-4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42838</v>
      </c>
      <c r="S76" s="112">
        <f>_xll.qlInterpolationInterpolate(B3Minterpolation,R76,TRUE)</f>
        <v>4.0117809449692333E-4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42843</v>
      </c>
      <c r="S77" s="112">
        <f>_xll.qlInterpolationInterpolate(B3Minterpolation,R77,TRUE)</f>
        <v>4.0539581934533227E-4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42844</v>
      </c>
      <c r="S78" s="112">
        <f>_xll.qlInterpolationInterpolate(B3Minterpolation,R78,TRUE)</f>
        <v>4.0624297674462151E-4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42845</v>
      </c>
      <c r="S79" s="112">
        <f>_xll.qlInterpolationInterpolate(B3Minterpolation,R79,TRUE)</f>
        <v>4.0709832024654152E-4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42846</v>
      </c>
      <c r="S80" s="112">
        <f>_xll.qlInterpolationInterpolate(B3Minterpolation,R80,TRUE)</f>
        <v>4.0796484211941871E-4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42849</v>
      </c>
      <c r="S81" s="112">
        <f>_xll.qlInterpolationInterpolate(B3Minterpolation,R81,TRUE)</f>
        <v>4.1066140064705778E-4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42850</v>
      </c>
      <c r="S82" s="112">
        <f>_xll.qlInterpolationInterpolate(B3Minterpolation,R82,TRUE)</f>
        <v>4.1160255868702802E-4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42851</v>
      </c>
      <c r="S83" s="112">
        <f>_xll.qlInterpolationInterpolate(B3Minterpolation,R83,TRUE)</f>
        <v>4.1256985643958754E-4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42852</v>
      </c>
      <c r="S84" s="112">
        <f>_xll.qlInterpolationInterpolate(B3Minterpolation,R84,TRUE)</f>
        <v>4.1356628617306282E-4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42853</v>
      </c>
      <c r="S85" s="112">
        <f>_xll.qlInterpolationInterpolate(B3Minterpolation,R85,TRUE)</f>
        <v>4.1459484015578019E-4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42857</v>
      </c>
      <c r="S86" s="112">
        <f>_xll.qlInterpolationInterpolate(B3Minterpolation,R86,TRUE)</f>
        <v>4.1909014394559936E-4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42858</v>
      </c>
      <c r="S87" s="112">
        <f>_xll.qlInterpolationInterpolate(B3Minterpolation,R87,TRUE)</f>
        <v>4.2032330871855968E-4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42859</v>
      </c>
      <c r="S88" s="112">
        <f>_xll.qlInterpolationInterpolate(B3Minterpolation,R88,TRUE)</f>
        <v>4.2160118446553645E-4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42860</v>
      </c>
      <c r="S89" s="112">
        <f>_xll.qlInterpolationInterpolate(B3Minterpolation,R89,TRUE)</f>
        <v>4.2292139656967194E-4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42863</v>
      </c>
      <c r="S90" s="112">
        <f>_xll.qlInterpolationInterpolate(B3Minterpolation,R90,TRUE)</f>
        <v>4.2711230485645329E-4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42864</v>
      </c>
      <c r="S91" s="112">
        <f>_xll.qlInterpolationInterpolate(B3Minterpolation,R91,TRUE)</f>
        <v>4.2857811622064621E-4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42865</v>
      </c>
      <c r="S92" s="112">
        <f>_xll.qlInterpolationInterpolate(B3Minterpolation,R92,TRUE)</f>
        <v>4.3007439085770912E-4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42866</v>
      </c>
      <c r="S93" s="112">
        <f>_xll.qlInterpolationInterpolate(B3Minterpolation,R93,TRUE)</f>
        <v>4.3159875415078424E-4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42867</v>
      </c>
      <c r="S94" s="112">
        <f>_xll.qlInterpolationInterpolate(B3Minterpolation,R94,TRUE)</f>
        <v>4.3314883148301385E-4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42870</v>
      </c>
      <c r="S95" s="112">
        <f>_xll.qlInterpolationInterpolate(B3Minterpolation,R95,TRUE)</f>
        <v>4.3792960154605205E-4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42871</v>
      </c>
      <c r="S96" s="112">
        <f>_xll.qlInterpolationInterpolate(B3Minterpolation,R96,TRUE)</f>
        <v>4.3955878886632214E-4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42872</v>
      </c>
      <c r="S97" s="112">
        <f>_xll.qlInterpolationInterpolate(B3Minterpolation,R97,TRUE)</f>
        <v>4.4120181714145791E-4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42873</v>
      </c>
      <c r="S98" s="112">
        <f>_xll.qlInterpolationInterpolate(B3Minterpolation,R98,TRUE)</f>
        <v>4.4285631175460167E-4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42874</v>
      </c>
      <c r="S99" s="112">
        <f>_xll.qlInterpolationInterpolate(B3Minterpolation,R99,TRUE)</f>
        <v>4.4451989808889567E-4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42877</v>
      </c>
      <c r="S100" s="112">
        <f>_xll.qlInterpolationInterpolate(B3Minterpolation,R100,TRUE)</f>
        <v>4.4954146125010161E-4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42878</v>
      </c>
      <c r="S101" s="112">
        <f>_xll.qlInterpolationInterpolate(B3Minterpolation,R101,TRUE)</f>
        <v>4.5121766830041909E-4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42879</v>
      </c>
      <c r="S102" s="112">
        <f>_xll.qlInterpolationInterpolate(B3Minterpolation,R102,TRUE)</f>
        <v>4.5289109398759806E-4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42880</v>
      </c>
      <c r="S103" s="112">
        <f>_xll.qlInterpolationInterpolate(B3Minterpolation,R103,TRUE)</f>
        <v>4.5455936369478078E-4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42881</v>
      </c>
      <c r="S104" s="112">
        <f>_xll.qlInterpolationInterpolate(B3Minterpolation,R104,TRUE)</f>
        <v>4.5622010280510944E-4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42884</v>
      </c>
      <c r="S105" s="112">
        <f>_xll.qlInterpolationInterpolate(B3Minterpolation,R105,TRUE)</f>
        <v>4.6113339038639402E-4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42885</v>
      </c>
      <c r="S106" s="112">
        <f>_xll.qlInterpolationInterpolate(B3Minterpolation,R106,TRUE)</f>
        <v>4.6274026094072915E-4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42886</v>
      </c>
      <c r="S107" s="112">
        <f>_xll.qlInterpolationInterpolate(B3Minterpolation,R107,TRUE)</f>
        <v>4.643277278139216E-4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42887</v>
      </c>
      <c r="S108" s="112">
        <f>_xll.qlInterpolationInterpolate(B3Minterpolation,R108,TRUE)</f>
        <v>4.658934163891135E-4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42888</v>
      </c>
      <c r="S109" s="112">
        <f>_xll.qlInterpolationInterpolate(B3Minterpolation,R109,TRUE)</f>
        <v>4.6743495204944717E-4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42891</v>
      </c>
      <c r="S110" s="112">
        <f>_xll.qlInterpolationInterpolate(B3Minterpolation,R110,TRUE)</f>
        <v>4.7190899182299911E-4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42892</v>
      </c>
      <c r="S111" s="112">
        <f>_xll.qlInterpolationInterpolate(B3Minterpolation,R111,TRUE)</f>
        <v>4.7335496849459208E-4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42893</v>
      </c>
      <c r="S112" s="112">
        <f>_xll.qlInterpolationInterpolate(B3Minterpolation,R112,TRUE)</f>
        <v>4.7478100490061851E-4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42894</v>
      </c>
      <c r="S113" s="112">
        <f>_xll.qlInterpolationInterpolate(B3Minterpolation,R113,TRUE)</f>
        <v>4.7618874785761563E-4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42895</v>
      </c>
      <c r="S114" s="112">
        <f>_xll.qlInterpolationInterpolate(B3Minterpolation,R114,TRUE)</f>
        <v>4.7757984418212097E-4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42898</v>
      </c>
      <c r="S115" s="112">
        <f>_xll.qlInterpolationInterpolate(B3Minterpolation,R115,TRUE)</f>
        <v>4.8166972152605917E-4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42899</v>
      </c>
      <c r="S116" s="112">
        <f>_xll.qlInterpolationInterpolate(B3Minterpolation,R116,TRUE)</f>
        <v>4.8301069948597053E-4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42900</v>
      </c>
      <c r="S117" s="112">
        <f>_xll.qlInterpolationInterpolate(B3Minterpolation,R117,TRUE)</f>
        <v>4.8434326489607679E-4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42901</v>
      </c>
      <c r="S118" s="112">
        <f>_xll.qlInterpolationInterpolate(B3Minterpolation,R118,TRUE)</f>
        <v>4.8566906457291531E-4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42902</v>
      </c>
      <c r="S119" s="112">
        <f>_xll.qlInterpolationInterpolate(B3Minterpolation,R119,TRUE)</f>
        <v>4.8698974533302344E-4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42905</v>
      </c>
      <c r="S120" s="112">
        <f>_xll.qlInterpolationInterpolate(B3Minterpolation,R120,TRUE)</f>
        <v>4.9093754227833909E-4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42906</v>
      </c>
      <c r="S121" s="112">
        <f>_xll.qlInterpolationInterpolate(B3Minterpolation,R121,TRUE)</f>
        <v>4.9225421553689933E-4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42907</v>
      </c>
      <c r="S122" s="112">
        <f>_xll.qlInterpolationInterpolate(B3Minterpolation,R122,TRUE)</f>
        <v>4.9357400396141582E-4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42908</v>
      </c>
      <c r="S123" s="112">
        <f>_xll.qlInterpolationInterpolate(B3Minterpolation,R123,TRUE)</f>
        <v>4.9489855436842618E-4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42909</v>
      </c>
      <c r="S124" s="112">
        <f>_xll.qlInterpolationInterpolate(B3Minterpolation,R124,TRUE)</f>
        <v>4.9622951357446751E-4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42912</v>
      </c>
      <c r="S125" s="112">
        <f>_xll.qlInterpolationInterpolate(B3Minterpolation,R125,TRUE)</f>
        <v>5.0027731215215193E-4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42913</v>
      </c>
      <c r="S126" s="112">
        <f>_xll.qlInterpolationInterpolate(B3Minterpolation,R126,TRUE)</f>
        <v>5.0165037471969123E-4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42914</v>
      </c>
      <c r="S127" s="112">
        <f>_xll.qlInterpolationInterpolate(B3Minterpolation,R127,TRUE)</f>
        <v>5.0303808016894844E-4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42915</v>
      </c>
      <c r="S128" s="112">
        <f>_xll.qlInterpolationInterpolate(B3Minterpolation,R128,TRUE)</f>
        <v>5.0444207531646088E-4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42916</v>
      </c>
      <c r="S129" s="112">
        <f>_xll.qlInterpolationInterpolate(B3Minterpolation,R129,TRUE)</f>
        <v>5.0586400697876595E-4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42919</v>
      </c>
      <c r="S130" s="112">
        <f>_xll.qlInterpolationInterpolate(B3Minterpolation,R130,TRUE)</f>
        <v>5.1025388921981021E-4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42920</v>
      </c>
      <c r="S131" s="112">
        <f>_xll.qlInterpolationInterpolate(B3Minterpolation,R131,TRUE)</f>
        <v>5.1176354460115328E-4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42921</v>
      </c>
      <c r="S132" s="112">
        <f>_xll.qlInterpolationInterpolate(B3Minterpolation,R132,TRUE)</f>
        <v>5.1329642754694067E-4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42922</v>
      </c>
      <c r="S133" s="112">
        <f>_xll.qlInterpolationInterpolate(B3Minterpolation,R133,TRUE)</f>
        <v>5.1485124184067464E-4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42923</v>
      </c>
      <c r="S134" s="112">
        <f>_xll.qlInterpolationInterpolate(B3Minterpolation,R134,TRUE)</f>
        <v>5.1642669126585755E-4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42926</v>
      </c>
      <c r="S135" s="112">
        <f>_xll.qlInterpolationInterpolate(B3Minterpolation,R135,TRUE)</f>
        <v>5.2126388816512196E-4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42927</v>
      </c>
      <c r="S136" s="112">
        <f>_xll.qlInterpolationInterpolate(B3Minterpolation,R136,TRUE)</f>
        <v>5.2290891595112299E-4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42928</v>
      </c>
      <c r="S137" s="112">
        <f>_xll.qlInterpolationInterpolate(B3Minterpolation,R137,TRUE)</f>
        <v>5.2456809778608435E-4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42929</v>
      </c>
      <c r="S138" s="112">
        <f>_xll.qlInterpolationInterpolate(B3Minterpolation,R138,TRUE)</f>
        <v>5.2624013745350819E-4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42930</v>
      </c>
      <c r="S139" s="112">
        <f>_xll.qlInterpolationInterpolate(B3Minterpolation,R139,TRUE)</f>
        <v>5.2792373873689687E-4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42933</v>
      </c>
      <c r="S140" s="112">
        <f>_xll.qlInterpolationInterpolate(B3Minterpolation,R140,TRUE)</f>
        <v>5.3303095011787466E-4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42934</v>
      </c>
      <c r="S141" s="112">
        <f>_xll.qlInterpolationInterpolate(B3Minterpolation,R141,TRUE)</f>
        <v>5.347478357001455E-4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42935</v>
      </c>
      <c r="S142" s="112">
        <f>_xll.qlInterpolationInterpolate(B3Minterpolation,R142,TRUE)</f>
        <v>5.3646980181589257E-4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42936</v>
      </c>
      <c r="S143" s="112">
        <f>_xll.qlInterpolationInterpolate(B3Minterpolation,R143,TRUE)</f>
        <v>5.3819555224861814E-4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42937</v>
      </c>
      <c r="S144" s="112">
        <f>_xll.qlInterpolationInterpolate(B3Minterpolation,R144,TRUE)</f>
        <v>5.3992379078182445E-4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42940</v>
      </c>
      <c r="S145" s="112">
        <f>_xll.qlInterpolationInterpolate(B3Minterpolation,R145,TRUE)</f>
        <v>5.4511047281935118E-4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42941</v>
      </c>
      <c r="S146" s="112">
        <f>_xll.qlInterpolationInterpolate(B3Minterpolation,R146,TRUE)</f>
        <v>5.4683570158950358E-4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42942</v>
      </c>
      <c r="S147" s="112">
        <f>_xll.qlInterpolationInterpolate(B3Minterpolation,R147,TRUE)</f>
        <v>5.4855693737764812E-4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42943</v>
      </c>
      <c r="S148" s="112">
        <f>_xll.qlInterpolationInterpolate(B3Minterpolation,R148,TRUE)</f>
        <v>5.5027288396728726E-4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42944</v>
      </c>
      <c r="S149" s="112">
        <f>_xll.qlInterpolationInterpolate(B3Minterpolation,R149,TRUE)</f>
        <v>5.5198224514192305E-4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42947</v>
      </c>
      <c r="S150" s="112">
        <f>_xll.qlInterpolationInterpolate(B3Minterpolation,R150,TRUE)</f>
        <v>5.5705785401083407E-4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42948</v>
      </c>
      <c r="S151" s="112">
        <f>_xll.qlInterpolationInterpolate(B3Minterpolation,R151,TRUE)</f>
        <v>5.5872791136047978E-4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42949</v>
      </c>
      <c r="S152" s="112">
        <f>_xll.qlInterpolationInterpolate(B3Minterpolation,R152,TRUE)</f>
        <v>5.6038490221263374E-4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42950</v>
      </c>
      <c r="S153" s="112">
        <f>_xll.qlInterpolationInterpolate(B3Minterpolation,R153,TRUE)</f>
        <v>5.6202784003765835E-4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42951</v>
      </c>
      <c r="S154" s="112">
        <f>_xll.qlInterpolationInterpolate(B3Minterpolation,R154,TRUE)</f>
        <v>5.6365697705335711E-4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42954</v>
      </c>
      <c r="S155" s="112">
        <f>_xll.qlInterpolationInterpolate(B3Minterpolation,R155,TRUE)</f>
        <v>5.6846720229113427E-4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42955</v>
      </c>
      <c r="S156" s="112">
        <f>_xll.qlInterpolationInterpolate(B3Minterpolation,R156,TRUE)</f>
        <v>5.7004675511616583E-4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42956</v>
      </c>
      <c r="S157" s="112">
        <f>_xll.qlInterpolationInterpolate(B3Minterpolation,R157,TRUE)</f>
        <v>5.7161531665518963E-4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42957</v>
      </c>
      <c r="S158" s="112">
        <f>_xll.qlInterpolationInterpolate(B3Minterpolation,R158,TRUE)</f>
        <v>5.7317344881286942E-4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42958</v>
      </c>
      <c r="S159" s="112">
        <f>_xll.qlInterpolationInterpolate(B3Minterpolation,R159,TRUE)</f>
        <v>5.7472171349386885E-4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42961</v>
      </c>
      <c r="S160" s="112">
        <f>_xll.qlInterpolationInterpolate(B3Minterpolation,R160,TRUE)</f>
        <v>5.7931292172342091E-4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42962</v>
      </c>
      <c r="S161" s="112">
        <f>_xll.qlInterpolationInterpolate(B3Minterpolation,R161,TRUE)</f>
        <v>5.8082733554433506E-4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42963</v>
      </c>
      <c r="S162" s="112">
        <f>_xll.qlInterpolationInterpolate(B3Minterpolation,R162,TRUE)</f>
        <v>5.8233469141188694E-4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42964</v>
      </c>
      <c r="S163" s="112">
        <f>_xll.qlInterpolationInterpolate(B3Minterpolation,R163,TRUE)</f>
        <v>5.838355512307403E-4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42965</v>
      </c>
      <c r="S164" s="112">
        <f>_xll.qlInterpolationInterpolate(B3Minterpolation,R164,TRUE)</f>
        <v>5.8533047690555878E-4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42968</v>
      </c>
      <c r="S165" s="112">
        <f>_xll.qlInterpolationInterpolate(B3Minterpolation,R165,TRUE)</f>
        <v>5.8978526811244089E-4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42969</v>
      </c>
      <c r="S166" s="112">
        <f>_xll.qlInterpolationInterpolate(B3Minterpolation,R166,TRUE)</f>
        <v>5.9126207625775603E-4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42970</v>
      </c>
      <c r="S167" s="112">
        <f>_xll.qlInterpolationInterpolate(B3Minterpolation,R167,TRUE)</f>
        <v>5.9273575978235449E-4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42971</v>
      </c>
      <c r="S168" s="112">
        <f>_xll.qlInterpolationInterpolate(B3Minterpolation,R168,TRUE)</f>
        <v>5.942068805908998E-4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42972</v>
      </c>
      <c r="S169" s="112">
        <f>_xll.qlInterpolationInterpolate(B3Minterpolation,R169,TRUE)</f>
        <v>5.956760005880556E-4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42975</v>
      </c>
      <c r="S170" s="112">
        <f>_xll.qlInterpolationInterpolate(B3Minterpolation,R170,TRUE)</f>
        <v>6.0007697475782302E-4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42976</v>
      </c>
      <c r="S171" s="112">
        <f>_xll.qlInterpolationInterpolate(B3Minterpolation,R171,TRUE)</f>
        <v>6.0154371055605753E-4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42977</v>
      </c>
      <c r="S172" s="112">
        <f>_xll.qlInterpolationInterpolate(B3Minterpolation,R172,TRUE)</f>
        <v>6.0301125506622083E-4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42978</v>
      </c>
      <c r="S173" s="112">
        <f>_xll.qlInterpolationInterpolate(B3Minterpolation,R173,TRUE)</f>
        <v>6.0448017019297648E-4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42979</v>
      </c>
      <c r="S174" s="112">
        <f>_xll.qlInterpolationInterpolate(B3Minterpolation,R174,TRUE)</f>
        <v>6.0595101784098821E-4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42982</v>
      </c>
      <c r="S175" s="112">
        <f>_xll.qlInterpolationInterpolate(B3Minterpolation,R175,TRUE)</f>
        <v>6.1038077495919598E-4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42983</v>
      </c>
      <c r="S176" s="112">
        <f>_xll.qlInterpolationInterpolate(B3Minterpolation,R176,TRUE)</f>
        <v>6.1186463240932559E-4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42984</v>
      </c>
      <c r="S177" s="112">
        <f>_xll.qlInterpolationInterpolate(B3Minterpolation,R177,TRUE)</f>
        <v>6.1335119592677333E-4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42985</v>
      </c>
      <c r="S178" s="112">
        <f>_xll.qlInterpolationInterpolate(B3Minterpolation,R178,TRUE)</f>
        <v>6.1483899143894671E-4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42986</v>
      </c>
      <c r="S179" s="112">
        <f>_xll.qlInterpolationInterpolate(B3Minterpolation,R179,TRUE)</f>
        <v>6.1632654487325323E-4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42989</v>
      </c>
      <c r="S180" s="112">
        <f>_xll.qlInterpolationInterpolate(B3Minterpolation,R180,TRUE)</f>
        <v>6.2077301198304729E-4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42990</v>
      </c>
      <c r="S181" s="112">
        <f>_xll.qlInterpolationInterpolate(B3Minterpolation,R181,TRUE)</f>
        <v>6.2224485637996183E-4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42991</v>
      </c>
      <c r="S182" s="112">
        <f>_xll.qlInterpolationInterpolate(B3Minterpolation,R182,TRUE)</f>
        <v>6.237090883360472E-4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42992</v>
      </c>
      <c r="S183" s="112">
        <f>_xll.qlInterpolationInterpolate(B3Minterpolation,R183,TRUE)</f>
        <v>6.2516423377871079E-4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42993</v>
      </c>
      <c r="S184" s="112">
        <f>_xll.qlInterpolationInterpolate(B3Minterpolation,R184,TRUE)</f>
        <v>6.2660881863536042E-4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42996</v>
      </c>
      <c r="S185" s="112">
        <f>_xll.qlInterpolationInterpolate(B3Minterpolation,R185,TRUE)</f>
        <v>6.3086446896329937E-4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42997</v>
      </c>
      <c r="S186" s="112">
        <f>_xll.qlInterpolationInterpolate(B3Minterpolation,R186,TRUE)</f>
        <v>6.3225207074996755E-4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42998</v>
      </c>
      <c r="S187" s="112">
        <f>_xll.qlInterpolationInterpolate(B3Minterpolation,R187,TRUE)</f>
        <v>6.3362174158765935E-4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42999</v>
      </c>
      <c r="S188" s="112">
        <f>_xll.qlInterpolationInterpolate(B3Minterpolation,R188,TRUE)</f>
        <v>6.3497200740378205E-4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43000</v>
      </c>
      <c r="S189" s="112">
        <f>_xll.qlInterpolationInterpolate(B3Minterpolation,R189,TRUE)</f>
        <v>6.3630139412574325E-4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43003</v>
      </c>
      <c r="S190" s="112">
        <f>_xll.qlInterpolationInterpolate(B3Minterpolation,R190,TRUE)</f>
        <v>6.4014953900073349E-4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43004</v>
      </c>
      <c r="S191" s="112">
        <f>_xll.qlInterpolationInterpolate(B3Minterpolation,R191,TRUE)</f>
        <v>6.413806686201241E-4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43005</v>
      </c>
      <c r="S192" s="112">
        <f>_xll.qlInterpolationInterpolate(B3Minterpolation,R192,TRUE)</f>
        <v>6.4258354878239091E-4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43006</v>
      </c>
      <c r="S193" s="112">
        <f>_xll.qlInterpolationInterpolate(B3Minterpolation,R193,TRUE)</f>
        <v>6.4375670541494141E-4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43007</v>
      </c>
      <c r="S194" s="112">
        <f>_xll.qlInterpolationInterpolate(B3Minterpolation,R194,TRUE)</f>
        <v>6.448986644451831E-4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43010</v>
      </c>
      <c r="S195" s="112">
        <f>_xll.qlInterpolationInterpolate(B3Minterpolation,R195,TRUE)</f>
        <v>6.4812261519613069E-4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43011</v>
      </c>
      <c r="S196" s="112">
        <f>_xll.qlInterpolationInterpolate(B3Minterpolation,R196,TRUE)</f>
        <v>6.4912549164708726E-4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43012</v>
      </c>
      <c r="S197" s="112">
        <f>_xll.qlInterpolationInterpolate(B3Minterpolation,R197,TRUE)</f>
        <v>6.5009249146802167E-4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43013</v>
      </c>
      <c r="S198" s="112">
        <f>_xll.qlInterpolationInterpolate(B3Minterpolation,R198,TRUE)</f>
        <v>6.5102483192159004E-4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43014</v>
      </c>
      <c r="S199" s="112">
        <f>_xll.qlInterpolationInterpolate(B3Minterpolation,R199,TRUE)</f>
        <v>6.5192373027044904E-4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43017</v>
      </c>
      <c r="S200" s="112">
        <f>_xll.qlInterpolationInterpolate(B3Minterpolation,R200,TRUE)</f>
        <v>6.5443194531533309E-4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43018</v>
      </c>
      <c r="S201" s="112">
        <f>_xll.qlInterpolationInterpolate(B3Minterpolation,R201,TRUE)</f>
        <v>6.5520924787191822E-4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43019</v>
      </c>
      <c r="S202" s="112">
        <f>_xll.qlInterpolationInterpolate(B3Minterpolation,R202,TRUE)</f>
        <v>6.5595919463707578E-4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43020</v>
      </c>
      <c r="S203" s="112">
        <f>_xll.qlInterpolationInterpolate(B3Minterpolation,R203,TRUE)</f>
        <v>6.5668300287346235E-4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43021</v>
      </c>
      <c r="S204" s="112">
        <f>_xll.qlInterpolationInterpolate(B3Minterpolation,R204,TRUE)</f>
        <v>6.5738188984373425E-4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43024</v>
      </c>
      <c r="S205" s="112">
        <f>_xll.qlInterpolationInterpolate(B3Minterpolation,R205,TRUE)</f>
        <v>6.5934119578442613E-4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43025</v>
      </c>
      <c r="S206" s="112">
        <f>_xll.qlInterpolationInterpolate(B3Minterpolation,R206,TRUE)</f>
        <v>6.5995257031680333E-4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43026</v>
      </c>
      <c r="S207" s="112">
        <f>_xll.qlInterpolationInterpolate(B3Minterpolation,R207,TRUE)</f>
        <v>6.60545109896348E-4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43027</v>
      </c>
      <c r="S208" s="112">
        <f>_xll.qlInterpolationInterpolate(B3Minterpolation,R208,TRUE)</f>
        <v>6.6112003178571649E-4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43028</v>
      </c>
      <c r="S209" s="112">
        <f>_xll.qlInterpolationInterpolate(B3Minterpolation,R209,TRUE)</f>
        <v>6.6167855324756502E-4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43031</v>
      </c>
      <c r="S210" s="112">
        <f>_xll.qlInterpolationInterpolate(B3Minterpolation,R210,TRUE)</f>
        <v>6.6326788769455571E-4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43032</v>
      </c>
      <c r="S211" s="112">
        <f>_xll.qlInterpolationInterpolate(B3Minterpolation,R211,TRUE)</f>
        <v>6.6377298007288903E-4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43033</v>
      </c>
      <c r="S212" s="112">
        <f>_xll.qlInterpolationInterpolate(B3Minterpolation,R212,TRUE)</f>
        <v>6.6426775833698442E-4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43034</v>
      </c>
      <c r="S213" s="112">
        <f>_xll.qlInterpolationInterpolate(B3Minterpolation,R213,TRUE)</f>
        <v>6.6475343974949845E-4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43035</v>
      </c>
      <c r="S214" s="112">
        <f>_xll.qlInterpolationInterpolate(B3Minterpolation,R214,TRUE)</f>
        <v>6.6523124157308734E-4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43038</v>
      </c>
      <c r="S215" s="112">
        <f>_xll.qlInterpolationInterpolate(B3Minterpolation,R215,TRUE)</f>
        <v>6.6662954213686824E-4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43039</v>
      </c>
      <c r="S216" s="112">
        <f>_xll.qlInterpolationInterpolate(B3Minterpolation,R216,TRUE)</f>
        <v>6.6708799823132119E-4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43040</v>
      </c>
      <c r="S217" s="112">
        <f>_xll.qlInterpolationInterpolate(B3Minterpolation,R217,TRUE)</f>
        <v>6.6754466105013114E-4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43041</v>
      </c>
      <c r="S218" s="112">
        <f>_xll.qlInterpolationInterpolate(B3Minterpolation,R218,TRUE)</f>
        <v>6.6800074785595444E-4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43042</v>
      </c>
      <c r="S219" s="112">
        <f>_xll.qlInterpolationInterpolate(B3Minterpolation,R219,TRUE)</f>
        <v>6.6845751160816947E-4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43045</v>
      </c>
      <c r="S220" s="112">
        <f>_xll.qlInterpolationInterpolate(B3Minterpolation,R220,TRUE)</f>
        <v>6.69845964792714E-4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43046</v>
      </c>
      <c r="S221" s="112">
        <f>_xll.qlInterpolationInterpolate(B3Minterpolation,R221,TRUE)</f>
        <v>6.7031960797348889E-4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43047</v>
      </c>
      <c r="S222" s="112">
        <f>_xll.qlInterpolationInterpolate(B3Minterpolation,R222,TRUE)</f>
        <v>6.7080104961887374E-4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43048</v>
      </c>
      <c r="S223" s="112">
        <f>_xll.qlInterpolationInterpolate(B3Minterpolation,R223,TRUE)</f>
        <v>6.7129172117185668E-4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43049</v>
      </c>
      <c r="S224" s="112">
        <f>_xll.qlInterpolationInterpolate(B3Minterpolation,R224,TRUE)</f>
        <v>6.7179305407542595E-4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43052</v>
      </c>
      <c r="S225" s="112">
        <f>_xll.qlInterpolationInterpolate(B3Minterpolation,R225,TRUE)</f>
        <v>6.7337533531953097E-4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43053</v>
      </c>
      <c r="S226" s="112">
        <f>_xll.qlInterpolationInterpolate(B3Minterpolation,R226,TRUE)</f>
        <v>6.7393362805532534E-4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43054</v>
      </c>
      <c r="S227" s="112">
        <f>_xll.qlInterpolationInterpolate(B3Minterpolation,R227,TRUE)</f>
        <v>6.7450973935664622E-4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43055</v>
      </c>
      <c r="S228" s="112">
        <f>_xll.qlInterpolationInterpolate(B3Minterpolation,R228,TRUE)</f>
        <v>6.7510510066648151E-4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43056</v>
      </c>
      <c r="S229" s="112">
        <f>_xll.qlInterpolationInterpolate(B3Minterpolation,R229,TRUE)</f>
        <v>6.7572114342781943E-4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43059</v>
      </c>
      <c r="S230" s="112">
        <f>_xll.qlInterpolationInterpolate(B3Minterpolation,R230,TRUE)</f>
        <v>6.7770767485072884E-4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43060</v>
      </c>
      <c r="S231" s="112">
        <f>_xll.qlInterpolationInterpolate(B3Minterpolation,R231,TRUE)</f>
        <v>6.7842075784795746E-4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43061</v>
      </c>
      <c r="S232" s="112">
        <f>_xll.qlInterpolationInterpolate(B3Minterpolation,R232,TRUE)</f>
        <v>6.7916167951162889E-4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43062</v>
      </c>
      <c r="S233" s="112">
        <f>_xll.qlInterpolationInterpolate(B3Minterpolation,R233,TRUE)</f>
        <v>6.7993187128473115E-4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43063</v>
      </c>
      <c r="S234" s="112">
        <f>_xll.qlInterpolationInterpolate(B3Minterpolation,R234,TRUE)</f>
        <v>6.8073276461025236E-4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43066</v>
      </c>
      <c r="S235" s="112">
        <f>_xll.qlInterpolationInterpolate(B3Minterpolation,R235,TRUE)</f>
        <v>6.8333396833121008E-4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43067</v>
      </c>
      <c r="S236" s="112">
        <f>_xll.qlInterpolationInterpolate(B3Minterpolation,R236,TRUE)</f>
        <v>6.8427198229628746E-4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43068</v>
      </c>
      <c r="S237" s="112">
        <f>_xll.qlInterpolationInterpolate(B3Minterpolation,R237,TRUE)</f>
        <v>6.8524785502872409E-4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43069</v>
      </c>
      <c r="S238" s="112">
        <f>_xll.qlInterpolationInterpolate(B3Minterpolation,R238,TRUE)</f>
        <v>6.8626301797150796E-4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43070</v>
      </c>
      <c r="S239" s="112">
        <f>_xll.qlInterpolationInterpolate(B3Minterpolation,R239,TRUE)</f>
        <v>6.873189025676271E-4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43073</v>
      </c>
      <c r="S240" s="112">
        <f>_xll.qlInterpolationInterpolate(B3Minterpolation,R240,TRUE)</f>
        <v>6.9074520070587682E-4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43074</v>
      </c>
      <c r="S241" s="112">
        <f>_xll.qlInterpolationInterpolate(B3Minterpolation,R241,TRUE)</f>
        <v>6.9197781295669478E-4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43075</v>
      </c>
      <c r="S242" s="112">
        <f>_xll.qlInterpolationInterpolate(B3Minterpolation,R242,TRUE)</f>
        <v>6.9325546374465058E-4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43076</v>
      </c>
      <c r="S243" s="112">
        <f>_xll.qlInterpolationInterpolate(B3Minterpolation,R243,TRUE)</f>
        <v>6.9457674418159474E-4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43077</v>
      </c>
      <c r="S244" s="112">
        <f>_xll.qlInterpolationInterpolate(B3Minterpolation,R244,TRUE)</f>
        <v>6.9594024537937766E-4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43080</v>
      </c>
      <c r="S245" s="112">
        <f>_xll.qlInterpolationInterpolate(B3Minterpolation,R245,TRUE)</f>
        <v>7.0026998465626299E-4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43081</v>
      </c>
      <c r="S246" s="112">
        <f>_xll.qlInterpolationInterpolate(B3Minterpolation,R246,TRUE)</f>
        <v>7.0178828001590506E-4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43082</v>
      </c>
      <c r="S247" s="112">
        <f>_xll.qlInterpolationInterpolate(B3Minterpolation,R247,TRUE)</f>
        <v>7.0334175169563782E-4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43083</v>
      </c>
      <c r="S248" s="112">
        <f>_xll.qlInterpolationInterpolate(B3Minterpolation,R248,TRUE)</f>
        <v>7.0492899080731191E-4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43084</v>
      </c>
      <c r="S249" s="112">
        <f>_xll.qlInterpolationInterpolate(B3Minterpolation,R249,TRUE)</f>
        <v>7.0654858846277762E-4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43087</v>
      </c>
      <c r="S250" s="112">
        <f>_xll.qlInterpolationInterpolate(B3Minterpolation,R250,TRUE)</f>
        <v>7.1158744381042869E-4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43088</v>
      </c>
      <c r="S251" s="112">
        <f>_xll.qlInterpolationInterpolate(B3Minterpolation,R251,TRUE)</f>
        <v>7.1332238675956509E-4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43089</v>
      </c>
      <c r="S252" s="112">
        <f>_xll.qlInterpolationInterpolate(B3Minterpolation,R252,TRUE)</f>
        <v>7.1508264381174515E-4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43090</v>
      </c>
      <c r="S253" s="112">
        <f>_xll.qlInterpolationInterpolate(B3Minterpolation,R253,TRUE)</f>
        <v>7.1686680607881939E-4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43091</v>
      </c>
      <c r="S254" s="112">
        <f>_xll.qlInterpolationInterpolate(B3Minterpolation,R254,TRUE)</f>
        <v>7.1867346467263812E-4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43096</v>
      </c>
      <c r="S255" s="112">
        <f>_xll.qlInterpolationInterpolate(B3Minterpolation,R255,TRUE)</f>
        <v>7.2799489145766423E-4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43097</v>
      </c>
      <c r="S256" s="112">
        <f>_xll.qlInterpolationInterpolate(B3Minterpolation,R256,TRUE)</f>
        <v>7.2990694136080886E-4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43098</v>
      </c>
      <c r="S257" s="112">
        <f>_xll.qlInterpolationInterpolate(B3Minterpolation,R257,TRUE)</f>
        <v>7.3183162537365082E-4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43102</v>
      </c>
      <c r="S258" s="112">
        <f>_xll.qlInterpolationInterpolate(B3Minterpolation,R258,TRUE)</f>
        <v>7.3962852475900143E-4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43103</v>
      </c>
      <c r="S259" s="112">
        <f>_xll.qlInterpolationInterpolate(B3Minterpolation,R259,TRUE)</f>
        <v>7.4159540083205597E-4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8">
        <f>_xll.qlCalendarAdvance(Calendar,R259,"1D","f")</f>
        <v>43104</v>
      </c>
      <c r="S260" s="121">
        <f>_xll.qlInterpolationInterpolate(B3Minterpolation,R260,TRUE)</f>
        <v>7.4356738668972559E-4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231"/>
      <c r="S261" s="231"/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V484" s="86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</sheetData>
  <dataValidations count="1">
    <dataValidation type="list" allowBlank="1" showInputMessage="1" showErrorMessage="1" sqref="M3:M15 M17:M2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384"/>
  <sheetViews>
    <sheetView showGridLines="0" topLeftCell="A2" workbookViewId="0">
      <selection activeCell="D2" sqref="D2"/>
    </sheetView>
  </sheetViews>
  <sheetFormatPr defaultColWidth="9.33203125"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_xll.qlInterpolation(,interpolator6M,_xll.ohFilter(E3:E20,M3:M20),_xll.ohFilter(L3:L20,M3:M20))</f>
        <v>obj_0048a#0004</v>
      </c>
    </row>
    <row r="2" spans="1:19" ht="26.4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117</v>
      </c>
      <c r="H2" s="87" t="str">
        <f>F1&amp;" Market quote"</f>
        <v>6M Market quote</v>
      </c>
      <c r="I2" s="87" t="s">
        <v>118</v>
      </c>
      <c r="J2" s="87" t="s">
        <v>119</v>
      </c>
      <c r="K2" s="87" t="s">
        <v>120</v>
      </c>
      <c r="L2" s="87" t="s">
        <v>130</v>
      </c>
      <c r="M2" s="87" t="s">
        <v>78</v>
      </c>
      <c r="N2" s="87" t="s">
        <v>124</v>
      </c>
      <c r="O2" s="87" t="s">
        <v>133</v>
      </c>
      <c r="P2" s="87" t="s">
        <v>121</v>
      </c>
      <c r="R2" s="87" t="s">
        <v>100</v>
      </c>
      <c r="S2" s="87" t="s">
        <v>124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42737</v>
      </c>
      <c r="F3" s="245">
        <f>_xll.qlCalendarAdvance(Calendar,E3,$F$1,"mf",,Trigger)</f>
        <v>42919</v>
      </c>
      <c r="G3" s="95">
        <f>_xll.qlDayCounterYearFraction(DayCounter,E3,F3,,,Trigger)</f>
        <v>0.50555555555555554</v>
      </c>
      <c r="H3" s="246">
        <f>_xll.qlQuoteValue(D3,LastFixingsTrigger)</f>
        <v>-2.2100000000000002E-3</v>
      </c>
      <c r="I3" s="247">
        <f>_xll.qlYieldTSDiscount(OvernightCurve,E3,,AllTriggers)</f>
        <v>1.0000352787656608</v>
      </c>
      <c r="J3" s="247">
        <f>_xll.qlYieldTSDiscount(OvernightCurve,F3,,AllTriggers)</f>
        <v>1.0017944448536091</v>
      </c>
      <c r="K3" s="246">
        <f>(I3/J3-1)/G3</f>
        <v>-3.4734362950687822E-3</v>
      </c>
      <c r="L3" s="246">
        <f>H3-K3</f>
        <v>1.2634362950687821E-3</v>
      </c>
      <c r="M3" s="233" t="b">
        <v>0</v>
      </c>
      <c r="N3" s="239">
        <f>_xll.qlInterpolationInterpolate($N$1,E3,TRUE)</f>
        <v>1.2450780664861696E-3</v>
      </c>
      <c r="O3" s="240">
        <f>(L3-N3)*10000</f>
        <v>0.18358228582612476</v>
      </c>
      <c r="P3" s="274">
        <f t="shared" ref="P3:P5" si="0">LN((1+H3*G3)/(1+K3*G3))</f>
        <v>6.3965621964441773E-4</v>
      </c>
      <c r="R3" s="109">
        <f>E3</f>
        <v>42737</v>
      </c>
      <c r="S3" s="235">
        <f>_xll.qlInterpolationInterpolate(B6Minterpolation,R3,TRUE)</f>
        <v>1.2450780664861696E-3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42768</v>
      </c>
      <c r="F4" s="114">
        <f>_xll.qlCalendarAdvance(Calendar,E4,$F$1,"mf",,Trigger)</f>
        <v>42949</v>
      </c>
      <c r="G4" s="100">
        <f>_xll.qlDayCounterYearFraction(DayCounter,E4,F4,,,Trigger)</f>
        <v>0.50277777777777777</v>
      </c>
      <c r="H4" s="112">
        <f>_xll.qlQuoteValue(D4,AllTriggers)</f>
        <v>-2.16E-3</v>
      </c>
      <c r="I4" s="111">
        <f>_xll.qlYieldTSDiscount(OvernightCurve,E4,,AllTriggers)</f>
        <v>1.0003350458344147</v>
      </c>
      <c r="J4" s="111">
        <f>_xll.qlYieldTSDiscount(OvernightCurve,F4,,AllTriggers)</f>
        <v>1.002080087952258</v>
      </c>
      <c r="K4" s="112">
        <f t="shared" ref="K4:K21" si="2">(I4/J4-1)/G4</f>
        <v>-3.4635974150857879E-3</v>
      </c>
      <c r="L4" s="125">
        <f t="shared" ref="L4:L21" si="3">H4-K4</f>
        <v>1.3035974150857879E-3</v>
      </c>
      <c r="M4" s="50" t="b">
        <v>1</v>
      </c>
      <c r="N4" s="112">
        <f>_xll.qlInterpolationInterpolate($N$1,E4,TRUE)</f>
        <v>1.3035974150857879E-3</v>
      </c>
      <c r="O4" s="242">
        <f t="shared" ref="O4:O21" si="4">(L4-N4)*10000</f>
        <v>0</v>
      </c>
      <c r="P4" s="237">
        <f t="shared" si="0"/>
        <v>6.5634772027659157E-4</v>
      </c>
      <c r="R4" s="114">
        <f>_xll.qlCalendarAdvance(Calendar,R3,"1D","f")</f>
        <v>42738</v>
      </c>
      <c r="S4" s="236">
        <f>_xll.qlInterpolationInterpolate(B6Minterpolation,R4,TRUE)</f>
        <v>1.2471247711062193E-3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42796</v>
      </c>
      <c r="F5" s="114">
        <f>_xll.qlCalendarAdvance(Calendar,E5,$F$1,"mf",,Trigger)</f>
        <v>42982</v>
      </c>
      <c r="G5" s="100">
        <f>_xll.qlDayCounterYearFraction(DayCounter,E5,F5,,,Trigger)</f>
        <v>0.51666666666666672</v>
      </c>
      <c r="H5" s="112">
        <f>_xll.qlQuoteValue(D5,AllTriggers)</f>
        <v>-2.1000000000000003E-3</v>
      </c>
      <c r="I5" s="115">
        <f>_xll.qlYieldTSDiscount(OvernightCurve,E5,,AllTriggers)</f>
        <v>1.0006059576967901</v>
      </c>
      <c r="J5" s="115">
        <f>_xll.qlYieldTSDiscount(OvernightCurve,F5,,AllTriggers)</f>
        <v>1.0023958476558112</v>
      </c>
      <c r="K5" s="112">
        <f t="shared" si="2"/>
        <v>-3.4560230417894407E-3</v>
      </c>
      <c r="L5" s="112">
        <f t="shared" si="3"/>
        <v>1.3560230417894404E-3</v>
      </c>
      <c r="M5" s="50" t="b">
        <v>1</v>
      </c>
      <c r="N5" s="112">
        <f>_xll.qlInterpolationInterpolate($N$1,E5,TRUE)</f>
        <v>1.3560230417894404E-3</v>
      </c>
      <c r="O5" s="242">
        <f t="shared" si="4"/>
        <v>0</v>
      </c>
      <c r="P5" s="237">
        <f t="shared" si="0"/>
        <v>7.0161897155155675E-4</v>
      </c>
      <c r="R5" s="114">
        <f>_xll.qlCalendarAdvance(Calendar,R4,"1D","f")</f>
        <v>42739</v>
      </c>
      <c r="S5" s="236">
        <f>_xll.qlInterpolationInterpolate(B6Minterpolation,R5,TRUE)</f>
        <v>1.249155837985533E-3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42828</v>
      </c>
      <c r="F6" s="114">
        <f>_xll.qlCalendarAdvance(Calendar,E6,$F$1,"mf",,Trigger)</f>
        <v>43011</v>
      </c>
      <c r="G6" s="100">
        <f>_xll.qlDayCounterYearFraction(DayCounter,E6,F6,,,Trigger)</f>
        <v>0.5083333333333333</v>
      </c>
      <c r="H6" s="112">
        <f>_xll.qlQuoteValue(D6,AllTriggers)</f>
        <v>-2.0200000000000001E-3</v>
      </c>
      <c r="I6" s="115">
        <f>_xll.qlYieldTSDiscount(OvernightCurve,E6,,AllTriggers)</f>
        <v>1.0009153176886199</v>
      </c>
      <c r="J6" s="115">
        <f>_xll.qlYieldTSDiscount(OvernightCurve,F6,,AllTriggers)</f>
        <v>1.0026708442275565</v>
      </c>
      <c r="K6" s="112">
        <f t="shared" si="2"/>
        <v>-3.444295653530717E-3</v>
      </c>
      <c r="L6" s="112">
        <f t="shared" si="3"/>
        <v>1.4242956535307169E-3</v>
      </c>
      <c r="M6" s="50" t="b">
        <v>1</v>
      </c>
      <c r="N6" s="112">
        <f>_xll.qlInterpolationInterpolate($N$1,E6,TRUE)</f>
        <v>1.4242956535307169E-3</v>
      </c>
      <c r="O6" s="242">
        <f t="shared" si="4"/>
        <v>0</v>
      </c>
      <c r="P6" s="237">
        <f t="shared" ref="P6:P21" si="6">LN((1+H6*G6)/(1+K6*G6))</f>
        <v>7.2502393247898952E-4</v>
      </c>
      <c r="R6" s="114">
        <f>_xll.qlCalendarAdvance(Calendar,R5,"1D","f")</f>
        <v>42740</v>
      </c>
      <c r="S6" s="236">
        <f>_xll.qlInterpolationInterpolate(B6Minterpolation,R6,TRUE)</f>
        <v>1.2511717883821353E-3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42857</v>
      </c>
      <c r="F7" s="114">
        <f>_xll.qlCalendarAdvance(Calendar,E7,$F$1,"mf",,Trigger)</f>
        <v>43041</v>
      </c>
      <c r="G7" s="100">
        <f>_xll.qlDayCounterYearFraction(DayCounter,E7,F7,,,Trigger)</f>
        <v>0.51111111111111107</v>
      </c>
      <c r="H7" s="112">
        <f>_xll.qlQuoteValue(D7,AllTriggers)</f>
        <v>-1.9500000000000001E-3</v>
      </c>
      <c r="I7" s="115">
        <f>_xll.qlYieldTSDiscount(OvernightCurve,E7,,AllTriggers)</f>
        <v>1.0011968203438091</v>
      </c>
      <c r="J7" s="115">
        <f>_xll.qlYieldTSDiscount(OvernightCurve,F7,,AllTriggers)</f>
        <v>1.0029542054771392</v>
      </c>
      <c r="K7" s="112">
        <f t="shared" si="2"/>
        <v>-3.4282345082239326E-3</v>
      </c>
      <c r="L7" s="112">
        <f t="shared" si="3"/>
        <v>1.4782345082239325E-3</v>
      </c>
      <c r="M7" s="50" t="b">
        <v>0</v>
      </c>
      <c r="N7" s="112">
        <f>_xll.qlInterpolationInterpolate($N$1,E7,TRUE)</f>
        <v>1.4844242806591487E-3</v>
      </c>
      <c r="O7" s="242">
        <f t="shared" si="4"/>
        <v>-6.1897724352162446E-2</v>
      </c>
      <c r="P7" s="237">
        <f t="shared" si="6"/>
        <v>7.5658199284152285E-4</v>
      </c>
      <c r="R7" s="114">
        <f>_xll.qlCalendarAdvance(Calendar,R6,"1D","f")</f>
        <v>42741</v>
      </c>
      <c r="S7" s="236">
        <f>_xll.qlInterpolationInterpolate(B6Minterpolation,R7,TRUE)</f>
        <v>1.2531731435540508E-3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42888</v>
      </c>
      <c r="F8" s="114">
        <f>_xll.qlCalendarAdvance(Calendar,E8,$F$1,"mf",,Trigger)</f>
        <v>43073</v>
      </c>
      <c r="G8" s="100">
        <f>_xll.qlDayCounterYearFraction(DayCounter,E8,F8,,,Trigger)</f>
        <v>0.51388888888888884</v>
      </c>
      <c r="H8" s="112">
        <f>_xll.qlQuoteValue(D8,AllTriggers)</f>
        <v>-1.8699999999999999E-3</v>
      </c>
      <c r="I8" s="115">
        <f>_xll.qlYieldTSDiscount(OvernightCurve,E8,,AllTriggers)</f>
        <v>1.0014961447971529</v>
      </c>
      <c r="J8" s="115">
        <f>_xll.qlYieldTSDiscount(OvernightCurve,F8,,AllTriggers)</f>
        <v>1.0032556507086401</v>
      </c>
      <c r="K8" s="112">
        <f t="shared" si="2"/>
        <v>-3.4127925348917385E-3</v>
      </c>
      <c r="L8" s="112">
        <f t="shared" si="3"/>
        <v>1.5427925348917386E-3</v>
      </c>
      <c r="M8" s="50" t="b">
        <v>0</v>
      </c>
      <c r="N8" s="112">
        <f>_xll.qlInterpolationInterpolate($N$1,E8,TRUE)</f>
        <v>1.5447278230664675E-3</v>
      </c>
      <c r="O8" s="242">
        <f t="shared" si="4"/>
        <v>-1.9352881747288723E-2</v>
      </c>
      <c r="P8" s="237">
        <f t="shared" si="6"/>
        <v>7.9390161268324492E-4</v>
      </c>
      <c r="R8" s="114">
        <f>_xll.qlCalendarAdvance(Calendar,R7,"1D","f")</f>
        <v>42744</v>
      </c>
      <c r="S8" s="236">
        <f>_xll.qlInterpolationInterpolate(B6Minterpolation,R8,TRUE)</f>
        <v>1.2590948503019221E-3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42919</v>
      </c>
      <c r="F9" s="114">
        <f>_xll.qlCalendarAdvance(Calendar,E9,$F$1,"mf",,Trigger)</f>
        <v>43103</v>
      </c>
      <c r="G9" s="100">
        <f>_xll.qlDayCounterYearFraction(DayCounter,E9,F9,,,Trigger)</f>
        <v>0.51111111111111107</v>
      </c>
      <c r="H9" s="112">
        <f>_xll.qlQuoteValue(D9,AllTriggers)</f>
        <v>-1.7899999999999999E-3</v>
      </c>
      <c r="I9" s="115">
        <f>_xll.qlYieldTSDiscount(OvernightCurve,E9,,AllTriggers)</f>
        <v>1.0017944448536091</v>
      </c>
      <c r="J9" s="115">
        <f>_xll.qlYieldTSDiscount(OvernightCurve,F9,,AllTriggers)</f>
        <v>1.0035344624704623</v>
      </c>
      <c r="K9" s="112">
        <f t="shared" si="2"/>
        <v>-3.3923920115930266E-3</v>
      </c>
      <c r="L9" s="112">
        <f t="shared" si="3"/>
        <v>1.6023920115930267E-3</v>
      </c>
      <c r="M9" s="50" t="b">
        <v>1</v>
      </c>
      <c r="N9" s="112">
        <f>_xll.qlInterpolationInterpolate($N$1,E9,TRUE)</f>
        <v>1.6023920115930267E-3</v>
      </c>
      <c r="O9" s="242">
        <f t="shared" si="4"/>
        <v>0</v>
      </c>
      <c r="P9" s="237">
        <f t="shared" si="6"/>
        <v>8.2008652100636482E-4</v>
      </c>
      <c r="R9" s="114">
        <f>_xll.qlCalendarAdvance(Calendar,R8,"1D","f")</f>
        <v>42745</v>
      </c>
      <c r="S9" s="236">
        <f>_xll.qlInterpolationInterpolate(B6Minterpolation,R9,TRUE)</f>
        <v>1.2610430371553358E-3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42949</v>
      </c>
      <c r="F10" s="114">
        <f>_xll.qlCalendarAdvance(Calendar,E10,$F$1,"mf",,Trigger)</f>
        <v>43133</v>
      </c>
      <c r="G10" s="100">
        <f>_xll.qlDayCounterYearFraction(DayCounter,E10,F10,,,Trigger)</f>
        <v>0.51111111111111107</v>
      </c>
      <c r="H10" s="112">
        <f>_xll.qlQuoteValue(D10,AllTriggers)</f>
        <v>-1.72E-3</v>
      </c>
      <c r="I10" s="115">
        <f>_xll.qlYieldTSDiscount(OvernightCurve,E10,,AllTriggers)</f>
        <v>1.002080087952258</v>
      </c>
      <c r="J10" s="115">
        <f>_xll.qlYieldTSDiscount(OvernightCurve,F10,,AllTriggers)</f>
        <v>1.0038130681300788</v>
      </c>
      <c r="K10" s="112">
        <f t="shared" si="2"/>
        <v>-3.3777338620471333E-3</v>
      </c>
      <c r="L10" s="112">
        <f t="shared" si="3"/>
        <v>1.6577338620471333E-3</v>
      </c>
      <c r="M10" s="50" t="b">
        <v>0</v>
      </c>
      <c r="N10" s="112">
        <f>_xll.qlInterpolationInterpolate($N$1,E10,TRUE)</f>
        <v>1.6569824667547516E-3</v>
      </c>
      <c r="O10" s="242">
        <f t="shared" si="4"/>
        <v>7.513952923817336E-3</v>
      </c>
      <c r="P10" s="237">
        <f t="shared" si="6"/>
        <v>8.4839149256622521E-4</v>
      </c>
      <c r="R10" s="114">
        <f>_xll.qlCalendarAdvance(Calendar,R9,"1D","f")</f>
        <v>42746</v>
      </c>
      <c r="S10" s="236">
        <f>_xll.qlInterpolationInterpolate(B6Minterpolation,R10,TRUE)</f>
        <v>1.2629792350741852E-3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42982</v>
      </c>
      <c r="F11" s="114">
        <f>_xll.qlCalendarAdvance(Calendar,E11,$F$1,"mf",,Trigger)</f>
        <v>43164</v>
      </c>
      <c r="G11" s="100">
        <f>_xll.qlDayCounterYearFraction(DayCounter,E11,F11,,,Trigger)</f>
        <v>0.50555555555555554</v>
      </c>
      <c r="H11" s="112">
        <f>_xll.qlQuoteValue(D11,AllTriggers)</f>
        <v>-1.65E-3</v>
      </c>
      <c r="I11" s="115">
        <f>_xll.qlYieldTSDiscount(OvernightCurve,E11,,AllTriggers)</f>
        <v>1.0023958476558112</v>
      </c>
      <c r="J11" s="115">
        <f>_xll.qlYieldTSDiscount(OvernightCurve,F11,,AllTriggers)</f>
        <v>1.0041010419033547</v>
      </c>
      <c r="K11" s="112">
        <f t="shared" si="2"/>
        <v>-3.3591357420006871E-3</v>
      </c>
      <c r="L11" s="112">
        <f t="shared" si="3"/>
        <v>1.7091357420006871E-3</v>
      </c>
      <c r="M11" s="50" t="b">
        <v>0</v>
      </c>
      <c r="N11" s="112">
        <f>_xll.qlInterpolationInterpolate($N$1,E11,TRUE)</f>
        <v>1.7166230106820321E-3</v>
      </c>
      <c r="O11" s="242">
        <f t="shared" si="4"/>
        <v>-7.4872686813449996E-2</v>
      </c>
      <c r="P11" s="237">
        <f t="shared" si="6"/>
        <v>8.6515858570811925E-4</v>
      </c>
      <c r="R11" s="114">
        <f>_xll.qlCalendarAdvance(Calendar,R10,"1D","f")</f>
        <v>42747</v>
      </c>
      <c r="S11" s="236">
        <f>_xll.qlInterpolationInterpolate(B6Minterpolation,R11,TRUE)</f>
        <v>1.2649039653164951E-3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43010</v>
      </c>
      <c r="F12" s="114">
        <f>_xll.qlCalendarAdvance(Calendar,E12,$F$1,"mf",,Trigger)</f>
        <v>43193</v>
      </c>
      <c r="G12" s="100">
        <f>_xll.qlDayCounterYearFraction(DayCounter,E12,F12,,,Trigger)</f>
        <v>0.5083333333333333</v>
      </c>
      <c r="H12" s="112">
        <f>_xll.qlQuoteValue(D12,AllTriggers)</f>
        <v>-1.58E-3</v>
      </c>
      <c r="I12" s="115">
        <f>_xll.qlYieldTSDiscount(OvernightCurve,E12,,AllTriggers)</f>
        <v>1.0026614002314569</v>
      </c>
      <c r="J12" s="115">
        <f>_xll.qlYieldTSDiscount(OvernightCurve,F12,,AllTriggers)</f>
        <v>1.0043705115139778</v>
      </c>
      <c r="K12" s="112">
        <f t="shared" si="2"/>
        <v>-3.3475555992591608E-3</v>
      </c>
      <c r="L12" s="112">
        <f t="shared" si="3"/>
        <v>1.7675555992591608E-3</v>
      </c>
      <c r="M12" s="50" t="b">
        <v>1</v>
      </c>
      <c r="N12" s="112">
        <f>_xll.qlInterpolationInterpolate($N$1,E12,TRUE)</f>
        <v>1.7675555992591608E-3</v>
      </c>
      <c r="O12" s="242">
        <f t="shared" si="4"/>
        <v>0</v>
      </c>
      <c r="P12" s="237">
        <f t="shared" si="6"/>
        <v>8.9963421044436111E-4</v>
      </c>
      <c r="R12" s="114">
        <f>_xll.qlCalendarAdvance(Calendar,R11,"1D","f")</f>
        <v>42748</v>
      </c>
      <c r="S12" s="236">
        <f>_xll.qlInterpolationInterpolate(B6Minterpolation,R12,TRUE)</f>
        <v>1.2668177491402899E-3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43041</v>
      </c>
      <c r="F13" s="114">
        <f>_xll.qlCalendarAdvance(Calendar,E13,$F$1,"mf",,Trigger)</f>
        <v>43222</v>
      </c>
      <c r="G13" s="100">
        <f>_xll.qlDayCounterYearFraction(DayCounter,E13,F13,,,Trigger)</f>
        <v>0.50277777777777777</v>
      </c>
      <c r="H13" s="112">
        <f>_xll.qlQuoteValue(D13,AllTriggers)</f>
        <v>-1.5100000000000001E-3</v>
      </c>
      <c r="I13" s="115">
        <f>_xll.qlYieldTSDiscount(OvernightCurve,E13,,AllTriggers)</f>
        <v>1.0029542054771392</v>
      </c>
      <c r="J13" s="115">
        <f>_xll.qlYieldTSDiscount(OvernightCurve,F13,,AllTriggers)</f>
        <v>1.0046369660150121</v>
      </c>
      <c r="K13" s="112">
        <f t="shared" si="2"/>
        <v>-3.3314790813731569E-3</v>
      </c>
      <c r="L13" s="112">
        <f t="shared" si="3"/>
        <v>1.8214790813731569E-3</v>
      </c>
      <c r="M13" s="50" t="b">
        <v>0</v>
      </c>
      <c r="N13" s="112">
        <f>_xll.qlInterpolationInterpolate($N$1,E13,TRUE)</f>
        <v>1.8248271865304287E-3</v>
      </c>
      <c r="O13" s="242">
        <f t="shared" si="4"/>
        <v>-3.3481051572718024E-2</v>
      </c>
      <c r="P13" s="237">
        <f t="shared" si="6"/>
        <v>9.1691524104480133E-4</v>
      </c>
      <c r="R13" s="114">
        <f>_xll.qlCalendarAdvance(Calendar,R12,"1D","f")</f>
        <v>42751</v>
      </c>
      <c r="S13" s="236">
        <f>_xll.qlInterpolationInterpolate(B6Minterpolation,R13,TRUE)</f>
        <v>1.2724986346808289E-3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43073</v>
      </c>
      <c r="F14" s="114">
        <f>_xll.qlCalendarAdvance(Calendar,E14,$F$1,"mf",,Trigger)</f>
        <v>43255</v>
      </c>
      <c r="G14" s="100">
        <f>_xll.qlDayCounterYearFraction(DayCounter,E14,F14,,,Trigger)</f>
        <v>0.50555555555555554</v>
      </c>
      <c r="H14" s="112">
        <f>_xll.qlQuoteValue(D14,AllTriggers)</f>
        <v>-1.4400000000000001E-3</v>
      </c>
      <c r="I14" s="115">
        <f>_xll.qlYieldTSDiscount(OvernightCurve,E14,,AllTriggers)</f>
        <v>1.0032556507086401</v>
      </c>
      <c r="J14" s="115">
        <f>_xll.qlYieldTSDiscount(OvernightCurve,F14,,AllTriggers)</f>
        <v>1.0049402588488694</v>
      </c>
      <c r="K14" s="112">
        <f t="shared" si="2"/>
        <v>-3.3158109612855956E-3</v>
      </c>
      <c r="L14" s="112">
        <f t="shared" si="3"/>
        <v>1.8758109612855955E-3</v>
      </c>
      <c r="M14" s="50" t="b">
        <v>0</v>
      </c>
      <c r="N14" s="112">
        <f>_xll.qlInterpolationInterpolate($N$1,E14,TRUE)</f>
        <v>1.8847077299946142E-3</v>
      </c>
      <c r="O14" s="242">
        <f t="shared" si="4"/>
        <v>-8.8967687090187389E-2</v>
      </c>
      <c r="P14" s="237">
        <f t="shared" si="6"/>
        <v>9.4946813966933499E-4</v>
      </c>
      <c r="R14" s="114">
        <f>_xll.qlCalendarAdvance(Calendar,R13,"1D","f")</f>
        <v>42752</v>
      </c>
      <c r="S14" s="236">
        <f>_xll.qlInterpolationInterpolate(B6Minterpolation,R14,TRUE)</f>
        <v>1.2743738454108085E-3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43102</v>
      </c>
      <c r="F15" s="114">
        <f>_xll.qlCalendarAdvance(Calendar,E15,$F$1,"mf",,Trigger)</f>
        <v>43283</v>
      </c>
      <c r="G15" s="100">
        <f>_xll.qlDayCounterYearFraction(DayCounter,E15,F15,,,Trigger)</f>
        <v>0.50277777777777777</v>
      </c>
      <c r="H15" s="112">
        <f>_xll.qlQuoteValue(D15,AllTriggers)</f>
        <v>-1.3700000000000001E-3</v>
      </c>
      <c r="I15" s="115">
        <f>_xll.qlYieldTSDiscount(OvernightCurve,E15,,AllTriggers)</f>
        <v>1.0035251769469908</v>
      </c>
      <c r="J15" s="115">
        <f>_xll.qlYieldTSDiscount(OvernightCurve,F15,,AllTriggers)</f>
        <v>1.0051976700253773</v>
      </c>
      <c r="K15" s="112">
        <f t="shared" si="2"/>
        <v>-3.3093048954117247E-3</v>
      </c>
      <c r="L15" s="112">
        <f t="shared" si="3"/>
        <v>1.9393048954117246E-3</v>
      </c>
      <c r="M15" s="50" t="b">
        <v>1</v>
      </c>
      <c r="N15" s="112">
        <f>_xll.qlInterpolationInterpolate($N$1,E15,TRUE)</f>
        <v>1.9393048954117246E-3</v>
      </c>
      <c r="O15" s="242">
        <f t="shared" si="4"/>
        <v>0</v>
      </c>
      <c r="P15" s="237">
        <f t="shared" si="6"/>
        <v>9.7618779754159147E-4</v>
      </c>
      <c r="R15" s="114">
        <f>_xll.qlCalendarAdvance(Calendar,R14,"1D","f")</f>
        <v>42753</v>
      </c>
      <c r="S15" s="236">
        <f>_xll.qlInterpolationInterpolate(B6Minterpolation,R15,TRUE)</f>
        <v>1.2762407160123957E-3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43133</v>
      </c>
      <c r="F16" s="114">
        <f>_xll.qlCalendarAdvance(Calendar,E16,$F$1,"mf",,Trigger)</f>
        <v>43314</v>
      </c>
      <c r="G16" s="100">
        <f>_xll.qlDayCounterYearFraction(DayCounter,E16,F16,,,Trigger)</f>
        <v>0.50277777777777777</v>
      </c>
      <c r="H16" s="112">
        <f>_xll.qlQuoteValue(D16,AllTriggers)</f>
        <v>-1.2999999999999999E-3</v>
      </c>
      <c r="I16" s="115">
        <f>_xll.qlYieldTSDiscount(OvernightCurve,E16,,AllTriggers)</f>
        <v>1.0038130681300788</v>
      </c>
      <c r="J16" s="115">
        <f>_xll.qlYieldTSDiscount(OvernightCurve,F16,,AllTriggers)</f>
        <v>1.0054737499311064</v>
      </c>
      <c r="K16" s="112">
        <f t="shared" si="2"/>
        <v>-3.285032082769018E-3</v>
      </c>
      <c r="L16" s="112">
        <f t="shared" si="3"/>
        <v>1.9850320827690181E-3</v>
      </c>
      <c r="M16" s="50" t="b">
        <v>0</v>
      </c>
      <c r="N16" s="112">
        <f>_xll.qlInterpolationInterpolate($N$1,E16,TRUE)</f>
        <v>1.9976596621295185E-3</v>
      </c>
      <c r="O16" s="242">
        <f t="shared" si="4"/>
        <v>-0.1262757936050041</v>
      </c>
      <c r="P16" s="237">
        <f t="shared" si="6"/>
        <v>9.9918178545076826E-4</v>
      </c>
      <c r="R16" s="114">
        <f>_xll.qlCalendarAdvance(Calendar,R15,"1D","f")</f>
        <v>42754</v>
      </c>
      <c r="S16" s="236">
        <f>_xll.qlInterpolationInterpolate(B6Minterpolation,R16,TRUE)</f>
        <v>1.278099767743615E-3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43161</v>
      </c>
      <c r="F17" s="114">
        <f>_xll.qlCalendarAdvance(Calendar,E17,$F$1,"mf",,Trigger)</f>
        <v>43346</v>
      </c>
      <c r="G17" s="100">
        <f>_xll.qlDayCounterYearFraction(DayCounter,E17,F17,,,Trigger)</f>
        <v>0.51388888888888884</v>
      </c>
      <c r="H17" s="112">
        <f>_xll.qlQuoteValue(D17,AllTriggers)</f>
        <v>-1.23E-3</v>
      </c>
      <c r="I17" s="115">
        <f>_xll.qlYieldTSDiscount(OvernightCurve,E17,,AllTriggers)</f>
        <v>1.0040731698634651</v>
      </c>
      <c r="J17" s="115">
        <f>_xll.qlYieldTSDiscount(OvernightCurve,F17,,AllTriggers)</f>
        <v>1.0057588151749282</v>
      </c>
      <c r="K17" s="112">
        <f t="shared" si="2"/>
        <v>-3.2613929012135826E-3</v>
      </c>
      <c r="L17" s="112">
        <f t="shared" si="3"/>
        <v>2.0313929012135828E-3</v>
      </c>
      <c r="M17" s="50" t="b">
        <v>0</v>
      </c>
      <c r="N17" s="112">
        <f>_xll.qlInterpolationInterpolate($N$1,E17,TRUE)</f>
        <v>2.0500586243165225E-3</v>
      </c>
      <c r="O17" s="242">
        <f t="shared" si="4"/>
        <v>-0.1866572310293968</v>
      </c>
      <c r="P17" s="237">
        <f t="shared" si="6"/>
        <v>1.0451164404816757E-3</v>
      </c>
      <c r="R17" s="114">
        <f>_xll.qlCalendarAdvance(Calendar,R16,"1D","f")</f>
        <v>42755</v>
      </c>
      <c r="S17" s="236">
        <f>_xll.qlInterpolationInterpolate(B6Minterpolation,R17,TRUE)</f>
        <v>1.2799515218624908E-3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43193</v>
      </c>
      <c r="F18" s="114">
        <f>_xll.qlCalendarAdvance(Calendar,E18,$F$1,"mf",,Trigger)</f>
        <v>43376</v>
      </c>
      <c r="G18" s="100">
        <f>_xll.qlDayCounterYearFraction(DayCounter,E18,F18,,,Trigger)</f>
        <v>0.5083333333333333</v>
      </c>
      <c r="H18" s="112">
        <f>_xll.qlQuoteValue(D18,AllTriggers)</f>
        <v>-1.16E-3</v>
      </c>
      <c r="I18" s="115">
        <f>_xll.qlYieldTSDiscount(OvernightCurve,E18,,AllTriggers)</f>
        <v>1.0043705115139778</v>
      </c>
      <c r="J18" s="115">
        <f>_xll.qlYieldTSDiscount(OvernightCurve,F18,,AllTriggers)</f>
        <v>1.006025977227347</v>
      </c>
      <c r="K18" s="112">
        <f t="shared" si="2"/>
        <v>-3.2371468889311971E-3</v>
      </c>
      <c r="L18" s="112">
        <f t="shared" si="3"/>
        <v>2.0771468889311971E-3</v>
      </c>
      <c r="M18" s="50" t="b">
        <v>0</v>
      </c>
      <c r="N18" s="112">
        <f>_xll.qlInterpolationInterpolate($N$1,E18,TRUE)</f>
        <v>2.1092219128647461E-3</v>
      </c>
      <c r="O18" s="242">
        <f t="shared" si="4"/>
        <v>-0.32075023933549052</v>
      </c>
      <c r="P18" s="237">
        <f t="shared" si="6"/>
        <v>1.057064484093361E-3</v>
      </c>
      <c r="R18" s="114">
        <f>_xll.qlCalendarAdvance(Calendar,R17,"1D","f")</f>
        <v>42758</v>
      </c>
      <c r="S18" s="236">
        <f>_xll.qlInterpolationInterpolate(B6Minterpolation,R18,TRUE)</f>
        <v>1.2854682111253031E-3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43222</v>
      </c>
      <c r="F19" s="114">
        <f>_xll.qlCalendarAdvance(Calendar,E19,$F$1,"mf",,Trigger)</f>
        <v>43406</v>
      </c>
      <c r="G19" s="100">
        <f>_xll.qlDayCounterYearFraction(DayCounter,E19,F19,,,Trigger)</f>
        <v>0.51111111111111107</v>
      </c>
      <c r="H19" s="112">
        <f>_xll.qlQuoteValue(D19,AllTriggers)</f>
        <v>-1.0800000000000002E-3</v>
      </c>
      <c r="I19" s="115">
        <f>_xll.qlYieldTSDiscount(OvernightCurve,E19,,AllTriggers)</f>
        <v>1.0046369660150121</v>
      </c>
      <c r="J19" s="115">
        <f>_xll.qlYieldTSDiscount(OvernightCurve,F19,,AllTriggers)</f>
        <v>1.0062885686181799</v>
      </c>
      <c r="K19" s="112">
        <f t="shared" si="2"/>
        <v>-3.2112025300452397E-3</v>
      </c>
      <c r="L19" s="112">
        <f t="shared" si="3"/>
        <v>2.1312025300452395E-3</v>
      </c>
      <c r="M19" s="50" t="b">
        <v>0</v>
      </c>
      <c r="N19" s="112">
        <f>_xll.qlInterpolationInterpolate($N$1,E19,TRUE)</f>
        <v>2.1618473744034971E-3</v>
      </c>
      <c r="O19" s="242">
        <f t="shared" si="4"/>
        <v>-0.306448443582576</v>
      </c>
      <c r="P19" s="237">
        <f t="shared" si="6"/>
        <v>1.0904772627672275E-3</v>
      </c>
      <c r="R19" s="114">
        <f>_xll.qlCalendarAdvance(Calendar,R18,"1D","f")</f>
        <v>42759</v>
      </c>
      <c r="S19" s="236">
        <f>_xll.qlInterpolationInterpolate(B6Minterpolation,R19,TRUE)</f>
        <v>1.2872959873750508E-3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43255</v>
      </c>
      <c r="F20" s="114">
        <f>_xll.qlCalendarAdvance(Calendar,E20,$F$1,"mf",,Trigger)</f>
        <v>43438</v>
      </c>
      <c r="G20" s="100">
        <f>_xll.qlDayCounterYearFraction(DayCounter,E20,F20,,,Trigger)</f>
        <v>0.5083333333333333</v>
      </c>
      <c r="H20" s="112">
        <f>_xll.qlQuoteValue(D20,AllTriggers)</f>
        <v>-1.01E-3</v>
      </c>
      <c r="I20" s="115">
        <f>_xll.qlYieldTSDiscount(OvernightCurve,E20,,AllTriggers)</f>
        <v>1.0049402588488694</v>
      </c>
      <c r="J20" s="115">
        <f>_xll.qlYieldTSDiscount(OvernightCurve,F20,,AllTriggers)</f>
        <v>1.0065687416498188</v>
      </c>
      <c r="K20" s="112">
        <f t="shared" si="2"/>
        <v>-3.182666608470689E-3</v>
      </c>
      <c r="L20" s="112">
        <f t="shared" si="3"/>
        <v>2.1726666084706889E-3</v>
      </c>
      <c r="M20" s="50" t="b">
        <v>0</v>
      </c>
      <c r="N20" s="112">
        <f>_xll.qlInterpolationInterpolate($N$1,E20,TRUE)</f>
        <v>2.2201858857578915E-3</v>
      </c>
      <c r="O20" s="242">
        <f t="shared" si="4"/>
        <v>-0.47519277287202522</v>
      </c>
      <c r="P20" s="237">
        <f t="shared" si="6"/>
        <v>1.1056171573619795E-3</v>
      </c>
      <c r="R20" s="114">
        <f>_xll.qlCalendarAdvance(Calendar,R19,"1D","f")</f>
        <v>42760</v>
      </c>
      <c r="S20" s="236">
        <f>_xll.qlInterpolationInterpolate(B6Minterpolation,R20,TRUE)</f>
        <v>1.2891190723025776E-3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43283</v>
      </c>
      <c r="F21" s="118">
        <f>_xll.qlCalendarAdvance(Calendar,E21,$F$1,"mf",,Trigger)</f>
        <v>43467</v>
      </c>
      <c r="G21" s="105">
        <f>_xll.qlDayCounterYearFraction(DayCounter,E21,F21,,,Trigger)</f>
        <v>0.51111111111111107</v>
      </c>
      <c r="H21" s="121">
        <f>_xll.qlQuoteValue(D21,AllTriggers)</f>
        <v>-9.2000000000000003E-4</v>
      </c>
      <c r="I21" s="119">
        <f>_xll.qlYieldTSDiscount(OvernightCurve,E21,,AllTriggers)</f>
        <v>1.0051976700253773</v>
      </c>
      <c r="J21" s="119">
        <f>_xll.qlYieldTSDiscount(OvernightCurve,F21,,AllTriggers)</f>
        <v>1.0068227158386891</v>
      </c>
      <c r="K21" s="121">
        <f t="shared" si="2"/>
        <v>-3.1578920606484748E-3</v>
      </c>
      <c r="L21" s="121">
        <f t="shared" si="3"/>
        <v>2.237892060648475E-3</v>
      </c>
      <c r="M21" s="55" t="b">
        <v>1</v>
      </c>
      <c r="N21" s="121">
        <f>_xll.qlInterpolationInterpolate($N$1,E21,TRUE)</f>
        <v>2.2680759046106889E-3</v>
      </c>
      <c r="O21" s="243">
        <f t="shared" si="4"/>
        <v>-0.30183843962213952</v>
      </c>
      <c r="P21" s="275">
        <f t="shared" si="6"/>
        <v>1.1450048642256338E-3</v>
      </c>
      <c r="R21" s="114">
        <f>_xll.qlCalendarAdvance(Calendar,R20,"1D","f")</f>
        <v>42761</v>
      </c>
      <c r="S21" s="236">
        <f>_xll.qlInterpolationInterpolate(B6Minterpolation,R21,TRUE)</f>
        <v>1.2909379871659081E-3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42762</v>
      </c>
      <c r="S22" s="236">
        <f>_xll.qlInterpolationInterpolate(B6Minterpolation,R22,TRUE)</f>
        <v>1.2927532532230669E-3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42765</v>
      </c>
      <c r="S23" s="236">
        <f>_xll.qlInterpolationInterpolate(B6Minterpolation,R23,TRUE)</f>
        <v>1.2981823711377585E-3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42766</v>
      </c>
      <c r="S24" s="236">
        <f>_xll.qlInterpolationInterpolate(B6Minterpolation,R24,TRUE)</f>
        <v>1.2999882545504759E-3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42767</v>
      </c>
      <c r="S25" s="236">
        <f>_xll.qlInterpolationInterpolate(B6Minterpolation,R25,TRUE)</f>
        <v>1.3017930954471442E-3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42768</v>
      </c>
      <c r="S26" s="236">
        <f>_xll.qlInterpolationInterpolate(B6Minterpolation,R26,TRUE)</f>
        <v>1.3035974150857879E-3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42769</v>
      </c>
      <c r="S27" s="236">
        <f>_xll.qlInterpolationInterpolate(B6Minterpolation,R27,TRUE)</f>
        <v>1.3054017347244316E-3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42772</v>
      </c>
      <c r="S28" s="236">
        <f>_xll.qlInterpolationInterpolate(B6Minterpolation,R28,TRUE)</f>
        <v>1.3108199062206081E-3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42773</v>
      </c>
      <c r="S29" s="236">
        <f>_xll.qlInterpolationInterpolate(B6Minterpolation,R29,TRUE)</f>
        <v>1.3126294384394972E-3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42774</v>
      </c>
      <c r="S30" s="236">
        <f>_xll.qlInterpolationInterpolate(B6Minterpolation,R30,TRUE)</f>
        <v>1.3144415769485089E-3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42775</v>
      </c>
      <c r="S31" s="236">
        <f>_xll.qlInterpolationInterpolate(B6Minterpolation,R31,TRUE)</f>
        <v>1.3162568430056677E-3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42776</v>
      </c>
      <c r="S32" s="236">
        <f>_xll.qlInterpolationInterpolate(B6Minterpolation,R32,TRUE)</f>
        <v>1.3180757578689982E-3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42779</v>
      </c>
      <c r="S33" s="236">
        <f>_xll.qlInterpolationInterpolate(B6Minterpolation,R33,TRUE)</f>
        <v>1.3235596078762654E-3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42780</v>
      </c>
      <c r="S34" s="236">
        <f>_xll.qlInterpolationInterpolate(B6Minterpolation,R34,TRUE)</f>
        <v>1.3253983305445279E-3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42781</v>
      </c>
      <c r="S35" s="236">
        <f>_xll.qlInterpolationInterpolate(B6Minterpolation,R35,TRUE)</f>
        <v>1.3272433083090849E-3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42782</v>
      </c>
      <c r="S36" s="236">
        <f>_xll.qlInterpolationInterpolate(B6Minterpolation,R36,TRUE)</f>
        <v>1.3290950624279608E-3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42783</v>
      </c>
      <c r="S37" s="236">
        <f>_xll.qlInterpolationInterpolate(B6Minterpolation,R37,TRUE)</f>
        <v>1.33095411415918E-3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42786</v>
      </c>
      <c r="S38" s="236">
        <f>_xll.qlInterpolationInterpolate(B6Minterpolation,R38,TRUE)</f>
        <v>1.3365802676071434E-3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42787</v>
      </c>
      <c r="S39" s="236">
        <f>_xll.qlInterpolationInterpolate(B6Minterpolation,R39,TRUE)</f>
        <v>1.3384737223679818E-3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42788</v>
      </c>
      <c r="S40" s="236">
        <f>_xll.qlInterpolationInterpolate(B6Minterpolation,R40,TRUE)</f>
        <v>1.3403770810312859E-3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42789</v>
      </c>
      <c r="S41" s="236">
        <f>_xll.qlInterpolationInterpolate(B6Minterpolation,R41,TRUE)</f>
        <v>1.3422908648550807E-3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42790</v>
      </c>
      <c r="S42" s="236">
        <f>_xll.qlInterpolationInterpolate(B6Minterpolation,R42,TRUE)</f>
        <v>1.3442155950973906E-3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42793</v>
      </c>
      <c r="S43" s="236">
        <f>_xll.qlInterpolationInterpolate(B6Minterpolation,R43,TRUE)</f>
        <v>1.3500606769156561E-3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42794</v>
      </c>
      <c r="S44" s="236">
        <f>_xll.qlInterpolationInterpolate(B6Minterpolation,R44,TRUE)</f>
        <v>1.3520344054122715E-3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42795</v>
      </c>
      <c r="S45" s="236">
        <f>_xll.qlInterpolationInterpolate(B6Minterpolation,R45,TRUE)</f>
        <v>1.3540216866175249E-3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42796</v>
      </c>
      <c r="S46" s="236">
        <f>_xll.qlInterpolationInterpolate(B6Minterpolation,R46,TRUE)</f>
        <v>1.3560230417894404E-3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42797</v>
      </c>
      <c r="S47" s="236">
        <f>_xll.qlInterpolationInterpolate(B6Minterpolation,R47,TRUE)</f>
        <v>1.3580387992839379E-3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42800</v>
      </c>
      <c r="S48" s="236">
        <f>_xll.qlInterpolationInterpolate(B6Minterpolation,R48,TRUE)</f>
        <v>1.3641672815694963E-3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42801</v>
      </c>
      <c r="S49" s="236">
        <f>_xll.qlInterpolationInterpolate(B6Minterpolation,R49,TRUE)</f>
        <v>1.3662350584166866E-3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42802</v>
      </c>
      <c r="S50" s="236">
        <f>_xll.qlInterpolationInterpolate(B6Minterpolation,R50,TRUE)</f>
        <v>1.3683142497155363E-3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42803</v>
      </c>
      <c r="S51" s="236">
        <f>_xll.qlInterpolationInterpolate(B6Minterpolation,R51,TRUE)</f>
        <v>1.3704042193114401E-3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42804</v>
      </c>
      <c r="S52" s="236">
        <f>_xll.qlInterpolationInterpolate(B6Minterpolation,R52,TRUE)</f>
        <v>1.3725043310497927E-3</v>
      </c>
    </row>
    <row r="53" spans="5:19" x14ac:dyDescent="0.2">
      <c r="R53" s="114">
        <f>_xll.qlCalendarAdvance(Calendar,R52,"1D","f")</f>
        <v>42807</v>
      </c>
      <c r="S53" s="236">
        <f>_xll.qlInterpolationInterpolate(B6Minterpolation,R53,TRUE)</f>
        <v>1.3788591575734884E-3</v>
      </c>
    </row>
    <row r="54" spans="5:19" x14ac:dyDescent="0.2">
      <c r="R54" s="114">
        <f>_xll.qlCalendarAdvance(Calendar,R53,"1D","f")</f>
        <v>42808</v>
      </c>
      <c r="S54" s="236">
        <f>_xll.qlInterpolationInterpolate(B6Minterpolation,R54,TRUE)</f>
        <v>1.3809934763355815E-3</v>
      </c>
    </row>
    <row r="55" spans="5:19" x14ac:dyDescent="0.2">
      <c r="R55" s="114">
        <f>_xll.qlCalendarAdvance(Calendar,R54,"1D","f")</f>
        <v>42809</v>
      </c>
      <c r="S55" s="236">
        <f>_xll.qlInterpolationInterpolate(B6Minterpolation,R55,TRUE)</f>
        <v>1.3831347564670958E-3</v>
      </c>
    </row>
    <row r="56" spans="5:19" x14ac:dyDescent="0.2">
      <c r="R56" s="114">
        <f>_xll.qlCalendarAdvance(Calendar,R55,"1D","f")</f>
        <v>42810</v>
      </c>
      <c r="S56" s="236">
        <f>_xll.qlInterpolationInterpolate(B6Minterpolation,R56,TRUE)</f>
        <v>1.3852823618134265E-3</v>
      </c>
    </row>
    <row r="57" spans="5:19" x14ac:dyDescent="0.2">
      <c r="R57" s="114">
        <f>_xll.qlCalendarAdvance(Calendar,R56,"1D","f")</f>
        <v>42811</v>
      </c>
      <c r="S57" s="236">
        <f>_xll.qlInterpolationInterpolate(B6Minterpolation,R57,TRUE)</f>
        <v>1.3874356562199677E-3</v>
      </c>
    </row>
    <row r="58" spans="5:19" x14ac:dyDescent="0.2">
      <c r="R58" s="114">
        <f>_xll.qlCalendarAdvance(Calendar,R57,"1D","f")</f>
        <v>42814</v>
      </c>
      <c r="S58" s="236">
        <f>_xll.qlInterpolationInterpolate(B6Minterpolation,R58,TRUE)</f>
        <v>1.3939233122548004E-3</v>
      </c>
    </row>
    <row r="59" spans="5:19" x14ac:dyDescent="0.2">
      <c r="R59" s="114">
        <f>_xll.qlCalendarAdvance(Calendar,R58,"1D","f")</f>
        <v>42815</v>
      </c>
      <c r="S59" s="236">
        <f>_xll.qlInterpolationInterpolate(B6Minterpolation,R59,TRUE)</f>
        <v>1.3960930013561296E-3</v>
      </c>
    </row>
    <row r="60" spans="5:19" x14ac:dyDescent="0.2">
      <c r="R60" s="114">
        <f>_xll.qlCalendarAdvance(Calendar,R59,"1D","f")</f>
        <v>42816</v>
      </c>
      <c r="S60" s="236">
        <f>_xll.qlInterpolationInterpolate(B6Minterpolation,R60,TRUE)</f>
        <v>1.3982651987446422E-3</v>
      </c>
    </row>
    <row r="61" spans="5:19" x14ac:dyDescent="0.2">
      <c r="R61" s="114">
        <f>_xll.qlCalendarAdvance(Calendar,R60,"1D","f")</f>
        <v>42817</v>
      </c>
      <c r="S61" s="236">
        <f>_xll.qlInterpolationInterpolate(B6Minterpolation,R61,TRUE)</f>
        <v>1.4004392682657326E-3</v>
      </c>
    </row>
    <row r="62" spans="5:19" x14ac:dyDescent="0.2">
      <c r="R62" s="114">
        <f>_xll.qlCalendarAdvance(Calendar,R61,"1D","f")</f>
        <v>42818</v>
      </c>
      <c r="S62" s="236">
        <f>_xll.qlInterpolationInterpolate(B6Minterpolation,R62,TRUE)</f>
        <v>1.4026145737647956E-3</v>
      </c>
    </row>
    <row r="63" spans="5:19" x14ac:dyDescent="0.2">
      <c r="R63" s="114">
        <f>_xll.qlCalendarAdvance(Calendar,R62,"1D","f")</f>
        <v>42821</v>
      </c>
      <c r="S63" s="236">
        <f>_xll.qlInterpolationInterpolate(B6Minterpolation,R63,TRUE)</f>
        <v>1.4091415445837655E-3</v>
      </c>
    </row>
    <row r="64" spans="5:19" x14ac:dyDescent="0.2">
      <c r="R64" s="114">
        <f>_xll.qlCalendarAdvance(Calendar,R63,"1D","f")</f>
        <v>42822</v>
      </c>
      <c r="S64" s="236">
        <f>_xll.qlInterpolationInterpolate(B6Minterpolation,R64,TRUE)</f>
        <v>1.4113154324486641E-3</v>
      </c>
    </row>
    <row r="65" spans="18:19" x14ac:dyDescent="0.2">
      <c r="R65" s="114">
        <f>_xll.qlCalendarAdvance(Calendar,R64,"1D","f")</f>
        <v>42823</v>
      </c>
      <c r="S65" s="236">
        <f>_xll.qlInterpolationInterpolate(B6Minterpolation,R65,TRUE)</f>
        <v>1.4134873755185079E-3</v>
      </c>
    </row>
    <row r="66" spans="18:19" x14ac:dyDescent="0.2">
      <c r="R66" s="114">
        <f>_xll.qlCalendarAdvance(Calendar,R65,"1D","f")</f>
        <v>42824</v>
      </c>
      <c r="S66" s="236">
        <f>_xll.qlInterpolationInterpolate(B6Minterpolation,R66,TRUE)</f>
        <v>1.4156567376386918E-3</v>
      </c>
    </row>
    <row r="67" spans="18:19" x14ac:dyDescent="0.2">
      <c r="R67" s="114">
        <f>_xll.qlCalendarAdvance(Calendar,R66,"1D","f")</f>
        <v>42825</v>
      </c>
      <c r="S67" s="236">
        <f>_xll.qlInterpolationInterpolate(B6Minterpolation,R67,TRUE)</f>
        <v>1.41782288265461E-3</v>
      </c>
    </row>
    <row r="68" spans="18:19" x14ac:dyDescent="0.2">
      <c r="R68" s="114">
        <f>_xll.qlCalendarAdvance(Calendar,R67,"1D","f")</f>
        <v>42828</v>
      </c>
      <c r="S68" s="236">
        <f>_xll.qlInterpolationInterpolate(B6Minterpolation,R68,TRUE)</f>
        <v>1.4242956535307169E-3</v>
      </c>
    </row>
    <row r="69" spans="18:19" x14ac:dyDescent="0.2">
      <c r="R69" s="114">
        <f>_xll.qlCalendarAdvance(Calendar,R68,"1D","f")</f>
        <v>42829</v>
      </c>
      <c r="S69" s="236">
        <f>_xll.qlInterpolationInterpolate(B6Minterpolation,R69,TRUE)</f>
        <v>1.4264426829849988E-3</v>
      </c>
    </row>
    <row r="70" spans="18:19" x14ac:dyDescent="0.2">
      <c r="R70" s="114">
        <f>_xll.qlCalendarAdvance(Calendar,R69,"1D","f")</f>
        <v>42830</v>
      </c>
      <c r="S70" s="236">
        <f>_xll.qlInterpolationInterpolate(B6Minterpolation,R70,TRUE)</f>
        <v>1.4285840009708704E-3</v>
      </c>
    </row>
    <row r="71" spans="18:19" x14ac:dyDescent="0.2">
      <c r="R71" s="114">
        <f>_xll.qlCalendarAdvance(Calendar,R70,"1D","f")</f>
        <v>42831</v>
      </c>
      <c r="S71" s="236">
        <f>_xll.qlInterpolationInterpolate(B6Minterpolation,R71,TRUE)</f>
        <v>1.4307196577426093E-3</v>
      </c>
    </row>
    <row r="72" spans="18:19" x14ac:dyDescent="0.2">
      <c r="R72" s="114">
        <f>_xll.qlCalendarAdvance(Calendar,R71,"1D","f")</f>
        <v>42832</v>
      </c>
      <c r="S72" s="236">
        <f>_xll.qlInterpolationInterpolate(B6Minterpolation,R72,TRUE)</f>
        <v>1.4328497035544922E-3</v>
      </c>
    </row>
    <row r="73" spans="18:19" x14ac:dyDescent="0.2">
      <c r="R73" s="114">
        <f>_xll.qlCalendarAdvance(Calendar,R72,"1D","f")</f>
        <v>42835</v>
      </c>
      <c r="S73" s="236">
        <f>_xll.qlInterpolationInterpolate(B6Minterpolation,R73,TRUE)</f>
        <v>1.4392066777737776E-3</v>
      </c>
    </row>
    <row r="74" spans="18:19" x14ac:dyDescent="0.2">
      <c r="R74" s="114">
        <f>_xll.qlCalendarAdvance(Calendar,R73,"1D","f")</f>
        <v>42836</v>
      </c>
      <c r="S74" s="236">
        <f>_xll.qlInterpolationInterpolate(B6Minterpolation,R74,TRUE)</f>
        <v>1.4413147822890087E-3</v>
      </c>
    </row>
    <row r="75" spans="18:19" x14ac:dyDescent="0.2">
      <c r="R75" s="114">
        <f>_xll.qlCalendarAdvance(Calendar,R74,"1D","f")</f>
        <v>42837</v>
      </c>
      <c r="S75" s="236">
        <f>_xll.qlInterpolationInterpolate(B6Minterpolation,R75,TRUE)</f>
        <v>1.4434175271157701E-3</v>
      </c>
    </row>
    <row r="76" spans="18:19" x14ac:dyDescent="0.2">
      <c r="R76" s="114">
        <f>_xll.qlCalendarAdvance(Calendar,R75,"1D","f")</f>
        <v>42838</v>
      </c>
      <c r="S76" s="236">
        <f>_xll.qlInterpolationInterpolate(B6Minterpolation,R76,TRUE)</f>
        <v>1.4455149625083386E-3</v>
      </c>
    </row>
    <row r="77" spans="18:19" x14ac:dyDescent="0.2">
      <c r="R77" s="114">
        <f>_xll.qlCalendarAdvance(Calendar,R76,"1D","f")</f>
        <v>42843</v>
      </c>
      <c r="S77" s="236">
        <f>_xll.qlInterpolationInterpolate(B6Minterpolation,R77,TRUE)</f>
        <v>1.4559242568579903E-3</v>
      </c>
    </row>
    <row r="78" spans="18:19" x14ac:dyDescent="0.2">
      <c r="R78" s="114">
        <f>_xll.qlCalendarAdvance(Calendar,R77,"1D","f")</f>
        <v>42844</v>
      </c>
      <c r="S78" s="236">
        <f>_xll.qlInterpolationInterpolate(B6Minterpolation,R78,TRUE)</f>
        <v>1.4579908909852226E-3</v>
      </c>
    </row>
    <row r="79" spans="18:19" x14ac:dyDescent="0.2">
      <c r="R79" s="114">
        <f>_xll.qlCalendarAdvance(Calendar,R78,"1D","f")</f>
        <v>42845</v>
      </c>
      <c r="S79" s="236">
        <f>_xll.qlInterpolationInterpolate(B6Minterpolation,R79,TRUE)</f>
        <v>1.4600525674582025E-3</v>
      </c>
    </row>
    <row r="80" spans="18:19" x14ac:dyDescent="0.2">
      <c r="R80" s="114">
        <f>_xll.qlCalendarAdvance(Calendar,R79,"1D","f")</f>
        <v>42846</v>
      </c>
      <c r="S80" s="236">
        <f>_xll.qlInterpolationInterpolate(B6Minterpolation,R80,TRUE)</f>
        <v>1.4621093365312068E-3</v>
      </c>
    </row>
    <row r="81" spans="18:19" x14ac:dyDescent="0.2">
      <c r="R81" s="114">
        <f>_xll.qlCalendarAdvance(Calendar,R80,"1D","f")</f>
        <v>42849</v>
      </c>
      <c r="S81" s="236">
        <f>_xll.qlInterpolationInterpolate(B6Minterpolation,R81,TRUE)</f>
        <v>1.468250701893139E-3</v>
      </c>
    </row>
    <row r="82" spans="18:19" x14ac:dyDescent="0.2">
      <c r="R82" s="114">
        <f>_xll.qlCalendarAdvance(Calendar,R81,"1D","f")</f>
        <v>42850</v>
      </c>
      <c r="S82" s="236">
        <f>_xll.qlInterpolationInterpolate(B6Minterpolation,R82,TRUE)</f>
        <v>1.4702883439090134E-3</v>
      </c>
    </row>
    <row r="83" spans="18:19" x14ac:dyDescent="0.2">
      <c r="R83" s="114">
        <f>_xll.qlCalendarAdvance(Calendar,R82,"1D","f")</f>
        <v>42851</v>
      </c>
      <c r="S83" s="236">
        <f>_xll.qlInterpolationInterpolate(B6Minterpolation,R83,TRUE)</f>
        <v>1.4723213297962983E-3</v>
      </c>
    </row>
    <row r="84" spans="18:19" x14ac:dyDescent="0.2">
      <c r="R84" s="114">
        <f>_xll.qlCalendarAdvance(Calendar,R83,"1D","f")</f>
        <v>42852</v>
      </c>
      <c r="S84" s="236">
        <f>_xll.qlInterpolationInterpolate(B6Minterpolation,R84,TRUE)</f>
        <v>1.4743497098092708E-3</v>
      </c>
    </row>
    <row r="85" spans="18:19" x14ac:dyDescent="0.2">
      <c r="R85" s="114">
        <f>_xll.qlCalendarAdvance(Calendar,R84,"1D","f")</f>
        <v>42853</v>
      </c>
      <c r="S85" s="236">
        <f>_xll.qlInterpolationInterpolate(B6Minterpolation,R85,TRUE)</f>
        <v>1.4763735342022081E-3</v>
      </c>
    </row>
    <row r="86" spans="18:19" x14ac:dyDescent="0.2">
      <c r="R86" s="114">
        <f>_xll.qlCalendarAdvance(Calendar,R85,"1D","f")</f>
        <v>42857</v>
      </c>
      <c r="S86" s="236">
        <f>_xll.qlInterpolationInterpolate(B6Minterpolation,R86,TRUE)</f>
        <v>1.4844242806591487E-3</v>
      </c>
    </row>
    <row r="87" spans="18:19" x14ac:dyDescent="0.2">
      <c r="R87" s="114">
        <f>_xll.qlCalendarAdvance(Calendar,R86,"1D","f")</f>
        <v>42858</v>
      </c>
      <c r="S87" s="236">
        <f>_xll.qlInterpolationInterpolate(B6Minterpolation,R87,TRUE)</f>
        <v>1.4864260807660676E-3</v>
      </c>
    </row>
    <row r="88" spans="18:19" x14ac:dyDescent="0.2">
      <c r="R88" s="114">
        <f>_xll.qlCalendarAdvance(Calendar,R87,"1D","f")</f>
        <v>42859</v>
      </c>
      <c r="S88" s="236">
        <f>_xll.qlInterpolationInterpolate(B6Minterpolation,R88,TRUE)</f>
        <v>1.4884236267786143E-3</v>
      </c>
    </row>
    <row r="89" spans="18:19" x14ac:dyDescent="0.2">
      <c r="R89" s="114">
        <f>_xll.qlCalendarAdvance(Calendar,R88,"1D","f")</f>
        <v>42860</v>
      </c>
      <c r="S89" s="236">
        <f>_xll.qlInterpolationInterpolate(B6Minterpolation,R89,TRUE)</f>
        <v>1.4904169689510659E-3</v>
      </c>
    </row>
    <row r="90" spans="18:19" x14ac:dyDescent="0.2">
      <c r="R90" s="114">
        <f>_xll.qlCalendarAdvance(Calendar,R89,"1D","f")</f>
        <v>42863</v>
      </c>
      <c r="S90" s="236">
        <f>_xll.qlInterpolationInterpolate(B6Minterpolation,R90,TRUE)</f>
        <v>1.4963722749706228E-3</v>
      </c>
    </row>
    <row r="91" spans="18:19" x14ac:dyDescent="0.2">
      <c r="R91" s="114">
        <f>_xll.qlCalendarAdvance(Calendar,R90,"1D","f")</f>
        <v>42864</v>
      </c>
      <c r="S91" s="236">
        <f>_xll.qlInterpolationInterpolate(B6Minterpolation,R91,TRUE)</f>
        <v>1.4983493043254663E-3</v>
      </c>
    </row>
    <row r="92" spans="18:19" x14ac:dyDescent="0.2">
      <c r="R92" s="114">
        <f>_xll.qlCalendarAdvance(Calendar,R91,"1D","f")</f>
        <v>42865</v>
      </c>
      <c r="S92" s="236">
        <f>_xll.qlInterpolationInterpolate(B6Minterpolation,R92,TRUE)</f>
        <v>1.5003223811116005E-3</v>
      </c>
    </row>
    <row r="93" spans="18:19" x14ac:dyDescent="0.2">
      <c r="R93" s="114">
        <f>_xll.qlCalendarAdvance(Calendar,R92,"1D","f")</f>
        <v>42866</v>
      </c>
      <c r="S93" s="236">
        <f>_xll.qlInterpolationInterpolate(B6Minterpolation,R93,TRUE)</f>
        <v>1.5022915555833029E-3</v>
      </c>
    </row>
    <row r="94" spans="18:19" x14ac:dyDescent="0.2">
      <c r="R94" s="114">
        <f>_xll.qlCalendarAdvance(Calendar,R93,"1D","f")</f>
        <v>42867</v>
      </c>
      <c r="S94" s="236">
        <f>_xll.qlInterpolationInterpolate(B6Minterpolation,R94,TRUE)</f>
        <v>1.5042568779948505E-3</v>
      </c>
    </row>
    <row r="95" spans="18:19" x14ac:dyDescent="0.2">
      <c r="R95" s="114">
        <f>_xll.qlCalendarAdvance(Calendar,R94,"1D","f")</f>
        <v>42870</v>
      </c>
      <c r="S95" s="236">
        <f>_xll.qlInterpolationInterpolate(B6Minterpolation,R95,TRUE)</f>
        <v>1.5101302354113362E-3</v>
      </c>
    </row>
    <row r="96" spans="18:19" x14ac:dyDescent="0.2">
      <c r="R96" s="114">
        <f>_xll.qlCalendarAdvance(Calendar,R95,"1D","f")</f>
        <v>42871</v>
      </c>
      <c r="S96" s="236">
        <f>_xll.qlInterpolationInterpolate(B6Minterpolation,R96,TRUE)</f>
        <v>1.5120806521250363E-3</v>
      </c>
    </row>
    <row r="97" spans="18:19" x14ac:dyDescent="0.2">
      <c r="R97" s="114">
        <f>_xll.qlCalendarAdvance(Calendar,R96,"1D","f")</f>
        <v>42872</v>
      </c>
      <c r="S97" s="236">
        <f>_xll.qlInterpolationInterpolate(B6Minterpolation,R97,TRUE)</f>
        <v>1.5140274680499675E-3</v>
      </c>
    </row>
    <row r="98" spans="18:19" x14ac:dyDescent="0.2">
      <c r="R98" s="114">
        <f>_xll.qlCalendarAdvance(Calendar,R97,"1D","f")</f>
        <v>42873</v>
      </c>
      <c r="S98" s="236">
        <f>_xll.qlInterpolationInterpolate(B6Minterpolation,R98,TRUE)</f>
        <v>1.5159707334404071E-3</v>
      </c>
    </row>
    <row r="99" spans="18:19" x14ac:dyDescent="0.2">
      <c r="R99" s="114">
        <f>_xll.qlCalendarAdvance(Calendar,R98,"1D","f")</f>
        <v>42874</v>
      </c>
      <c r="S99" s="236">
        <f>_xll.qlInterpolationInterpolate(B6Minterpolation,R99,TRUE)</f>
        <v>1.5179104985506321E-3</v>
      </c>
    </row>
    <row r="100" spans="18:19" x14ac:dyDescent="0.2">
      <c r="R100" s="114">
        <f>_xll.qlCalendarAdvance(Calendar,R99,"1D","f")</f>
        <v>42877</v>
      </c>
      <c r="S100" s="236">
        <f>_xll.qlInterpolationInterpolate(B6Minterpolation,R100,TRUE)</f>
        <v>1.5237092947427912E-3</v>
      </c>
    </row>
    <row r="101" spans="18:19" x14ac:dyDescent="0.2">
      <c r="R101" s="114">
        <f>_xll.qlCalendarAdvance(Calendar,R100,"1D","f")</f>
        <v>42878</v>
      </c>
      <c r="S101" s="236">
        <f>_xll.qlInterpolationInterpolate(B6Minterpolation,R101,TRUE)</f>
        <v>1.5256355612749295E-3</v>
      </c>
    </row>
    <row r="102" spans="18:19" x14ac:dyDescent="0.2">
      <c r="R102" s="114">
        <f>_xll.qlCalendarAdvance(Calendar,R101,"1D","f")</f>
        <v>42879</v>
      </c>
      <c r="S102" s="236">
        <f>_xll.qlInterpolationInterpolate(B6Minterpolation,R102,TRUE)</f>
        <v>1.527558578798239E-3</v>
      </c>
    </row>
    <row r="103" spans="18:19" x14ac:dyDescent="0.2">
      <c r="R103" s="114">
        <f>_xll.qlCalendarAdvance(Calendar,R102,"1D","f")</f>
        <v>42880</v>
      </c>
      <c r="S103" s="236">
        <f>_xll.qlInterpolationInterpolate(B6Minterpolation,R103,TRUE)</f>
        <v>1.5294783975669972E-3</v>
      </c>
    </row>
    <row r="104" spans="18:19" x14ac:dyDescent="0.2">
      <c r="R104" s="114">
        <f>_xll.qlCalendarAdvance(Calendar,R103,"1D","f")</f>
        <v>42881</v>
      </c>
      <c r="S104" s="236">
        <f>_xll.qlInterpolationInterpolate(B6Minterpolation,R104,TRUE)</f>
        <v>1.531395067835481E-3</v>
      </c>
    </row>
    <row r="105" spans="18:19" x14ac:dyDescent="0.2">
      <c r="R105" s="114">
        <f>_xll.qlCalendarAdvance(Calendar,R104,"1D","f")</f>
        <v>42884</v>
      </c>
      <c r="S105" s="236">
        <f>_xll.qlInterpolationInterpolate(B6Minterpolation,R105,TRUE)</f>
        <v>1.5371266901820578E-3</v>
      </c>
    </row>
    <row r="106" spans="18:19" x14ac:dyDescent="0.2">
      <c r="R106" s="114">
        <f>_xll.qlCalendarAdvance(Calendar,R105,"1D","f")</f>
        <v>42885</v>
      </c>
      <c r="S106" s="236">
        <f>_xll.qlInterpolationInterpolate(B6Minterpolation,R106,TRUE)</f>
        <v>1.5390312689922156E-3</v>
      </c>
    </row>
    <row r="107" spans="18:19" x14ac:dyDescent="0.2">
      <c r="R107" s="114">
        <f>_xll.qlCalendarAdvance(Calendar,R106,"1D","f")</f>
        <v>42886</v>
      </c>
      <c r="S107" s="236">
        <f>_xll.qlInterpolationInterpolate(B6Minterpolation,R107,TRUE)</f>
        <v>1.5409329505734852E-3</v>
      </c>
    </row>
    <row r="108" spans="18:19" x14ac:dyDescent="0.2">
      <c r="R108" s="114">
        <f>_xll.qlCalendarAdvance(Calendar,R107,"1D","f")</f>
        <v>42887</v>
      </c>
      <c r="S108" s="236">
        <f>_xll.qlInterpolationInterpolate(B6Minterpolation,R108,TRUE)</f>
        <v>1.5428317851801433E-3</v>
      </c>
    </row>
    <row r="109" spans="18:19" x14ac:dyDescent="0.2">
      <c r="R109" s="114">
        <f>_xll.qlCalendarAdvance(Calendar,R108,"1D","f")</f>
        <v>42888</v>
      </c>
      <c r="S109" s="236">
        <f>_xll.qlInterpolationInterpolate(B6Minterpolation,R109,TRUE)</f>
        <v>1.5447278230664675E-3</v>
      </c>
    </row>
    <row r="110" spans="18:19" x14ac:dyDescent="0.2">
      <c r="R110" s="114">
        <f>_xll.qlCalendarAdvance(Calendar,R109,"1D","f")</f>
        <v>42891</v>
      </c>
      <c r="S110" s="236">
        <f>_xll.qlInterpolationInterpolate(B6Minterpolation,R110,TRUE)</f>
        <v>1.5503996589462062E-3</v>
      </c>
    </row>
    <row r="111" spans="18:19" x14ac:dyDescent="0.2">
      <c r="R111" s="114">
        <f>_xll.qlCalendarAdvance(Calendar,R110,"1D","f")</f>
        <v>42892</v>
      </c>
      <c r="S111" s="236">
        <f>_xll.qlInterpolationInterpolate(B6Minterpolation,R111,TRUE)</f>
        <v>1.5522850124939655E-3</v>
      </c>
    </row>
    <row r="112" spans="18:19" x14ac:dyDescent="0.2">
      <c r="R112" s="114">
        <f>_xll.qlCalendarAdvance(Calendar,R111,"1D","f")</f>
        <v>42893</v>
      </c>
      <c r="S112" s="236">
        <f>_xll.qlInterpolationInterpolate(B6Minterpolation,R112,TRUE)</f>
        <v>1.5541678205927762E-3</v>
      </c>
    </row>
    <row r="113" spans="18:19" x14ac:dyDescent="0.2">
      <c r="R113" s="114">
        <f>_xll.qlCalendarAdvance(Calendar,R112,"1D","f")</f>
        <v>42894</v>
      </c>
      <c r="S113" s="236">
        <f>_xll.qlInterpolationInterpolate(B6Minterpolation,R113,TRUE)</f>
        <v>1.556048133496916E-3</v>
      </c>
    </row>
    <row r="114" spans="18:19" x14ac:dyDescent="0.2">
      <c r="R114" s="114">
        <f>_xll.qlCalendarAdvance(Calendar,R113,"1D","f")</f>
        <v>42895</v>
      </c>
      <c r="S114" s="236">
        <f>_xll.qlInterpolationInterpolate(B6Minterpolation,R114,TRUE)</f>
        <v>1.5579260014606617E-3</v>
      </c>
    </row>
    <row r="115" spans="18:19" x14ac:dyDescent="0.2">
      <c r="R115" s="114">
        <f>_xll.qlCalendarAdvance(Calendar,R114,"1D","f")</f>
        <v>42898</v>
      </c>
      <c r="S115" s="236">
        <f>_xll.qlInterpolationInterpolate(B6Minterpolation,R115,TRUE)</f>
        <v>1.5635454382523072E-3</v>
      </c>
    </row>
    <row r="116" spans="18:19" x14ac:dyDescent="0.2">
      <c r="R116" s="114">
        <f>_xll.qlCalendarAdvance(Calendar,R115,"1D","f")</f>
        <v>42899</v>
      </c>
      <c r="S116" s="236">
        <f>_xll.qlInterpolationInterpolate(B6Minterpolation,R116,TRUE)</f>
        <v>1.5654140289972488E-3</v>
      </c>
    </row>
    <row r="117" spans="18:19" x14ac:dyDescent="0.2">
      <c r="R117" s="114">
        <f>_xll.qlCalendarAdvance(Calendar,R116,"1D","f")</f>
        <v>42900</v>
      </c>
      <c r="S117" s="236">
        <f>_xll.qlInterpolationInterpolate(B6Minterpolation,R117,TRUE)</f>
        <v>1.5672804260731827E-3</v>
      </c>
    </row>
    <row r="118" spans="18:19" x14ac:dyDescent="0.2">
      <c r="R118" s="114">
        <f>_xll.qlCalendarAdvance(Calendar,R117,"1D","f")</f>
        <v>42901</v>
      </c>
      <c r="S118" s="236">
        <f>_xll.qlInterpolationInterpolate(B6Minterpolation,R118,TRUE)</f>
        <v>1.5691446797343853E-3</v>
      </c>
    </row>
    <row r="119" spans="18:19" x14ac:dyDescent="0.2">
      <c r="R119" s="114">
        <f>_xll.qlCalendarAdvance(Calendar,R118,"1D","f")</f>
        <v>42902</v>
      </c>
      <c r="S119" s="236">
        <f>_xll.qlInterpolationInterpolate(B6Minterpolation,R119,TRUE)</f>
        <v>1.5710068402351343E-3</v>
      </c>
    </row>
    <row r="120" spans="18:19" x14ac:dyDescent="0.2">
      <c r="R120" s="114">
        <f>_xll.qlCalendarAdvance(Calendar,R119,"1D","f")</f>
        <v>42905</v>
      </c>
      <c r="S120" s="236">
        <f>_xll.qlInterpolationInterpolate(B6Minterpolation,R120,TRUE)</f>
        <v>1.5765812653174306E-3</v>
      </c>
    </row>
    <row r="121" spans="18:19" x14ac:dyDescent="0.2">
      <c r="R121" s="114">
        <f>_xll.qlCalendarAdvance(Calendar,R120,"1D","f")</f>
        <v>42906</v>
      </c>
      <c r="S121" s="236">
        <f>_xll.qlInterpolationInterpolate(B6Minterpolation,R121,TRUE)</f>
        <v>1.5784355557191365E-3</v>
      </c>
    </row>
    <row r="122" spans="18:19" x14ac:dyDescent="0.2">
      <c r="R122" s="114">
        <f>_xll.qlCalendarAdvance(Calendar,R121,"1D","f")</f>
        <v>42907</v>
      </c>
      <c r="S122" s="236">
        <f>_xll.qlInterpolationInterpolate(B6Minterpolation,R122,TRUE)</f>
        <v>1.5802880042317744E-3</v>
      </c>
    </row>
    <row r="123" spans="18:19" x14ac:dyDescent="0.2">
      <c r="R123" s="114">
        <f>_xll.qlCalendarAdvance(Calendar,R122,"1D","f")</f>
        <v>42908</v>
      </c>
      <c r="S123" s="236">
        <f>_xll.qlInterpolationInterpolate(B6Minterpolation,R123,TRUE)</f>
        <v>1.5821386611096218E-3</v>
      </c>
    </row>
    <row r="124" spans="18:19" x14ac:dyDescent="0.2">
      <c r="R124" s="114">
        <f>_xll.qlCalendarAdvance(Calendar,R123,"1D","f")</f>
        <v>42909</v>
      </c>
      <c r="S124" s="236">
        <f>_xll.qlInterpolationInterpolate(B6Minterpolation,R124,TRUE)</f>
        <v>1.5839875766069554E-3</v>
      </c>
    </row>
    <row r="125" spans="18:19" x14ac:dyDescent="0.2">
      <c r="R125" s="114">
        <f>_xll.qlCalendarAdvance(Calendar,R124,"1D","f")</f>
        <v>42912</v>
      </c>
      <c r="S125" s="236">
        <f>_xll.qlInterpolationInterpolate(B6Minterpolation,R125,TRUE)</f>
        <v>1.5895243773586471E-3</v>
      </c>
    </row>
    <row r="126" spans="18:19" x14ac:dyDescent="0.2">
      <c r="R126" s="114">
        <f>_xll.qlCalendarAdvance(Calendar,R125,"1D","f")</f>
        <v>42913</v>
      </c>
      <c r="S126" s="236">
        <f>_xll.qlInterpolationInterpolate(B6Minterpolation,R126,TRUE)</f>
        <v>1.5913668298766985E-3</v>
      </c>
    </row>
    <row r="127" spans="18:19" x14ac:dyDescent="0.2">
      <c r="R127" s="114">
        <f>_xll.qlCalendarAdvance(Calendar,R126,"1D","f")</f>
        <v>42914</v>
      </c>
      <c r="S127" s="236">
        <f>_xll.qlInterpolationInterpolate(B6Minterpolation,R127,TRUE)</f>
        <v>1.5932077922856222E-3</v>
      </c>
    </row>
    <row r="128" spans="18:19" x14ac:dyDescent="0.2">
      <c r="R128" s="114">
        <f>_xll.qlCalendarAdvance(Calendar,R127,"1D","f")</f>
        <v>42915</v>
      </c>
      <c r="S128" s="236">
        <f>_xll.qlInterpolationInterpolate(B6Minterpolation,R128,TRUE)</f>
        <v>1.5950473148396954E-3</v>
      </c>
    </row>
    <row r="129" spans="18:19" x14ac:dyDescent="0.2">
      <c r="R129" s="114">
        <f>_xll.qlCalendarAdvance(Calendar,R128,"1D","f")</f>
        <v>42916</v>
      </c>
      <c r="S129" s="236">
        <f>_xll.qlInterpolationInterpolate(B6Minterpolation,R129,TRUE)</f>
        <v>1.5968854477931952E-3</v>
      </c>
    </row>
    <row r="130" spans="18:19" x14ac:dyDescent="0.2">
      <c r="R130" s="114">
        <f>_xll.qlCalendarAdvance(Calendar,R129,"1D","f")</f>
        <v>42919</v>
      </c>
      <c r="S130" s="236">
        <f>_xll.qlInterpolationInterpolate(B6Minterpolation,R130,TRUE)</f>
        <v>1.6023920115930267E-3</v>
      </c>
    </row>
    <row r="131" spans="18:19" x14ac:dyDescent="0.2">
      <c r="R131" s="114">
        <f>_xll.qlCalendarAdvance(Calendar,R130,"1D","f")</f>
        <v>42920</v>
      </c>
      <c r="S131" s="236">
        <f>_xll.qlInterpolationInterpolate(B6Minterpolation,R131,TRUE)</f>
        <v>1.6042250845863819E-3</v>
      </c>
    </row>
    <row r="132" spans="18:19" x14ac:dyDescent="0.2">
      <c r="R132" s="114">
        <f>_xll.qlCalendarAdvance(Calendar,R131,"1D","f")</f>
        <v>42921</v>
      </c>
      <c r="S132" s="236">
        <f>_xll.qlInterpolationInterpolate(B6Minterpolation,R132,TRUE)</f>
        <v>1.6060569946468102E-3</v>
      </c>
    </row>
    <row r="133" spans="18:19" x14ac:dyDescent="0.2">
      <c r="R133" s="114">
        <f>_xll.qlCalendarAdvance(Calendar,R132,"1D","f")</f>
        <v>42922</v>
      </c>
      <c r="S133" s="236">
        <f>_xll.qlInterpolationInterpolate(B6Minterpolation,R133,TRUE)</f>
        <v>1.6078877674248501E-3</v>
      </c>
    </row>
    <row r="134" spans="18:19" x14ac:dyDescent="0.2">
      <c r="R134" s="114">
        <f>_xll.qlCalendarAdvance(Calendar,R133,"1D","f")</f>
        <v>42923</v>
      </c>
      <c r="S134" s="236">
        <f>_xll.qlInterpolationInterpolate(B6Minterpolation,R134,TRUE)</f>
        <v>1.6097174285710392E-3</v>
      </c>
    </row>
    <row r="135" spans="18:19" x14ac:dyDescent="0.2">
      <c r="R135" s="114">
        <f>_xll.qlCalendarAdvance(Calendar,R134,"1D","f")</f>
        <v>42926</v>
      </c>
      <c r="S135" s="236">
        <f>_xll.qlInterpolationInterpolate(B6Minterpolation,R135,TRUE)</f>
        <v>1.6151999987238821E-3</v>
      </c>
    </row>
    <row r="136" spans="18:19" x14ac:dyDescent="0.2">
      <c r="R136" s="114">
        <f>_xll.qlCalendarAdvance(Calendar,R135,"1D","f")</f>
        <v>42927</v>
      </c>
      <c r="S136" s="236">
        <f>_xll.qlInterpolationInterpolate(B6Minterpolation,R136,TRUE)</f>
        <v>1.6170254698480481E-3</v>
      </c>
    </row>
    <row r="137" spans="18:19" x14ac:dyDescent="0.2">
      <c r="R137" s="114">
        <f>_xll.qlCalendarAdvance(Calendar,R136,"1D","f")</f>
        <v>42928</v>
      </c>
      <c r="S137" s="236">
        <f>_xll.qlInterpolationInterpolate(B6Minterpolation,R137,TRUE)</f>
        <v>1.6188499575930531E-3</v>
      </c>
    </row>
    <row r="138" spans="18:19" x14ac:dyDescent="0.2">
      <c r="R138" s="114">
        <f>_xll.qlCalendarAdvance(Calendar,R137,"1D","f")</f>
        <v>42929</v>
      </c>
      <c r="S138" s="236">
        <f>_xll.qlInterpolationInterpolate(B6Minterpolation,R138,TRUE)</f>
        <v>1.6206734876094355E-3</v>
      </c>
    </row>
    <row r="139" spans="18:19" x14ac:dyDescent="0.2">
      <c r="R139" s="114">
        <f>_xll.qlCalendarAdvance(Calendar,R138,"1D","f")</f>
        <v>42930</v>
      </c>
      <c r="S139" s="236">
        <f>_xll.qlInterpolationInterpolate(B6Minterpolation,R139,TRUE)</f>
        <v>1.6224960855477327E-3</v>
      </c>
    </row>
    <row r="140" spans="18:19" x14ac:dyDescent="0.2">
      <c r="R140" s="114">
        <f>_xll.qlCalendarAdvance(Calendar,R139,"1D","f")</f>
        <v>42933</v>
      </c>
      <c r="S140" s="236">
        <f>_xll.qlInterpolationInterpolate(B6Minterpolation,R140,TRUE)</f>
        <v>1.627958543399495E-3</v>
      </c>
    </row>
    <row r="141" spans="18:19" x14ac:dyDescent="0.2">
      <c r="R141" s="114">
        <f>_xll.qlCalendarAdvance(Calendar,R140,"1D","f")</f>
        <v>42934</v>
      </c>
      <c r="S141" s="236">
        <f>_xll.qlInterpolationInterpolate(B6Minterpolation,R141,TRUE)</f>
        <v>1.6297776695308325E-3</v>
      </c>
    </row>
    <row r="142" spans="18:19" x14ac:dyDescent="0.2">
      <c r="R142" s="114">
        <f>_xll.qlCalendarAdvance(Calendar,R141,"1D","f")</f>
        <v>42935</v>
      </c>
      <c r="S142" s="236">
        <f>_xll.qlInterpolationInterpolate(B6Minterpolation,R142,TRUE)</f>
        <v>1.6315959918367748E-3</v>
      </c>
    </row>
    <row r="143" spans="18:19" x14ac:dyDescent="0.2">
      <c r="R143" s="114">
        <f>_xll.qlCalendarAdvance(Calendar,R142,"1D","f")</f>
        <v>42936</v>
      </c>
      <c r="S143" s="236">
        <f>_xll.qlInterpolationInterpolate(B6Minterpolation,R143,TRUE)</f>
        <v>1.6334135359678602E-3</v>
      </c>
    </row>
    <row r="144" spans="18:19" x14ac:dyDescent="0.2">
      <c r="R144" s="114">
        <f>_xll.qlCalendarAdvance(Calendar,R143,"1D","f")</f>
        <v>42937</v>
      </c>
      <c r="S144" s="236">
        <f>_xll.qlInterpolationInterpolate(B6Minterpolation,R144,TRUE)</f>
        <v>1.6352303275746264E-3</v>
      </c>
    </row>
    <row r="145" spans="18:19" x14ac:dyDescent="0.2">
      <c r="R145" s="114">
        <f>_xll.qlCalendarAdvance(Calendar,R144,"1D","f")</f>
        <v>42940</v>
      </c>
      <c r="S145" s="236">
        <f>_xll.qlInterpolationInterpolate(B6Minterpolation,R145,TRUE)</f>
        <v>1.64067644375439E-3</v>
      </c>
    </row>
    <row r="146" spans="18:19" x14ac:dyDescent="0.2">
      <c r="R146" s="114">
        <f>_xll.qlCalendarAdvance(Calendar,R145,"1D","f")</f>
        <v>42941</v>
      </c>
      <c r="S146" s="236">
        <f>_xll.qlInterpolationInterpolate(B6Minterpolation,R146,TRUE)</f>
        <v>1.6424904817692594E-3</v>
      </c>
    </row>
    <row r="147" spans="18:19" x14ac:dyDescent="0.2">
      <c r="R147" s="114">
        <f>_xll.qlCalendarAdvance(Calendar,R146,"1D","f")</f>
        <v>42942</v>
      </c>
      <c r="S147" s="236">
        <f>_xll.qlInterpolationInterpolate(B6Minterpolation,R147,TRUE)</f>
        <v>1.6443038955124996E-3</v>
      </c>
    </row>
    <row r="148" spans="18:19" x14ac:dyDescent="0.2">
      <c r="R148" s="114">
        <f>_xll.qlCalendarAdvance(Calendar,R147,"1D","f")</f>
        <v>42943</v>
      </c>
      <c r="S148" s="236">
        <f>_xll.qlInterpolationInterpolate(B6Minterpolation,R148,TRUE)</f>
        <v>1.6461167106346486E-3</v>
      </c>
    </row>
    <row r="149" spans="18:19" x14ac:dyDescent="0.2">
      <c r="R149" s="114">
        <f>_xll.qlCalendarAdvance(Calendar,R148,"1D","f")</f>
        <v>42944</v>
      </c>
      <c r="S149" s="236">
        <f>_xll.qlInterpolationInterpolate(B6Minterpolation,R149,TRUE)</f>
        <v>1.6479289527862441E-3</v>
      </c>
    </row>
    <row r="150" spans="18:19" x14ac:dyDescent="0.2">
      <c r="R150" s="114">
        <f>_xll.qlCalendarAdvance(Calendar,R149,"1D","f")</f>
        <v>42947</v>
      </c>
      <c r="S150" s="236">
        <f>_xll.qlInterpolationInterpolate(B6Minterpolation,R150,TRUE)</f>
        <v>1.6533624979230908E-3</v>
      </c>
    </row>
    <row r="151" spans="18:19" x14ac:dyDescent="0.2">
      <c r="R151" s="114">
        <f>_xll.qlCalendarAdvance(Calendar,R150,"1D","f")</f>
        <v>42948</v>
      </c>
      <c r="S151" s="236">
        <f>_xll.qlInterpolationInterpolate(B6Minterpolation,R151,TRUE)</f>
        <v>1.6551727046978529E-3</v>
      </c>
    </row>
    <row r="152" spans="18:19" x14ac:dyDescent="0.2">
      <c r="R152" s="114">
        <f>_xll.qlCalendarAdvance(Calendar,R151,"1D","f")</f>
        <v>42949</v>
      </c>
      <c r="S152" s="236">
        <f>_xll.qlInterpolationInterpolate(B6Minterpolation,R152,TRUE)</f>
        <v>1.6569824667547516E-3</v>
      </c>
    </row>
    <row r="153" spans="18:19" x14ac:dyDescent="0.2">
      <c r="R153" s="114">
        <f>_xll.qlCalendarAdvance(Calendar,R152,"1D","f")</f>
        <v>42950</v>
      </c>
      <c r="S153" s="236">
        <f>_xll.qlInterpolationInterpolate(B6Minterpolation,R153,TRUE)</f>
        <v>1.6587918097443247E-3</v>
      </c>
    </row>
    <row r="154" spans="18:19" x14ac:dyDescent="0.2">
      <c r="R154" s="114">
        <f>_xll.qlCalendarAdvance(Calendar,R153,"1D","f")</f>
        <v>42951</v>
      </c>
      <c r="S154" s="236">
        <f>_xll.qlInterpolationInterpolate(B6Minterpolation,R154,TRUE)</f>
        <v>1.6606007593171104E-3</v>
      </c>
    </row>
    <row r="155" spans="18:19" x14ac:dyDescent="0.2">
      <c r="R155" s="114">
        <f>_xll.qlCalendarAdvance(Calendar,R154,"1D","f")</f>
        <v>42954</v>
      </c>
      <c r="S155" s="236">
        <f>_xll.qlInterpolationInterpolate(B6Minterpolation,R155,TRUE)</f>
        <v>1.6660255040401219E-3</v>
      </c>
    </row>
    <row r="156" spans="18:19" x14ac:dyDescent="0.2">
      <c r="R156" s="114">
        <f>_xll.qlCalendarAdvance(Calendar,R155,"1D","f")</f>
        <v>42955</v>
      </c>
      <c r="S156" s="236">
        <f>_xll.qlInterpolationInterpolate(B6Minterpolation,R156,TRUE)</f>
        <v>1.6678331364511371E-3</v>
      </c>
    </row>
    <row r="157" spans="18:19" x14ac:dyDescent="0.2">
      <c r="R157" s="114">
        <f>_xll.qlCalendarAdvance(Calendar,R156,"1D","f")</f>
        <v>42956</v>
      </c>
      <c r="S157" s="236">
        <f>_xll.qlInterpolationInterpolate(B6Minterpolation,R157,TRUE)</f>
        <v>1.6696405036980548E-3</v>
      </c>
    </row>
    <row r="158" spans="18:19" x14ac:dyDescent="0.2">
      <c r="R158" s="114">
        <f>_xll.qlCalendarAdvance(Calendar,R157,"1D","f")</f>
        <v>42957</v>
      </c>
      <c r="S158" s="236">
        <f>_xll.qlInterpolationInterpolate(B6Minterpolation,R158,TRUE)</f>
        <v>1.671447631431413E-3</v>
      </c>
    </row>
    <row r="159" spans="18:19" x14ac:dyDescent="0.2">
      <c r="R159" s="114">
        <f>_xll.qlCalendarAdvance(Calendar,R158,"1D","f")</f>
        <v>42958</v>
      </c>
      <c r="S159" s="236">
        <f>_xll.qlInterpolationInterpolate(B6Minterpolation,R159,TRUE)</f>
        <v>1.6732545453017492E-3</v>
      </c>
    </row>
    <row r="160" spans="18:19" x14ac:dyDescent="0.2">
      <c r="R160" s="114">
        <f>_xll.qlCalendarAdvance(Calendar,R159,"1D","f")</f>
        <v>42961</v>
      </c>
      <c r="S160" s="236">
        <f>_xll.qlInterpolationInterpolate(B6Minterpolation,R160,TRUE)</f>
        <v>1.6786742602400075E-3</v>
      </c>
    </row>
    <row r="161" spans="18:19" x14ac:dyDescent="0.2">
      <c r="R161" s="114">
        <f>_xll.qlCalendarAdvance(Calendar,R160,"1D","f")</f>
        <v>42962</v>
      </c>
      <c r="S161" s="236">
        <f>_xll.qlInterpolationInterpolate(B6Minterpolation,R161,TRUE)</f>
        <v>1.6804805751636366E-3</v>
      </c>
    </row>
    <row r="162" spans="18:19" x14ac:dyDescent="0.2">
      <c r="R162" s="114">
        <f>_xll.qlCalendarAdvance(Calendar,R161,"1D","f")</f>
        <v>42963</v>
      </c>
      <c r="S162" s="236">
        <f>_xll.qlInterpolationInterpolate(B6Minterpolation,R162,TRUE)</f>
        <v>1.6822868044769339E-3</v>
      </c>
    </row>
    <row r="163" spans="18:19" x14ac:dyDescent="0.2">
      <c r="R163" s="114">
        <f>_xll.qlCalendarAdvance(Calendar,R162,"1D","f")</f>
        <v>42964</v>
      </c>
      <c r="S163" s="236">
        <f>_xll.qlInterpolationInterpolate(B6Minterpolation,R163,TRUE)</f>
        <v>1.6840929738304372E-3</v>
      </c>
    </row>
    <row r="164" spans="18:19" x14ac:dyDescent="0.2">
      <c r="R164" s="114">
        <f>_xll.qlCalendarAdvance(Calendar,R163,"1D","f")</f>
        <v>42965</v>
      </c>
      <c r="S164" s="236">
        <f>_xll.qlInterpolationInterpolate(B6Minterpolation,R164,TRUE)</f>
        <v>1.6858991088746847E-3</v>
      </c>
    </row>
    <row r="165" spans="18:19" x14ac:dyDescent="0.2">
      <c r="R165" s="114">
        <f>_xll.qlCalendarAdvance(Calendar,R164,"1D","f")</f>
        <v>42968</v>
      </c>
      <c r="S165" s="236">
        <f>_xll.qlInterpolationInterpolate(B6Minterpolation,R165,TRUE)</f>
        <v>1.6913175646572716E-3</v>
      </c>
    </row>
    <row r="166" spans="18:19" x14ac:dyDescent="0.2">
      <c r="R166" s="114">
        <f>_xll.qlCalendarAdvance(Calendar,R165,"1D","f")</f>
        <v>42969</v>
      </c>
      <c r="S166" s="236">
        <f>_xll.qlInterpolationInterpolate(B6Minterpolation,R166,TRUE)</f>
        <v>1.6931238189698751E-3</v>
      </c>
    </row>
    <row r="167" spans="18:19" x14ac:dyDescent="0.2">
      <c r="R167" s="114">
        <f>_xll.qlCalendarAdvance(Calendar,R166,"1D","f")</f>
        <v>42970</v>
      </c>
      <c r="S167" s="236">
        <f>_xll.qlInterpolationInterpolate(B6Minterpolation,R167,TRUE)</f>
        <v>1.6949301672259127E-3</v>
      </c>
    </row>
    <row r="168" spans="18:19" x14ac:dyDescent="0.2">
      <c r="R168" s="114">
        <f>_xll.qlCalendarAdvance(Calendar,R167,"1D","f")</f>
        <v>42971</v>
      </c>
      <c r="S168" s="236">
        <f>_xll.qlInterpolationInterpolate(B6Minterpolation,R168,TRUE)</f>
        <v>1.6967366350759221E-3</v>
      </c>
    </row>
    <row r="169" spans="18:19" x14ac:dyDescent="0.2">
      <c r="R169" s="114">
        <f>_xll.qlCalendarAdvance(Calendar,R168,"1D","f")</f>
        <v>42972</v>
      </c>
      <c r="S169" s="236">
        <f>_xll.qlInterpolationInterpolate(B6Minterpolation,R169,TRUE)</f>
        <v>1.6985432481704413E-3</v>
      </c>
    </row>
    <row r="170" spans="18:19" x14ac:dyDescent="0.2">
      <c r="R170" s="114">
        <f>_xll.qlCalendarAdvance(Calendar,R169,"1D","f")</f>
        <v>42975</v>
      </c>
      <c r="S170" s="236">
        <f>_xll.qlInterpolationInterpolate(B6Minterpolation,R170,TRUE)</f>
        <v>1.7039642154264385E-3</v>
      </c>
    </row>
    <row r="171" spans="18:19" x14ac:dyDescent="0.2">
      <c r="R171" s="114">
        <f>_xll.qlCalendarAdvance(Calendar,R170,"1D","f")</f>
        <v>42976</v>
      </c>
      <c r="S171" s="236">
        <f>_xll.qlInterpolationInterpolate(B6Minterpolation,R171,TRUE)</f>
        <v>1.7057716660043769E-3</v>
      </c>
    </row>
    <row r="172" spans="18:19" x14ac:dyDescent="0.2">
      <c r="R172" s="114">
        <f>_xll.qlCalendarAdvance(Calendar,R171,"1D","f")</f>
        <v>42977</v>
      </c>
      <c r="S172" s="236">
        <f>_xll.qlInterpolationInterpolate(B6Minterpolation,R172,TRUE)</f>
        <v>1.7075793900795154E-3</v>
      </c>
    </row>
    <row r="173" spans="18:19" x14ac:dyDescent="0.2">
      <c r="R173" s="114">
        <f>_xll.qlCalendarAdvance(Calendar,R172,"1D","f")</f>
        <v>42978</v>
      </c>
      <c r="S173" s="236">
        <f>_xll.qlInterpolationInterpolate(B6Minterpolation,R173,TRUE)</f>
        <v>1.7093874133023914E-3</v>
      </c>
    </row>
    <row r="174" spans="18:19" x14ac:dyDescent="0.2">
      <c r="R174" s="114">
        <f>_xll.qlCalendarAdvance(Calendar,R173,"1D","f")</f>
        <v>42979</v>
      </c>
      <c r="S174" s="236">
        <f>_xll.qlInterpolationInterpolate(B6Minterpolation,R174,TRUE)</f>
        <v>1.711195761323543E-3</v>
      </c>
    </row>
    <row r="175" spans="18:19" x14ac:dyDescent="0.2">
      <c r="R175" s="114">
        <f>_xll.qlCalendarAdvance(Calendar,R174,"1D","f")</f>
        <v>42982</v>
      </c>
      <c r="S175" s="236">
        <f>_xll.qlInterpolationInterpolate(B6Minterpolation,R175,TRUE)</f>
        <v>1.7166230106820321E-3</v>
      </c>
    </row>
    <row r="176" spans="18:19" x14ac:dyDescent="0.2">
      <c r="R176" s="114">
        <f>_xll.qlCalendarAdvance(Calendar,R175,"1D","f")</f>
        <v>42983</v>
      </c>
      <c r="S176" s="236">
        <f>_xll.qlInterpolationInterpolate(B6Minterpolation,R176,TRUE)</f>
        <v>1.7184329144016664E-3</v>
      </c>
    </row>
    <row r="177" spans="18:19" x14ac:dyDescent="0.2">
      <c r="R177" s="114">
        <f>_xll.qlCalendarAdvance(Calendar,R176,"1D","f")</f>
        <v>42984</v>
      </c>
      <c r="S177" s="236">
        <f>_xll.qlInterpolationInterpolate(B6Minterpolation,R177,TRUE)</f>
        <v>1.7202432711722663E-3</v>
      </c>
    </row>
    <row r="178" spans="18:19" x14ac:dyDescent="0.2">
      <c r="R178" s="114">
        <f>_xll.qlCalendarAdvance(Calendar,R177,"1D","f")</f>
        <v>42985</v>
      </c>
      <c r="S178" s="236">
        <f>_xll.qlInterpolationInterpolate(B6Minterpolation,R178,TRUE)</f>
        <v>1.7220541066443695E-3</v>
      </c>
    </row>
    <row r="179" spans="18:19" x14ac:dyDescent="0.2">
      <c r="R179" s="114">
        <f>_xll.qlCalendarAdvance(Calendar,R178,"1D","f")</f>
        <v>42986</v>
      </c>
      <c r="S179" s="236">
        <f>_xll.qlInterpolationInterpolate(B6Minterpolation,R179,TRUE)</f>
        <v>1.7238654464685143E-3</v>
      </c>
    </row>
    <row r="180" spans="18:19" x14ac:dyDescent="0.2">
      <c r="R180" s="114">
        <f>_xll.qlCalendarAdvance(Calendar,R179,"1D","f")</f>
        <v>42989</v>
      </c>
      <c r="S180" s="236">
        <f>_xll.qlInterpolationInterpolate(B6Minterpolation,R180,TRUE)</f>
        <v>1.7293027485585772E-3</v>
      </c>
    </row>
    <row r="181" spans="18:19" x14ac:dyDescent="0.2">
      <c r="R181" s="114">
        <f>_xll.qlCalendarAdvance(Calendar,R180,"1D","f")</f>
        <v>42990</v>
      </c>
      <c r="S181" s="236">
        <f>_xll.qlInterpolationInterpolate(B6Minterpolation,R181,TRUE)</f>
        <v>1.7311163622962676E-3</v>
      </c>
    </row>
    <row r="182" spans="18:19" x14ac:dyDescent="0.2">
      <c r="R182" s="114">
        <f>_xll.qlCalendarAdvance(Calendar,R181,"1D","f")</f>
        <v>42991</v>
      </c>
      <c r="S182" s="236">
        <f>_xll.qlInterpolationInterpolate(B6Minterpolation,R182,TRUE)</f>
        <v>1.7329306086386895E-3</v>
      </c>
    </row>
    <row r="183" spans="18:19" x14ac:dyDescent="0.2">
      <c r="R183" s="114">
        <f>_xll.qlCalendarAdvance(Calendar,R182,"1D","f")</f>
        <v>42992</v>
      </c>
      <c r="S183" s="236">
        <f>_xll.qlInterpolationInterpolate(B6Minterpolation,R183,TRUE)</f>
        <v>1.7347455132363805E-3</v>
      </c>
    </row>
    <row r="184" spans="18:19" x14ac:dyDescent="0.2">
      <c r="R184" s="114">
        <f>_xll.qlCalendarAdvance(Calendar,R183,"1D","f")</f>
        <v>42993</v>
      </c>
      <c r="S184" s="236">
        <f>_xll.qlInterpolationInterpolate(B6Minterpolation,R184,TRUE)</f>
        <v>1.7365611017398789E-3</v>
      </c>
    </row>
    <row r="185" spans="18:19" x14ac:dyDescent="0.2">
      <c r="R185" s="114">
        <f>_xll.qlCalendarAdvance(Calendar,R184,"1D","f")</f>
        <v>42996</v>
      </c>
      <c r="S185" s="236">
        <f>_xll.qlInterpolationInterpolate(B6Minterpolation,R185,TRUE)</f>
        <v>1.7420122271905975E-3</v>
      </c>
    </row>
    <row r="186" spans="18:19" x14ac:dyDescent="0.2">
      <c r="R186" s="114">
        <f>_xll.qlCalendarAdvance(Calendar,R185,"1D","f")</f>
        <v>42997</v>
      </c>
      <c r="S186" s="236">
        <f>_xll.qlInterpolationInterpolate(B6Minterpolation,R186,TRUE)</f>
        <v>1.7438308078227048E-3</v>
      </c>
    </row>
    <row r="187" spans="18:19" x14ac:dyDescent="0.2">
      <c r="R187" s="114">
        <f>_xll.qlCalendarAdvance(Calendar,R186,"1D","f")</f>
        <v>42998</v>
      </c>
      <c r="S187" s="236">
        <f>_xll.qlInterpolationInterpolate(B6Minterpolation,R187,TRUE)</f>
        <v>1.745650200613309E-3</v>
      </c>
    </row>
    <row r="188" spans="18:19" x14ac:dyDescent="0.2">
      <c r="R188" s="114">
        <f>_xll.qlCalendarAdvance(Calendar,R187,"1D","f")</f>
        <v>42999</v>
      </c>
      <c r="S188" s="236">
        <f>_xll.qlInterpolationInterpolate(B6Minterpolation,R188,TRUE)</f>
        <v>1.7474704312129487E-3</v>
      </c>
    </row>
    <row r="189" spans="18:19" x14ac:dyDescent="0.2">
      <c r="R189" s="114">
        <f>_xll.qlCalendarAdvance(Calendar,R188,"1D","f")</f>
        <v>43000</v>
      </c>
      <c r="S189" s="236">
        <f>_xll.qlInterpolationInterpolate(B6Minterpolation,R189,TRUE)</f>
        <v>1.7492915252721613E-3</v>
      </c>
    </row>
    <row r="190" spans="18:19" x14ac:dyDescent="0.2">
      <c r="R190" s="114">
        <f>_xll.qlCalendarAdvance(Calendar,R189,"1D","f")</f>
        <v>43003</v>
      </c>
      <c r="S190" s="236">
        <f>_xll.qlInterpolationInterpolate(B6Minterpolation,R190,TRUE)</f>
        <v>1.7547602447126173E-3</v>
      </c>
    </row>
    <row r="191" spans="18:19" x14ac:dyDescent="0.2">
      <c r="R191" s="114">
        <f>_xll.qlCalendarAdvance(Calendar,R190,"1D","f")</f>
        <v>43004</v>
      </c>
      <c r="S191" s="236">
        <f>_xll.qlInterpolationInterpolate(B6Minterpolation,R191,TRUE)</f>
        <v>1.756585049115502E-3</v>
      </c>
    </row>
    <row r="192" spans="18:19" x14ac:dyDescent="0.2">
      <c r="R192" s="114">
        <f>_xll.qlCalendarAdvance(Calendar,R191,"1D","f")</f>
        <v>43005</v>
      </c>
      <c r="S192" s="236">
        <f>_xll.qlInterpolationInterpolate(B6Minterpolation,R192,TRUE)</f>
        <v>1.7584108452306495E-3</v>
      </c>
    </row>
    <row r="193" spans="18:19" x14ac:dyDescent="0.2">
      <c r="R193" s="114">
        <f>_xll.qlCalendarAdvance(Calendar,R192,"1D","f")</f>
        <v>43006</v>
      </c>
      <c r="S193" s="236">
        <f>_xll.qlInterpolationInterpolate(B6Minterpolation,R193,TRUE)</f>
        <v>1.7602376587085981E-3</v>
      </c>
    </row>
    <row r="194" spans="18:19" x14ac:dyDescent="0.2">
      <c r="R194" s="114">
        <f>_xll.qlCalendarAdvance(Calendar,R193,"1D","f")</f>
        <v>43007</v>
      </c>
      <c r="S194" s="236">
        <f>_xll.qlInterpolationInterpolate(B6Minterpolation,R194,TRUE)</f>
        <v>1.7620655151998855E-3</v>
      </c>
    </row>
    <row r="195" spans="18:19" x14ac:dyDescent="0.2">
      <c r="R195" s="114">
        <f>_xll.qlCalendarAdvance(Calendar,R194,"1D","f")</f>
        <v>43010</v>
      </c>
      <c r="S195" s="236">
        <f>_xll.qlInterpolationInterpolate(B6Minterpolation,R195,TRUE)</f>
        <v>1.7675555992591608E-3</v>
      </c>
    </row>
    <row r="196" spans="18:19" x14ac:dyDescent="0.2">
      <c r="R196" s="114">
        <f>_xll.qlCalendarAdvance(Calendar,R195,"1D","f")</f>
        <v>43011</v>
      </c>
      <c r="S196" s="236">
        <f>_xll.qlInterpolationInterpolate(B6Minterpolation,R196,TRUE)</f>
        <v>1.7693878779587034E-3</v>
      </c>
    </row>
    <row r="197" spans="18:19" x14ac:dyDescent="0.2">
      <c r="R197" s="114">
        <f>_xll.qlCalendarAdvance(Calendar,R196,"1D","f")</f>
        <v>43012</v>
      </c>
      <c r="S197" s="236">
        <f>_xll.qlInterpolationInterpolate(B6Minterpolation,R197,TRUE)</f>
        <v>1.7712212898213947E-3</v>
      </c>
    </row>
    <row r="198" spans="18:19" x14ac:dyDescent="0.2">
      <c r="R198" s="114">
        <f>_xll.qlCalendarAdvance(Calendar,R197,"1D","f")</f>
        <v>43013</v>
      </c>
      <c r="S198" s="236">
        <f>_xll.qlInterpolationInterpolate(B6Minterpolation,R198,TRUE)</f>
        <v>1.7730558223948919E-3</v>
      </c>
    </row>
    <row r="199" spans="18:19" x14ac:dyDescent="0.2">
      <c r="R199" s="114">
        <f>_xll.qlCalendarAdvance(Calendar,R198,"1D","f")</f>
        <v>43014</v>
      </c>
      <c r="S199" s="236">
        <f>_xll.qlInterpolationInterpolate(B6Minterpolation,R199,TRUE)</f>
        <v>1.7748914632268532E-3</v>
      </c>
    </row>
    <row r="200" spans="18:19" x14ac:dyDescent="0.2">
      <c r="R200" s="114">
        <f>_xll.qlCalendarAdvance(Calendar,R199,"1D","f")</f>
        <v>43017</v>
      </c>
      <c r="S200" s="236">
        <f>_xll.qlInterpolationInterpolate(B6Minterpolation,R200,TRUE)</f>
        <v>1.7804049107500973E-3</v>
      </c>
    </row>
    <row r="201" spans="18:19" x14ac:dyDescent="0.2">
      <c r="R201" s="114">
        <f>_xll.qlCalendarAdvance(Calendar,R200,"1D","f")</f>
        <v>43018</v>
      </c>
      <c r="S201" s="236">
        <f>_xll.qlInterpolationInterpolate(B6Minterpolation,R201,TRUE)</f>
        <v>1.782244860092491E-3</v>
      </c>
    </row>
    <row r="202" spans="18:19" x14ac:dyDescent="0.2">
      <c r="R202" s="114">
        <f>_xll.qlCalendarAdvance(Calendar,R201,"1D","f")</f>
        <v>43019</v>
      </c>
      <c r="S202" s="236">
        <f>_xll.qlInterpolationInterpolate(B6Minterpolation,R202,TRUE)</f>
        <v>1.7840858554316376E-3</v>
      </c>
    </row>
    <row r="203" spans="18:19" x14ac:dyDescent="0.2">
      <c r="R203" s="114">
        <f>_xll.qlCalendarAdvance(Calendar,R202,"1D","f")</f>
        <v>43020</v>
      </c>
      <c r="S203" s="236">
        <f>_xll.qlInterpolationInterpolate(B6Minterpolation,R203,TRUE)</f>
        <v>1.7859278843151941E-3</v>
      </c>
    </row>
    <row r="204" spans="18:19" x14ac:dyDescent="0.2">
      <c r="R204" s="114">
        <f>_xll.qlCalendarAdvance(Calendar,R203,"1D","f")</f>
        <v>43021</v>
      </c>
      <c r="S204" s="236">
        <f>_xll.qlInterpolationInterpolate(B6Minterpolation,R204,TRUE)</f>
        <v>1.7877709342908183E-3</v>
      </c>
    </row>
    <row r="205" spans="18:19" x14ac:dyDescent="0.2">
      <c r="R205" s="114">
        <f>_xll.qlCalendarAdvance(Calendar,R204,"1D","f")</f>
        <v>43024</v>
      </c>
      <c r="S205" s="236">
        <f>_xll.qlInterpolationInterpolate(B6Minterpolation,R205,TRUE)</f>
        <v>1.7933060862466758E-3</v>
      </c>
    </row>
    <row r="206" spans="18:19" x14ac:dyDescent="0.2">
      <c r="R206" s="114">
        <f>_xll.qlCalendarAdvance(Calendar,R205,"1D","f")</f>
        <v>43025</v>
      </c>
      <c r="S206" s="236">
        <f>_xll.qlInterpolationInterpolate(B6Minterpolation,R206,TRUE)</f>
        <v>1.7951530960671487E-3</v>
      </c>
    </row>
    <row r="207" spans="18:19" x14ac:dyDescent="0.2">
      <c r="R207" s="114">
        <f>_xll.qlCalendarAdvance(Calendar,R206,"1D","f")</f>
        <v>43026</v>
      </c>
      <c r="S207" s="236">
        <f>_xll.qlInterpolationInterpolate(B6Minterpolation,R207,TRUE)</f>
        <v>1.7970010647179778E-3</v>
      </c>
    </row>
    <row r="208" spans="18:19" x14ac:dyDescent="0.2">
      <c r="R208" s="114">
        <f>_xll.qlCalendarAdvance(Calendar,R207,"1D","f")</f>
        <v>43027</v>
      </c>
      <c r="S208" s="236">
        <f>_xll.qlInterpolationInterpolate(B6Minterpolation,R208,TRUE)</f>
        <v>1.7988499797468214E-3</v>
      </c>
    </row>
    <row r="209" spans="18:19" x14ac:dyDescent="0.2">
      <c r="R209" s="114">
        <f>_xll.qlCalendarAdvance(Calendar,R208,"1D","f")</f>
        <v>43028</v>
      </c>
      <c r="S209" s="236">
        <f>_xll.qlInterpolationInterpolate(B6Minterpolation,R209,TRUE)</f>
        <v>1.8006998287013365E-3</v>
      </c>
    </row>
    <row r="210" spans="18:19" x14ac:dyDescent="0.2">
      <c r="R210" s="114">
        <f>_xll.qlCalendarAdvance(Calendar,R209,"1D","f")</f>
        <v>43031</v>
      </c>
      <c r="S210" s="236">
        <f>_xll.qlInterpolationInterpolate(B6Minterpolation,R210,TRUE)</f>
        <v>1.8062548545954905E-3</v>
      </c>
    </row>
    <row r="211" spans="18:19" x14ac:dyDescent="0.2">
      <c r="R211" s="114">
        <f>_xll.qlCalendarAdvance(Calendar,R210,"1D","f")</f>
        <v>43032</v>
      </c>
      <c r="S211" s="236">
        <f>_xll.qlInterpolationInterpolate(B6Minterpolation,R211,TRUE)</f>
        <v>1.8081083147292701E-3</v>
      </c>
    </row>
    <row r="212" spans="18:19" x14ac:dyDescent="0.2">
      <c r="R212" s="114">
        <f>_xll.qlCalendarAdvance(Calendar,R211,"1D","f")</f>
        <v>43033</v>
      </c>
      <c r="S212" s="236">
        <f>_xll.qlInterpolationInterpolate(B6Minterpolation,R212,TRUE)</f>
        <v>1.8099626465270101E-3</v>
      </c>
    </row>
    <row r="213" spans="18:19" x14ac:dyDescent="0.2">
      <c r="R213" s="114">
        <f>_xll.qlCalendarAdvance(Calendar,R212,"1D","f")</f>
        <v>43034</v>
      </c>
      <c r="S213" s="236">
        <f>_xll.qlInterpolationInterpolate(B6Minterpolation,R213,TRUE)</f>
        <v>1.8118178375363682E-3</v>
      </c>
    </row>
    <row r="214" spans="18:19" x14ac:dyDescent="0.2">
      <c r="R214" s="114">
        <f>_xll.qlCalendarAdvance(Calendar,R213,"1D","f")</f>
        <v>43035</v>
      </c>
      <c r="S214" s="236">
        <f>_xll.qlInterpolationInterpolate(B6Minterpolation,R214,TRUE)</f>
        <v>1.8136738753050021E-3</v>
      </c>
    </row>
    <row r="215" spans="18:19" x14ac:dyDescent="0.2">
      <c r="R215" s="114">
        <f>_xll.qlCalendarAdvance(Calendar,R214,"1D","f")</f>
        <v>43038</v>
      </c>
      <c r="S215" s="236">
        <f>_xll.qlInterpolationInterpolate(B6Minterpolation,R215,TRUE)</f>
        <v>1.8192469446431357E-3</v>
      </c>
    </row>
    <row r="216" spans="18:19" x14ac:dyDescent="0.2">
      <c r="R216" s="114">
        <f>_xll.qlCalendarAdvance(Calendar,R215,"1D","f")</f>
        <v>43039</v>
      </c>
      <c r="S216" s="236">
        <f>_xll.qlInterpolationInterpolate(B6Minterpolation,R216,TRUE)</f>
        <v>1.8211062449254498E-3</v>
      </c>
    </row>
    <row r="217" spans="18:19" x14ac:dyDescent="0.2">
      <c r="R217" s="114">
        <f>_xll.qlCalendarAdvance(Calendar,R216,"1D","f")</f>
        <v>43040</v>
      </c>
      <c r="S217" s="236">
        <f>_xll.qlInterpolationInterpolate(B6Minterpolation,R217,TRUE)</f>
        <v>1.8229663297053282E-3</v>
      </c>
    </row>
    <row r="218" spans="18:19" x14ac:dyDescent="0.2">
      <c r="R218" s="114">
        <f>_xll.qlCalendarAdvance(Calendar,R217,"1D","f")</f>
        <v>43041</v>
      </c>
      <c r="S218" s="236">
        <f>_xll.qlInterpolationInterpolate(B6Minterpolation,R218,TRUE)</f>
        <v>1.8248271865304287E-3</v>
      </c>
    </row>
    <row r="219" spans="18:19" x14ac:dyDescent="0.2">
      <c r="R219" s="114">
        <f>_xll.qlCalendarAdvance(Calendar,R218,"1D","f")</f>
        <v>43042</v>
      </c>
      <c r="S219" s="236">
        <f>_xll.qlInterpolationInterpolate(B6Minterpolation,R219,TRUE)</f>
        <v>1.8266888029484091E-3</v>
      </c>
    </row>
    <row r="220" spans="18:19" x14ac:dyDescent="0.2">
      <c r="R220" s="114">
        <f>_xll.qlCalendarAdvance(Calendar,R219,"1D","f")</f>
        <v>43045</v>
      </c>
      <c r="S220" s="236">
        <f>_xll.qlInterpolationInterpolate(B6Minterpolation,R220,TRUE)</f>
        <v>1.8322780852362054E-3</v>
      </c>
    </row>
    <row r="221" spans="18:19" x14ac:dyDescent="0.2">
      <c r="R221" s="114">
        <f>_xll.qlCalendarAdvance(Calendar,R220,"1D","f")</f>
        <v>43046</v>
      </c>
      <c r="S221" s="236">
        <f>_xll.qlInterpolationInterpolate(B6Minterpolation,R221,TRUE)</f>
        <v>1.8341426155022817E-3</v>
      </c>
    </row>
    <row r="222" spans="18:19" x14ac:dyDescent="0.2">
      <c r="R222" s="114">
        <f>_xll.qlCalendarAdvance(Calendar,R221,"1D","f")</f>
        <v>43047</v>
      </c>
      <c r="S222" s="236">
        <f>_xll.qlInterpolationInterpolate(B6Minterpolation,R222,TRUE)</f>
        <v>1.8360078430995264E-3</v>
      </c>
    </row>
    <row r="223" spans="18:19" x14ac:dyDescent="0.2">
      <c r="R223" s="114">
        <f>_xll.qlCalendarAdvance(Calendar,R222,"1D","f")</f>
        <v>43048</v>
      </c>
      <c r="S223" s="236">
        <f>_xll.qlInterpolationInterpolate(B6Minterpolation,R223,TRUE)</f>
        <v>1.8378737555755972E-3</v>
      </c>
    </row>
    <row r="224" spans="18:19" x14ac:dyDescent="0.2">
      <c r="R224" s="114">
        <f>_xll.qlCalendarAdvance(Calendar,R223,"1D","f")</f>
        <v>43049</v>
      </c>
      <c r="S224" s="236">
        <f>_xll.qlInterpolationInterpolate(B6Minterpolation,R224,TRUE)</f>
        <v>1.8397403404781514E-3</v>
      </c>
    </row>
    <row r="225" spans="18:19" x14ac:dyDescent="0.2">
      <c r="R225" s="114">
        <f>_xll.qlCalendarAdvance(Calendar,R224,"1D","f")</f>
        <v>43052</v>
      </c>
      <c r="S225" s="236">
        <f>_xll.qlInterpolationInterpolate(B6Minterpolation,R225,TRUE)</f>
        <v>1.8453440052212939E-3</v>
      </c>
    </row>
    <row r="226" spans="18:19" x14ac:dyDescent="0.2">
      <c r="R226" s="114">
        <f>_xll.qlCalendarAdvance(Calendar,R225,"1D","f")</f>
        <v>43053</v>
      </c>
      <c r="S226" s="236">
        <f>_xll.qlInterpolationInterpolate(B6Minterpolation,R226,TRUE)</f>
        <v>1.8472131553063603E-3</v>
      </c>
    </row>
    <row r="227" spans="18:19" x14ac:dyDescent="0.2">
      <c r="R227" s="114">
        <f>_xll.qlCalendarAdvance(Calendar,R226,"1D","f")</f>
        <v>43054</v>
      </c>
      <c r="S227" s="236">
        <f>_xll.qlInterpolationInterpolate(B6Minterpolation,R227,TRUE)</f>
        <v>1.8490829155561989E-3</v>
      </c>
    </row>
    <row r="228" spans="18:19" x14ac:dyDescent="0.2">
      <c r="R228" s="114">
        <f>_xll.qlCalendarAdvance(Calendar,R227,"1D","f")</f>
        <v>43055</v>
      </c>
      <c r="S228" s="236">
        <f>_xll.qlInterpolationInterpolate(B6Minterpolation,R228,TRUE)</f>
        <v>1.8509532735184674E-3</v>
      </c>
    </row>
    <row r="229" spans="18:19" x14ac:dyDescent="0.2">
      <c r="R229" s="114">
        <f>_xll.qlCalendarAdvance(Calendar,R228,"1D","f")</f>
        <v>43056</v>
      </c>
      <c r="S229" s="236">
        <f>_xll.qlInterpolationInterpolate(B6Minterpolation,R229,TRUE)</f>
        <v>1.8528242167408237E-3</v>
      </c>
    </row>
    <row r="230" spans="18:19" x14ac:dyDescent="0.2">
      <c r="R230" s="114">
        <f>_xll.qlCalendarAdvance(Calendar,R229,"1D","f")</f>
        <v>43059</v>
      </c>
      <c r="S230" s="236">
        <f>_xll.qlInterpolationInterpolate(B6Minterpolation,R230,TRUE)</f>
        <v>1.8584404334449954E-3</v>
      </c>
    </row>
    <row r="231" spans="18:19" x14ac:dyDescent="0.2">
      <c r="R231" s="114">
        <f>_xll.qlCalendarAdvance(Calendar,R230,"1D","f")</f>
        <v>43060</v>
      </c>
      <c r="S231" s="236">
        <f>_xll.qlInterpolationInterpolate(B6Minterpolation,R231,TRUE)</f>
        <v>1.8603135931842796E-3</v>
      </c>
    </row>
    <row r="232" spans="18:19" x14ac:dyDescent="0.2">
      <c r="R232" s="114">
        <f>_xll.qlCalendarAdvance(Calendar,R231,"1D","f")</f>
        <v>43061</v>
      </c>
      <c r="S232" s="236">
        <f>_xll.qlInterpolationInterpolate(B6Minterpolation,R232,TRUE)</f>
        <v>1.8621872759219398E-3</v>
      </c>
    </row>
    <row r="233" spans="18:19" x14ac:dyDescent="0.2">
      <c r="R233" s="114">
        <f>_xll.qlCalendarAdvance(Calendar,R232,"1D","f")</f>
        <v>43062</v>
      </c>
      <c r="S233" s="236">
        <f>_xll.qlInterpolationInterpolate(B6Minterpolation,R233,TRUE)</f>
        <v>1.864061469205634E-3</v>
      </c>
    </row>
    <row r="234" spans="18:19" x14ac:dyDescent="0.2">
      <c r="R234" s="114">
        <f>_xll.qlCalendarAdvance(Calendar,R233,"1D","f")</f>
        <v>43063</v>
      </c>
      <c r="S234" s="236">
        <f>_xll.qlInterpolationInterpolate(B6Minterpolation,R234,TRUE)</f>
        <v>1.8659361605830199E-3</v>
      </c>
    </row>
    <row r="235" spans="18:19" x14ac:dyDescent="0.2">
      <c r="R235" s="114">
        <f>_xll.qlCalendarAdvance(Calendar,R234,"1D","f")</f>
        <v>43066</v>
      </c>
      <c r="S235" s="236">
        <f>_xll.qlInterpolationInterpolate(B6Minterpolation,R235,TRUE)</f>
        <v>1.8715630987539043E-3</v>
      </c>
    </row>
    <row r="236" spans="18:19" x14ac:dyDescent="0.2">
      <c r="R236" s="114">
        <f>_xll.qlCalendarAdvance(Calendar,R235,"1D","f")</f>
        <v>43067</v>
      </c>
      <c r="S236" s="236">
        <f>_xll.qlInterpolationInterpolate(B6Minterpolation,R236,TRUE)</f>
        <v>1.8734396579826338E-3</v>
      </c>
    </row>
    <row r="237" spans="18:19" x14ac:dyDescent="0.2">
      <c r="R237" s="114">
        <f>_xll.qlCalendarAdvance(Calendar,R236,"1D","f")</f>
        <v>43068</v>
      </c>
      <c r="S237" s="236">
        <f>_xll.qlInterpolationInterpolate(B6Minterpolation,R237,TRUE)</f>
        <v>1.8753166530433435E-3</v>
      </c>
    </row>
    <row r="238" spans="18:19" x14ac:dyDescent="0.2">
      <c r="R238" s="114">
        <f>_xll.qlCalendarAdvance(Calendar,R237,"1D","f")</f>
        <v>43069</v>
      </c>
      <c r="S238" s="236">
        <f>_xll.qlInterpolationInterpolate(B6Minterpolation,R238,TRUE)</f>
        <v>1.8771940714836909E-3</v>
      </c>
    </row>
    <row r="239" spans="18:19" x14ac:dyDescent="0.2">
      <c r="R239" s="114">
        <f>_xll.qlCalendarAdvance(Calendar,R238,"1D","f")</f>
        <v>43070</v>
      </c>
      <c r="S239" s="236">
        <f>_xll.qlInterpolationInterpolate(B6Minterpolation,R239,TRUE)</f>
        <v>1.8790719008513342E-3</v>
      </c>
    </row>
    <row r="240" spans="18:19" x14ac:dyDescent="0.2">
      <c r="R240" s="114">
        <f>_xll.qlCalendarAdvance(Calendar,R239,"1D","f")</f>
        <v>43073</v>
      </c>
      <c r="S240" s="236">
        <f>_xll.qlInterpolationInterpolate(B6Minterpolation,R240,TRUE)</f>
        <v>1.8847077299946142E-3</v>
      </c>
    </row>
    <row r="241" spans="18:19" x14ac:dyDescent="0.2">
      <c r="R241" s="114">
        <f>_xll.qlCalendarAdvance(Calendar,R240,"1D","f")</f>
        <v>43074</v>
      </c>
      <c r="S241" s="236">
        <f>_xll.qlInterpolationInterpolate(B6Minterpolation,R241,TRUE)</f>
        <v>1.8865870785480169E-3</v>
      </c>
    </row>
    <row r="242" spans="18:19" x14ac:dyDescent="0.2">
      <c r="R242" s="114">
        <f>_xll.qlCalendarAdvance(Calendar,R241,"1D","f")</f>
        <v>43075</v>
      </c>
      <c r="S242" s="236">
        <f>_xll.qlInterpolationInterpolate(B6Minterpolation,R242,TRUE)</f>
        <v>1.8884667757670039E-3</v>
      </c>
    </row>
    <row r="243" spans="18:19" x14ac:dyDescent="0.2">
      <c r="R243" s="114">
        <f>_xll.qlCalendarAdvance(Calendar,R242,"1D","f")</f>
        <v>43076</v>
      </c>
      <c r="S243" s="236">
        <f>_xll.qlInterpolationInterpolate(B6Minterpolation,R243,TRUE)</f>
        <v>1.8903468091992326E-3</v>
      </c>
    </row>
    <row r="244" spans="18:19" x14ac:dyDescent="0.2">
      <c r="R244" s="114">
        <f>_xll.qlCalendarAdvance(Calendar,R243,"1D","f")</f>
        <v>43077</v>
      </c>
      <c r="S244" s="236">
        <f>_xll.qlInterpolationInterpolate(B6Minterpolation,R244,TRUE)</f>
        <v>1.8922271663923606E-3</v>
      </c>
    </row>
    <row r="245" spans="18:19" x14ac:dyDescent="0.2">
      <c r="R245" s="114">
        <f>_xll.qlCalendarAdvance(Calendar,R244,"1D","f")</f>
        <v>43080</v>
      </c>
      <c r="S245" s="236">
        <f>_xll.qlInterpolationInterpolate(B6Minterpolation,R245,TRUE)</f>
        <v>1.89787005601372E-3</v>
      </c>
    </row>
    <row r="246" spans="18:19" x14ac:dyDescent="0.2">
      <c r="R246" s="114">
        <f>_xll.qlCalendarAdvance(Calendar,R245,"1D","f")</f>
        <v>43081</v>
      </c>
      <c r="S246" s="236">
        <f>_xll.qlInterpolationInterpolate(B6Minterpolation,R246,TRUE)</f>
        <v>1.8997515837270236E-3</v>
      </c>
    </row>
    <row r="247" spans="18:19" x14ac:dyDescent="0.2">
      <c r="R247" s="114">
        <f>_xll.qlCalendarAdvance(Calendar,R246,"1D","f")</f>
        <v>43082</v>
      </c>
      <c r="S247" s="236">
        <f>_xll.qlInterpolationInterpolate(B6Minterpolation,R247,TRUE)</f>
        <v>1.9016333729395152E-3</v>
      </c>
    </row>
    <row r="248" spans="18:19" x14ac:dyDescent="0.2">
      <c r="R248" s="114">
        <f>_xll.qlCalendarAdvance(Calendar,R247,"1D","f")</f>
        <v>43083</v>
      </c>
      <c r="S248" s="236">
        <f>_xll.qlInterpolationInterpolate(B6Minterpolation,R248,TRUE)</f>
        <v>1.9035154111988529E-3</v>
      </c>
    </row>
    <row r="249" spans="18:19" x14ac:dyDescent="0.2">
      <c r="R249" s="114">
        <f>_xll.qlCalendarAdvance(Calendar,R248,"1D","f")</f>
        <v>43084</v>
      </c>
      <c r="S249" s="236">
        <f>_xll.qlInterpolationInterpolate(B6Minterpolation,R249,TRUE)</f>
        <v>1.9053976860526939E-3</v>
      </c>
    </row>
    <row r="250" spans="18:19" x14ac:dyDescent="0.2">
      <c r="R250" s="114">
        <f>_xll.qlCalendarAdvance(Calendar,R249,"1D","f")</f>
        <v>43087</v>
      </c>
      <c r="S250" s="236">
        <f>_xll.qlInterpolationInterpolate(B6Minterpolation,R250,TRUE)</f>
        <v>1.9110458056578153E-3</v>
      </c>
    </row>
    <row r="251" spans="18:19" x14ac:dyDescent="0.2">
      <c r="R251" s="114">
        <f>_xll.qlCalendarAdvance(Calendar,R250,"1D","f")</f>
        <v>43088</v>
      </c>
      <c r="S251" s="236">
        <f>_xll.qlInterpolationInterpolate(B6Minterpolation,R251,TRUE)</f>
        <v>1.9129289023662476E-3</v>
      </c>
    </row>
    <row r="252" spans="18:19" x14ac:dyDescent="0.2">
      <c r="R252" s="114">
        <f>_xll.qlCalendarAdvance(Calendar,R251,"1D","f")</f>
        <v>43089</v>
      </c>
      <c r="S252" s="236">
        <f>_xll.qlInterpolationInterpolate(B6Minterpolation,R252,TRUE)</f>
        <v>1.9148121734074719E-3</v>
      </c>
    </row>
    <row r="253" spans="18:19" x14ac:dyDescent="0.2">
      <c r="R253" s="114">
        <f>_xll.qlCalendarAdvance(Calendar,R252,"1D","f")</f>
        <v>43090</v>
      </c>
      <c r="S253" s="236">
        <f>_xll.qlInterpolationInterpolate(B6Minterpolation,R253,TRUE)</f>
        <v>1.9166956063291459E-3</v>
      </c>
    </row>
    <row r="254" spans="18:19" x14ac:dyDescent="0.2">
      <c r="R254" s="114">
        <f>_xll.qlCalendarAdvance(Calendar,R253,"1D","f")</f>
        <v>43091</v>
      </c>
      <c r="S254" s="236">
        <f>_xll.qlInterpolationInterpolate(B6Minterpolation,R254,TRUE)</f>
        <v>1.9185791886789276E-3</v>
      </c>
    </row>
    <row r="255" spans="18:19" x14ac:dyDescent="0.2">
      <c r="R255" s="114">
        <f>_xll.qlCalendarAdvance(Calendar,R254,"1D","f")</f>
        <v>43096</v>
      </c>
      <c r="S255" s="236">
        <f>_xll.qlInterpolationInterpolate(B6Minterpolation,R255,TRUE)</f>
        <v>1.9279989060174679E-3</v>
      </c>
    </row>
    <row r="256" spans="18:19" x14ac:dyDescent="0.2">
      <c r="R256" s="114">
        <f>_xll.qlCalendarAdvance(Calendar,R255,"1D","f")</f>
        <v>43097</v>
      </c>
      <c r="S256" s="236">
        <f>_xll.qlInterpolationInterpolate(B6Minterpolation,R256,TRUE)</f>
        <v>1.9298831234367062E-3</v>
      </c>
    </row>
    <row r="257" spans="18:19" x14ac:dyDescent="0.2">
      <c r="R257" s="114">
        <f>_xll.qlCalendarAdvance(Calendar,R256,"1D","f")</f>
        <v>43098</v>
      </c>
      <c r="S257" s="236">
        <f>_xll.qlInterpolationInterpolate(B6Minterpolation,R257,TRUE)</f>
        <v>1.9317674031176563E-3</v>
      </c>
    </row>
    <row r="258" spans="18:19" x14ac:dyDescent="0.2">
      <c r="R258" s="114">
        <f>_xll.qlCalendarAdvance(Calendar,R257,"1D","f")</f>
        <v>43102</v>
      </c>
      <c r="S258" s="236">
        <f>_xll.qlInterpolationInterpolate(B6Minterpolation,R258,TRUE)</f>
        <v>1.9393048954117246E-3</v>
      </c>
    </row>
    <row r="259" spans="18:19" x14ac:dyDescent="0.2">
      <c r="R259" s="114">
        <f>_xll.qlCalendarAdvance(Calendar,R258,"1D","f")</f>
        <v>43103</v>
      </c>
      <c r="S259" s="236">
        <f>_xll.qlInterpolationInterpolate(B6Minterpolation,R259,TRUE)</f>
        <v>1.9411892996160974E-3</v>
      </c>
    </row>
    <row r="260" spans="18:19" x14ac:dyDescent="0.2">
      <c r="R260" s="114">
        <f>_xll.qlCalendarAdvance(Calendar,R259,"1D","f")</f>
        <v>43104</v>
      </c>
      <c r="S260" s="236">
        <f>_xll.qlInterpolationInterpolate(B6Minterpolation,R260,TRUE)</f>
        <v>1.9430736913681279E-3</v>
      </c>
    </row>
    <row r="261" spans="18:19" x14ac:dyDescent="0.2">
      <c r="R261" s="114">
        <f>_xll.qlCalendarAdvance(Calendar,R260,"1D","f")</f>
        <v>43105</v>
      </c>
      <c r="S261" s="236">
        <f>_xll.qlInterpolationInterpolate(B6Minterpolation,R261,TRUE)</f>
        <v>1.944958058215474E-3</v>
      </c>
    </row>
    <row r="262" spans="18:19" x14ac:dyDescent="0.2">
      <c r="R262" s="118">
        <f>_xll.qlCalendarAdvance(Calendar,R261,"1D","f")</f>
        <v>43108</v>
      </c>
      <c r="S262" s="238">
        <f>_xll.qlInterpolationInterpolate(B6Minterpolation,R262,TRUE)</f>
        <v>1.9506108848059813E-3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384"/>
  <sheetViews>
    <sheetView showGridLines="0" topLeftCell="A2" workbookViewId="0">
      <selection activeCell="D2" sqref="D2"/>
    </sheetView>
  </sheetViews>
  <sheetFormatPr defaultColWidth="9.33203125"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_xll.qlInterpolation(,interpolator12M,_xll.ohFilter(E3:E14,M3:M14),_xll.ohFilter(L3:L14,M3:M14))</f>
        <v>obj_0048b#0004</v>
      </c>
    </row>
    <row r="2" spans="1:19" ht="26.4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117</v>
      </c>
      <c r="H2" s="87" t="str">
        <f>F1&amp;" Market quote"</f>
        <v>12M Market quote</v>
      </c>
      <c r="I2" s="87" t="s">
        <v>118</v>
      </c>
      <c r="J2" s="87" t="s">
        <v>119</v>
      </c>
      <c r="K2" s="87" t="s">
        <v>120</v>
      </c>
      <c r="L2" s="87" t="s">
        <v>130</v>
      </c>
      <c r="M2" s="87" t="s">
        <v>78</v>
      </c>
      <c r="N2" s="87" t="s">
        <v>124</v>
      </c>
      <c r="O2" s="87" t="s">
        <v>133</v>
      </c>
      <c r="P2" s="87" t="s">
        <v>121</v>
      </c>
      <c r="R2" s="87" t="s">
        <v>100</v>
      </c>
      <c r="S2" s="87" t="s">
        <v>124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42737</v>
      </c>
      <c r="F3" s="245">
        <f>_xll.qlCalendarAdvance(Calendar,E3,$F$1,"mf",,Trigger)</f>
        <v>43102</v>
      </c>
      <c r="G3" s="95">
        <f>_xll.qlDayCounterYearFraction(DayCounter,E3,F3,,,Trigger)</f>
        <v>1.0138888888888888</v>
      </c>
      <c r="H3" s="246">
        <f>_xll.qlQuoteValue(D3,LastFixingsTrigger)</f>
        <v>-8.1000000000000006E-4</v>
      </c>
      <c r="I3" s="247">
        <f>_xll.qlYieldTSDiscount(OvernightCurve,E3,,AllTriggers)</f>
        <v>1.0000352787656608</v>
      </c>
      <c r="J3" s="247">
        <f>_xll.qlYieldTSDiscount(OvernightCurve,F3,,AllTriggers)</f>
        <v>1.0035251769469908</v>
      </c>
      <c r="K3" s="246">
        <f>(I3/J3-1)/G3</f>
        <v>-3.430000000000078E-3</v>
      </c>
      <c r="L3" s="246">
        <f>H3-K3</f>
        <v>2.620000000000078E-3</v>
      </c>
      <c r="M3" s="233" t="b">
        <v>0</v>
      </c>
      <c r="N3" s="239">
        <f>_xll.qlInterpolationInterpolate($N$1,E3,TRUE)</f>
        <v>2.5616596287706523E-3</v>
      </c>
      <c r="O3" s="240">
        <f>(L3-N3)*10000</f>
        <v>0.58340371229425714</v>
      </c>
      <c r="P3" s="274">
        <f t="shared" ref="P3:P15" si="0">LN((1+H3*G3)/(1+K3*G3))</f>
        <v>2.6621125206410818E-3</v>
      </c>
      <c r="R3" s="109">
        <f>E3</f>
        <v>42737</v>
      </c>
      <c r="S3" s="235">
        <f>_xll.qlInterpolationInterpolate(B12Minterpolation,R3,TRUE)</f>
        <v>2.5616596287706523E-3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42768</v>
      </c>
      <c r="F4" s="114">
        <f>_xll.qlCalendarAdvance(Calendar,E4,$F$1,"mf",,Trigger)</f>
        <v>43133</v>
      </c>
      <c r="G4" s="100">
        <f>_xll.qlDayCounterYearFraction(DayCounter,E4,F4,,,Trigger)</f>
        <v>1.0138888888888888</v>
      </c>
      <c r="H4" s="112">
        <f>_xll.qlQuoteValue(D4,AllTriggers)</f>
        <v>-7.7999999999999999E-4</v>
      </c>
      <c r="I4" s="111">
        <f>_xll.qlYieldTSDiscount(OvernightCurve,E4,,AllTriggers)</f>
        <v>1.0003350458344147</v>
      </c>
      <c r="J4" s="111">
        <f>_xll.qlYieldTSDiscount(OvernightCurve,F4,,AllTriggers)</f>
        <v>1.0038130681300788</v>
      </c>
      <c r="K4" s="112">
        <f t="shared" ref="K4:K15" si="2">(I4/J4-1)/G4</f>
        <v>-3.4173475754980033E-3</v>
      </c>
      <c r="L4" s="125">
        <f t="shared" ref="L4:L15" si="3">H4-K4</f>
        <v>2.6373475754980034E-3</v>
      </c>
      <c r="M4" s="50" t="b">
        <v>1</v>
      </c>
      <c r="N4" s="112">
        <f>_xll.qlInterpolationInterpolate($N$1,E4,TRUE)</f>
        <v>2.6373475754980034E-3</v>
      </c>
      <c r="O4" s="242">
        <f t="shared" ref="O4:O15" si="4">(L4-N4)*10000</f>
        <v>0</v>
      </c>
      <c r="P4" s="237">
        <f t="shared" si="0"/>
        <v>2.6796808870566137E-3</v>
      </c>
      <c r="R4" s="114">
        <f>_xll.qlCalendarAdvance(Calendar,R3,"1D","f")</f>
        <v>42738</v>
      </c>
      <c r="S4" s="236">
        <f>_xll.qlInterpolationInterpolate(B12Minterpolation,R4,TRUE)</f>
        <v>2.5640521951901191E-3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42796</v>
      </c>
      <c r="F5" s="114">
        <f>_xll.qlCalendarAdvance(Calendar,E5,$F$1,"mf",,Trigger)</f>
        <v>43161</v>
      </c>
      <c r="G5" s="100">
        <f>_xll.qlDayCounterYearFraction(DayCounter,E5,F5,,,Trigger)</f>
        <v>1.0138888888888888</v>
      </c>
      <c r="H5" s="112">
        <f>_xll.qlQuoteValue(D5,AllTriggers)</f>
        <v>-7.000000000000001E-4</v>
      </c>
      <c r="I5" s="115">
        <f>_xll.qlYieldTSDiscount(OvernightCurve,E5,,AllTriggers)</f>
        <v>1.0006059576967901</v>
      </c>
      <c r="J5" s="115">
        <f>_xll.qlYieldTSDiscount(OvernightCurve,F5,,AllTriggers)</f>
        <v>1.0040731698634651</v>
      </c>
      <c r="K5" s="112">
        <f t="shared" si="2"/>
        <v>-3.4058435303696596E-3</v>
      </c>
      <c r="L5" s="112">
        <f t="shared" si="3"/>
        <v>2.7058435303696595E-3</v>
      </c>
      <c r="M5" s="50" t="b">
        <v>1</v>
      </c>
      <c r="N5" s="112">
        <f>_xll.qlInterpolationInterpolate($N$1,E5,TRUE)</f>
        <v>2.7058435303696595E-3</v>
      </c>
      <c r="O5" s="242">
        <f t="shared" si="4"/>
        <v>0</v>
      </c>
      <c r="P5" s="237">
        <f t="shared" si="0"/>
        <v>2.7491485912812456E-3</v>
      </c>
      <c r="R5" s="114">
        <f>_xll.qlCalendarAdvance(Calendar,R4,"1D","f")</f>
        <v>42739</v>
      </c>
      <c r="S5" s="236">
        <f>_xll.qlInterpolationInterpolate(B12Minterpolation,R5,TRUE)</f>
        <v>2.566449579339011E-3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42828</v>
      </c>
      <c r="F6" s="114">
        <f>_xll.qlCalendarAdvance(Calendar,E6,$F$1,"mf",,Trigger)</f>
        <v>43193</v>
      </c>
      <c r="G6" s="100">
        <f>_xll.qlDayCounterYearFraction(DayCounter,E6,F6,,,Trigger)</f>
        <v>1.0138888888888888</v>
      </c>
      <c r="H6" s="112">
        <f>_xll.qlQuoteValue(D6,AllTriggers)</f>
        <v>-6.1000000000000008E-4</v>
      </c>
      <c r="I6" s="115">
        <f>_xll.qlYieldTSDiscount(OvernightCurve,E6,,AllTriggers)</f>
        <v>1.0009153176886199</v>
      </c>
      <c r="J6" s="115">
        <f>_xll.qlYieldTSDiscount(OvernightCurve,F6,,AllTriggers)</f>
        <v>1.0043705115139778</v>
      </c>
      <c r="K6" s="112">
        <f t="shared" si="2"/>
        <v>-3.3930331128059926E-3</v>
      </c>
      <c r="L6" s="112">
        <f t="shared" si="3"/>
        <v>2.7830331128059927E-3</v>
      </c>
      <c r="M6" s="50" t="b">
        <v>1</v>
      </c>
      <c r="N6" s="112">
        <f>_xll.qlInterpolationInterpolate($N$1,E6,TRUE)</f>
        <v>2.7830331128059927E-3</v>
      </c>
      <c r="O6" s="242">
        <f t="shared" si="4"/>
        <v>0</v>
      </c>
      <c r="P6" s="237">
        <f t="shared" si="0"/>
        <v>2.8274259693311212E-3</v>
      </c>
      <c r="R6" s="114">
        <f>_xll.qlCalendarAdvance(Calendar,R5,"1D","f")</f>
        <v>42740</v>
      </c>
      <c r="S6" s="236">
        <f>_xll.qlInterpolationInterpolate(B12Minterpolation,R6,TRUE)</f>
        <v>2.5688516206263472E-3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42857</v>
      </c>
      <c r="F7" s="114">
        <f>_xll.qlCalendarAdvance(Calendar,E7,$F$1,"mf",,Trigger)</f>
        <v>43222</v>
      </c>
      <c r="G7" s="100">
        <f>_xll.qlDayCounterYearFraction(DayCounter,E7,F7,,,Trigger)</f>
        <v>1.0138888888888888</v>
      </c>
      <c r="H7" s="112">
        <f>_xll.qlQuoteValue(D7,AllTriggers)</f>
        <v>-5.1999999999999995E-4</v>
      </c>
      <c r="I7" s="115">
        <f>_xll.qlYieldTSDiscount(OvernightCurve,E7,,AllTriggers)</f>
        <v>1.0011968203438091</v>
      </c>
      <c r="J7" s="115">
        <f>_xll.qlYieldTSDiscount(OvernightCurve,F7,,AllTriggers)</f>
        <v>1.0046369660150121</v>
      </c>
      <c r="K7" s="112">
        <f t="shared" si="2"/>
        <v>-3.3773596859516409E-3</v>
      </c>
      <c r="L7" s="112">
        <f t="shared" si="3"/>
        <v>2.8573596859516408E-3</v>
      </c>
      <c r="M7" s="50" t="b">
        <v>1</v>
      </c>
      <c r="N7" s="112">
        <f>_xll.qlInterpolationInterpolate($N$1,E7,TRUE)</f>
        <v>2.8573596859516408E-3</v>
      </c>
      <c r="O7" s="242">
        <f t="shared" si="4"/>
        <v>0</v>
      </c>
      <c r="P7" s="237">
        <f t="shared" si="0"/>
        <v>2.9027824287964632E-3</v>
      </c>
      <c r="R7" s="114">
        <f>_xll.qlCalendarAdvance(Calendar,R6,"1D","f")</f>
        <v>42741</v>
      </c>
      <c r="S7" s="236">
        <f>_xll.qlInterpolationInterpolate(B12Minterpolation,R7,TRUE)</f>
        <v>2.5712581584611473E-3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42888</v>
      </c>
      <c r="F8" s="114">
        <f>_xll.qlCalendarAdvance(Calendar,E8,$F$1,"mf",,Trigger)</f>
        <v>43255</v>
      </c>
      <c r="G8" s="100">
        <f>_xll.qlDayCounterYearFraction(DayCounter,E8,F8,,,Trigger)</f>
        <v>1.0194444444444444</v>
      </c>
      <c r="H8" s="112">
        <f>_xll.qlQuoteValue(D8,AllTriggers)</f>
        <v>-4.3000000000000004E-4</v>
      </c>
      <c r="I8" s="115">
        <f>_xll.qlYieldTSDiscount(OvernightCurve,E8,,AllTriggers)</f>
        <v>1.0014961447971529</v>
      </c>
      <c r="J8" s="115">
        <f>_xll.qlYieldTSDiscount(OvernightCurve,F8,,AllTriggers)</f>
        <v>1.0049402588488694</v>
      </c>
      <c r="K8" s="112">
        <f t="shared" si="2"/>
        <v>-3.3618142703488343E-3</v>
      </c>
      <c r="L8" s="112">
        <f t="shared" si="3"/>
        <v>2.9318142703488341E-3</v>
      </c>
      <c r="M8" s="50" t="b">
        <v>1</v>
      </c>
      <c r="N8" s="112">
        <f>_xll.qlInterpolationInterpolate($N$1,E8,TRUE)</f>
        <v>2.9318142703488341E-3</v>
      </c>
      <c r="O8" s="242">
        <f t="shared" si="4"/>
        <v>0</v>
      </c>
      <c r="P8" s="237">
        <f t="shared" si="0"/>
        <v>2.9946119056518095E-3</v>
      </c>
      <c r="R8" s="114">
        <f>_xll.qlCalendarAdvance(Calendar,R7,"1D","f")</f>
        <v>42744</v>
      </c>
      <c r="S8" s="236">
        <f>_xll.qlInterpolationInterpolate(B12Minterpolation,R8,TRUE)</f>
        <v>2.5785031453405207E-3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42919</v>
      </c>
      <c r="F9" s="114">
        <f>_xll.qlCalendarAdvance(Calendar,E9,$F$1,"mf",,Trigger)</f>
        <v>43284</v>
      </c>
      <c r="G9" s="100">
        <f>_xll.qlDayCounterYearFraction(DayCounter,E9,F9,,,Trigger)</f>
        <v>1.0138888888888888</v>
      </c>
      <c r="H9" s="112">
        <f>_xll.qlQuoteValue(D9,AllTriggers)</f>
        <v>-3.4999999999999994E-4</v>
      </c>
      <c r="I9" s="115">
        <f>_xll.qlYieldTSDiscount(OvernightCurve,E9,,AllTriggers)</f>
        <v>1.0017944448536091</v>
      </c>
      <c r="J9" s="115">
        <f>_xll.qlYieldTSDiscount(OvernightCurve,F9,,AllTriggers)</f>
        <v>1.0052065746454528</v>
      </c>
      <c r="K9" s="112">
        <f t="shared" si="2"/>
        <v>-3.3479569003344325E-3</v>
      </c>
      <c r="L9" s="112">
        <f t="shared" si="3"/>
        <v>2.9979569003344324E-3</v>
      </c>
      <c r="M9" s="50" t="b">
        <v>1</v>
      </c>
      <c r="N9" s="112">
        <f>_xll.qlInterpolationInterpolate($N$1,E9,TRUE)</f>
        <v>2.9979569003344324E-3</v>
      </c>
      <c r="O9" s="242">
        <f t="shared" si="4"/>
        <v>0</v>
      </c>
      <c r="P9" s="237">
        <f t="shared" si="0"/>
        <v>3.0453064499395763E-3</v>
      </c>
      <c r="R9" s="114">
        <f>_xll.qlCalendarAdvance(Calendar,R8,"1D","f")</f>
        <v>42745</v>
      </c>
      <c r="S9" s="236">
        <f>_xll.qlInterpolationInterpolate(B12Minterpolation,R9,TRUE)</f>
        <v>2.5809260634553671E-3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42949</v>
      </c>
      <c r="F10" s="114">
        <f>_xll.qlCalendarAdvance(Calendar,E10,$F$1,"mf",,Trigger)</f>
        <v>43314</v>
      </c>
      <c r="G10" s="100">
        <f>_xll.qlDayCounterYearFraction(DayCounter,E10,F10,,,Trigger)</f>
        <v>1.0138888888888888</v>
      </c>
      <c r="H10" s="112">
        <f>_xll.qlQuoteValue(D10,AllTriggers)</f>
        <v>-2.7000000000000006E-4</v>
      </c>
      <c r="I10" s="115">
        <f>_xll.qlYieldTSDiscount(OvernightCurve,E10,,AllTriggers)</f>
        <v>1.002080087952258</v>
      </c>
      <c r="J10" s="115">
        <f>_xll.qlYieldTSDiscount(OvernightCurve,F10,,AllTriggers)</f>
        <v>1.0054737499311064</v>
      </c>
      <c r="K10" s="112">
        <f t="shared" si="2"/>
        <v>-3.3289516099445434E-3</v>
      </c>
      <c r="L10" s="112">
        <f t="shared" si="3"/>
        <v>3.0589516099445435E-3</v>
      </c>
      <c r="M10" s="50" t="b">
        <v>1</v>
      </c>
      <c r="N10" s="112">
        <f>_xll.qlInterpolationInterpolate($N$1,E10,TRUE)</f>
        <v>3.0589516099445435E-3</v>
      </c>
      <c r="O10" s="242">
        <f t="shared" si="4"/>
        <v>0</v>
      </c>
      <c r="P10" s="237">
        <f t="shared" si="0"/>
        <v>3.1071083655240437E-3</v>
      </c>
      <c r="R10" s="114">
        <f>_xll.qlCalendarAdvance(Calendar,R9,"1D","f")</f>
        <v>42746</v>
      </c>
      <c r="S10" s="236">
        <f>_xll.qlInterpolationInterpolate(B12Minterpolation,R10,TRUE)</f>
        <v>2.5833526751627726E-3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42982</v>
      </c>
      <c r="F11" s="114">
        <f>_xll.qlCalendarAdvance(Calendar,E11,$F$1,"mf",,Trigger)</f>
        <v>43347</v>
      </c>
      <c r="G11" s="100">
        <f>_xll.qlDayCounterYearFraction(DayCounter,E11,F11,,,Trigger)</f>
        <v>1.0138888888888888</v>
      </c>
      <c r="H11" s="112">
        <f>_xll.qlQuoteValue(D11,AllTriggers)</f>
        <v>-1.8000000000000001E-4</v>
      </c>
      <c r="I11" s="115">
        <f>_xll.qlYieldTSDiscount(OvernightCurve,E11,,AllTriggers)</f>
        <v>1.0023958476558112</v>
      </c>
      <c r="J11" s="115">
        <f>_xll.qlYieldTSDiscount(OvernightCurve,F11,,AllTriggers)</f>
        <v>1.0057677247659509</v>
      </c>
      <c r="K11" s="112">
        <f t="shared" si="2"/>
        <v>-3.3066153654059838E-3</v>
      </c>
      <c r="L11" s="112">
        <f t="shared" si="3"/>
        <v>3.1266153654059838E-3</v>
      </c>
      <c r="M11" s="50" t="b">
        <v>1</v>
      </c>
      <c r="N11" s="112">
        <f>_xll.qlInterpolationInterpolate($N$1,E11,TRUE)</f>
        <v>3.1266153654059838E-3</v>
      </c>
      <c r="O11" s="242">
        <f t="shared" si="4"/>
        <v>0</v>
      </c>
      <c r="P11" s="237">
        <f t="shared" si="0"/>
        <v>3.1756562798208481E-3</v>
      </c>
      <c r="R11" s="114">
        <f>_xll.qlCalendarAdvance(Calendar,R10,"1D","f")</f>
        <v>42747</v>
      </c>
      <c r="S11" s="236">
        <f>_xll.qlInterpolationInterpolate(B12Minterpolation,R11,TRUE)</f>
        <v>2.5857828198717569E-3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43010</v>
      </c>
      <c r="F12" s="114">
        <f>_xll.qlCalendarAdvance(Calendar,E12,$F$1,"mf",,Trigger)</f>
        <v>43375</v>
      </c>
      <c r="G12" s="100">
        <f>_xll.qlDayCounterYearFraction(DayCounter,E12,F12,,,Trigger)</f>
        <v>1.0138888888888888</v>
      </c>
      <c r="H12" s="112">
        <f>_xll.qlQuoteValue(D12,AllTriggers)</f>
        <v>-1.0000000000000002E-4</v>
      </c>
      <c r="I12" s="115">
        <f>_xll.qlYieldTSDiscount(OvernightCurve,E12,,AllTriggers)</f>
        <v>1.0026614002314569</v>
      </c>
      <c r="J12" s="115">
        <f>_xll.qlYieldTSDiscount(OvernightCurve,F12,,AllTriggers)</f>
        <v>1.0060172253612092</v>
      </c>
      <c r="K12" s="112">
        <f t="shared" si="2"/>
        <v>-3.290057902643812E-3</v>
      </c>
      <c r="L12" s="112">
        <f t="shared" si="3"/>
        <v>3.1900579026438122E-3</v>
      </c>
      <c r="M12" s="50" t="b">
        <v>1</v>
      </c>
      <c r="N12" s="112">
        <f>_xll.qlInterpolationInterpolate($N$1,E12,TRUE)</f>
        <v>3.1900579026438122E-3</v>
      </c>
      <c r="O12" s="242">
        <f t="shared" si="4"/>
        <v>0</v>
      </c>
      <c r="P12" s="237">
        <f t="shared" si="0"/>
        <v>3.2399351503672128E-3</v>
      </c>
      <c r="R12" s="114">
        <f>_xll.qlCalendarAdvance(Calendar,R11,"1D","f")</f>
        <v>42748</v>
      </c>
      <c r="S12" s="236">
        <f>_xll.qlInterpolationInterpolate(B12Minterpolation,R12,TRUE)</f>
        <v>2.5882163369913389E-3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43041</v>
      </c>
      <c r="F13" s="114">
        <f>_xll.qlCalendarAdvance(Calendar,E13,$F$1,"mf",,Trigger)</f>
        <v>43406</v>
      </c>
      <c r="G13" s="100">
        <f>_xll.qlDayCounterYearFraction(DayCounter,E13,F13,,,Trigger)</f>
        <v>1.0138888888888888</v>
      </c>
      <c r="H13" s="112">
        <f>_xll.qlQuoteValue(D13,AllTriggers)</f>
        <v>-2.0000000000000002E-5</v>
      </c>
      <c r="I13" s="115">
        <f>_xll.qlYieldTSDiscount(OvernightCurve,E13,,AllTriggers)</f>
        <v>1.0029542054771392</v>
      </c>
      <c r="J13" s="115">
        <f>_xll.qlYieldTSDiscount(OvernightCurve,F13,,AllTriggers)</f>
        <v>1.0062885686181799</v>
      </c>
      <c r="K13" s="112">
        <f t="shared" si="2"/>
        <v>-3.268135042163087E-3</v>
      </c>
      <c r="L13" s="112">
        <f t="shared" si="3"/>
        <v>3.2481350421630869E-3</v>
      </c>
      <c r="M13" s="50" t="b">
        <v>0</v>
      </c>
      <c r="N13" s="112">
        <f>_xll.qlInterpolationInterpolate($N$1,E13,TRUE)</f>
        <v>3.2599375397323136E-3</v>
      </c>
      <c r="O13" s="242">
        <f t="shared" si="4"/>
        <v>-0.118024975692267</v>
      </c>
      <c r="P13" s="237">
        <f t="shared" si="0"/>
        <v>3.298749707016289E-3</v>
      </c>
      <c r="R13" s="114">
        <f>_xll.qlCalendarAdvance(Calendar,R12,"1D","f")</f>
        <v>42751</v>
      </c>
      <c r="S13" s="236">
        <f>_xll.qlInterpolationInterpolate(B12Minterpolation,R13,TRUE)</f>
        <v>2.595535516903863E-3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43073</v>
      </c>
      <c r="F14" s="114">
        <f>_xll.qlCalendarAdvance(Calendar,E14,$F$1,"mf",,Trigger)</f>
        <v>43438</v>
      </c>
      <c r="G14" s="100">
        <f>_xll.qlDayCounterYearFraction(DayCounter,E14,F14,,,Trigger)</f>
        <v>1.0138888888888888</v>
      </c>
      <c r="H14" s="112">
        <f>_xll.qlQuoteValue(D14,AllTriggers)</f>
        <v>6.0000000000000002E-5</v>
      </c>
      <c r="I14" s="115">
        <f>_xll.qlYieldTSDiscount(OvernightCurve,E14,,AllTriggers)</f>
        <v>1.0032556507086401</v>
      </c>
      <c r="J14" s="115">
        <f>_xll.qlYieldTSDiscount(OvernightCurve,F14,,AllTriggers)</f>
        <v>1.0065687416498188</v>
      </c>
      <c r="K14" s="112">
        <f t="shared" si="2"/>
        <v>-3.2463814924447031E-3</v>
      </c>
      <c r="L14" s="112">
        <f t="shared" si="3"/>
        <v>3.3063814924447032E-3</v>
      </c>
      <c r="M14" s="50" t="b">
        <v>0</v>
      </c>
      <c r="N14" s="112">
        <f>_xll.qlInterpolationInterpolate($N$1,E14,TRUE)</f>
        <v>3.3196271986523779E-3</v>
      </c>
      <c r="O14" s="242">
        <f t="shared" si="4"/>
        <v>-0.1324570620767464</v>
      </c>
      <c r="P14" s="237">
        <f t="shared" si="0"/>
        <v>3.3577304109047032E-3</v>
      </c>
      <c r="R14" s="114">
        <f>_xll.qlCalendarAdvance(Calendar,R13,"1D","f")</f>
        <v>42752</v>
      </c>
      <c r="S14" s="236">
        <f>_xll.qlInterpolationInterpolate(B12Minterpolation,R14,TRUE)</f>
        <v>2.5979809177560272E-3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43102</v>
      </c>
      <c r="F15" s="118">
        <f>_xll.qlCalendarAdvance(Calendar,E15,$F$1,"mf",,Trigger)</f>
        <v>43467</v>
      </c>
      <c r="G15" s="105">
        <f>_xll.qlDayCounterYearFraction(DayCounter,E15,F15,,,Trigger)</f>
        <v>1.0138888888888888</v>
      </c>
      <c r="H15" s="121">
        <f>_xll.qlQuoteValue(D15,AllTriggers)</f>
        <v>1.4999999999999999E-4</v>
      </c>
      <c r="I15" s="119">
        <f>_xll.qlYieldTSDiscount(OvernightCurve,E15,,AllTriggers)</f>
        <v>1.0035251769469908</v>
      </c>
      <c r="J15" s="119">
        <f>_xll.qlYieldTSDiscount(OvernightCurve,F15,,AllTriggers)</f>
        <v>1.0068227158386891</v>
      </c>
      <c r="K15" s="121">
        <f t="shared" si="2"/>
        <v>-3.230327519328233E-3</v>
      </c>
      <c r="L15" s="121">
        <f t="shared" si="3"/>
        <v>3.380327519328233E-3</v>
      </c>
      <c r="M15" s="55" t="b">
        <v>1</v>
      </c>
      <c r="N15" s="121">
        <f>_xll.qlInterpolationInterpolate($N$1,E15,TRUE)</f>
        <v>3.3521142749087249E-3</v>
      </c>
      <c r="O15" s="243">
        <f t="shared" si="4"/>
        <v>0.28213244419508093</v>
      </c>
      <c r="P15" s="275">
        <f t="shared" si="0"/>
        <v>3.4326401340568019E-3</v>
      </c>
      <c r="R15" s="114">
        <f>_xll.qlCalendarAdvance(Calendar,R14,"1D","f")</f>
        <v>42753</v>
      </c>
      <c r="S15" s="236">
        <f>_xll.qlInterpolationInterpolate(B12Minterpolation,R15,TRUE)</f>
        <v>2.6004288880638851E-3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42754</v>
      </c>
      <c r="S16" s="236">
        <f>_xll.qlInterpolationInterpolate(B12Minterpolation,R16,TRUE)</f>
        <v>2.6028792672364558E-3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42755</v>
      </c>
      <c r="S17" s="236">
        <f>_xll.qlInterpolationInterpolate(B12Minterpolation,R17,TRUE)</f>
        <v>2.6053318946827587E-3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42758</v>
      </c>
      <c r="S18" s="236">
        <f>_xll.qlInterpolationInterpolate(B12Minterpolation,R18,TRUE)</f>
        <v>2.6127016607542485E-3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42759</v>
      </c>
      <c r="S19" s="236">
        <f>_xll.qlInterpolationInterpolate(B12Minterpolation,R19,TRUE)</f>
        <v>2.6151616753856701E-3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42760</v>
      </c>
      <c r="S20" s="236">
        <f>_xll.qlInterpolationInterpolate(B12Minterpolation,R20,TRUE)</f>
        <v>2.617623135335919E-3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42761</v>
      </c>
      <c r="S21" s="236">
        <f>_xll.qlInterpolationInterpolate(B12Minterpolation,R21,TRUE)</f>
        <v>2.6200858800140146E-3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42762</v>
      </c>
      <c r="S22" s="236">
        <f>_xll.qlInterpolationInterpolate(B12Minterpolation,R22,TRUE)</f>
        <v>2.6225497488289763E-3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42765</v>
      </c>
      <c r="S23" s="236">
        <f>_xll.qlInterpolationInterpolate(B12Minterpolation,R23,TRUE)</f>
        <v>2.6299464941852485E-3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42766</v>
      </c>
      <c r="S24" s="236">
        <f>_xll.qlInterpolationInterpolate(B12Minterpolation,R24,TRUE)</f>
        <v>2.6324132536378656E-3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42767</v>
      </c>
      <c r="S25" s="236">
        <f>_xll.qlInterpolationInterpolate(B12Minterpolation,R25,TRUE)</f>
        <v>2.634880334272444E-3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42768</v>
      </c>
      <c r="S26" s="236">
        <f>_xll.qlInterpolationInterpolate(B12Minterpolation,R26,TRUE)</f>
        <v>2.6373475754980034E-3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42769</v>
      </c>
      <c r="S27" s="236">
        <f>_xll.qlInterpolationInterpolate(B12Minterpolation,R27,TRUE)</f>
        <v>2.6398148167235628E-3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42772</v>
      </c>
      <c r="S28" s="236">
        <f>_xll.qlInterpolationInterpolate(B12Minterpolation,R28,TRUE)</f>
        <v>2.6472149344904327E-3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42773</v>
      </c>
      <c r="S29" s="236">
        <f>_xll.qlInterpolationInterpolate(B12Minterpolation,R29,TRUE)</f>
        <v>2.6496805698061838E-3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42774</v>
      </c>
      <c r="S30" s="236">
        <f>_xll.qlInterpolationInterpolate(B12Minterpolation,R30,TRUE)</f>
        <v>2.6521454021670304E-3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42775</v>
      </c>
      <c r="S31" s="236">
        <f>_xll.qlInterpolationInterpolate(B12Minterpolation,R31,TRUE)</f>
        <v>2.6546092709819921E-3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42776</v>
      </c>
      <c r="S32" s="236">
        <f>_xll.qlInterpolationInterpolate(B12Minterpolation,R32,TRUE)</f>
        <v>2.6570720156600877E-3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42779</v>
      </c>
      <c r="S33" s="236">
        <f>_xll.qlInterpolationInterpolate(B12Minterpolation,R33,TRUE)</f>
        <v>2.6644518989633712E-3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42780</v>
      </c>
      <c r="S34" s="236">
        <f>_xll.qlInterpolationInterpolate(B12Minterpolation,R34,TRUE)</f>
        <v>2.6669085411841946E-3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42781</v>
      </c>
      <c r="S35" s="236">
        <f>_xll.qlInterpolationInterpolate(B12Minterpolation,R35,TRUE)</f>
        <v>2.6693632563132481E-3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42782</v>
      </c>
      <c r="S36" s="236">
        <f>_xll.qlInterpolationInterpolate(B12Minterpolation,R36,TRUE)</f>
        <v>2.6718158837595509E-3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42783</v>
      </c>
      <c r="S37" s="236">
        <f>_xll.qlInterpolationInterpolate(B12Minterpolation,R37,TRUE)</f>
        <v>2.6742662629321216E-3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42786</v>
      </c>
      <c r="S38" s="236">
        <f>_xll.qlInterpolationInterpolate(B12Minterpolation,R38,TRUE)</f>
        <v>2.681602304897634E-3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42787</v>
      </c>
      <c r="S39" s="236">
        <f>_xll.qlInterpolationInterpolate(B12Minterpolation,R39,TRUE)</f>
        <v>2.6840420850654692E-3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42788</v>
      </c>
      <c r="S40" s="236">
        <f>_xll.qlInterpolationInterpolate(B12Minterpolation,R40,TRUE)</f>
        <v>2.6864788140046679E-3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42789</v>
      </c>
      <c r="S41" s="236">
        <f>_xll.qlInterpolationInterpolate(B12Minterpolation,R41,TRUE)</f>
        <v>2.6889123311242499E-3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42790</v>
      </c>
      <c r="S42" s="236">
        <f>_xll.qlInterpolationInterpolate(B12Minterpolation,R42,TRUE)</f>
        <v>2.6913424758332341E-3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42793</v>
      </c>
      <c r="S43" s="236">
        <f>_xll.qlInterpolationInterpolate(B12Minterpolation,R43,TRUE)</f>
        <v>2.6986110695867917E-3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42794</v>
      </c>
      <c r="S44" s="236">
        <f>_xll.qlInterpolationInterpolate(B12Minterpolation,R44,TRUE)</f>
        <v>2.7010261187435766E-3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42795</v>
      </c>
      <c r="S45" s="236">
        <f>_xll.qlInterpolationInterpolate(B12Minterpolation,R45,TRUE)</f>
        <v>2.7034369925348595E-3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42796</v>
      </c>
      <c r="S46" s="236">
        <f>_xll.qlInterpolationInterpolate(B12Minterpolation,R46,TRUE)</f>
        <v>2.7058435303696595E-3</v>
      </c>
    </row>
    <row r="47" spans="5:19" ht="11.25" customHeight="1" x14ac:dyDescent="0.2">
      <c r="R47" s="114">
        <f>_xll.qlCalendarAdvance(Calendar,R46,"1D","f")</f>
        <v>42797</v>
      </c>
      <c r="S47" s="236">
        <f>_xll.qlInterpolationInterpolate(B12Minterpolation,R47,TRUE)</f>
        <v>2.7082456763546634E-3</v>
      </c>
    </row>
    <row r="48" spans="5:19" ht="11.25" customHeight="1" x14ac:dyDescent="0.2">
      <c r="R48" s="114">
        <f>_xll.qlCalendarAdvance(Calendar,R47,"1D","f")</f>
        <v>42800</v>
      </c>
      <c r="S48" s="236">
        <f>_xll.qlInterpolationInterpolate(B12Minterpolation,R48,TRUE)</f>
        <v>2.715429810975147E-3</v>
      </c>
    </row>
    <row r="49" spans="18:19" ht="11.25" customHeight="1" x14ac:dyDescent="0.2">
      <c r="R49" s="114">
        <f>_xll.qlCalendarAdvance(Calendar,R48,"1D","f")</f>
        <v>42801</v>
      </c>
      <c r="S49" s="236">
        <f>_xll.qlInterpolationInterpolate(B12Minterpolation,R49,TRUE)</f>
        <v>2.7178186467205498E-3</v>
      </c>
    </row>
    <row r="50" spans="18:19" ht="11.25" customHeight="1" x14ac:dyDescent="0.2">
      <c r="R50" s="114">
        <f>_xll.qlCalendarAdvance(Calendar,R49,"1D","f")</f>
        <v>42802</v>
      </c>
      <c r="S50" s="236">
        <f>_xll.qlInterpolationInterpolate(B12Minterpolation,R50,TRUE)</f>
        <v>2.7202053238936153E-3</v>
      </c>
    </row>
    <row r="51" spans="18:19" ht="11.25" customHeight="1" x14ac:dyDescent="0.2">
      <c r="R51" s="114">
        <f>_xll.qlCalendarAdvance(Calendar,R50,"1D","f")</f>
        <v>42803</v>
      </c>
      <c r="S51" s="236">
        <f>_xll.qlInterpolationInterpolate(B12Minterpolation,R51,TRUE)</f>
        <v>2.7225903100893691E-3</v>
      </c>
    </row>
    <row r="52" spans="18:19" ht="11.25" customHeight="1" x14ac:dyDescent="0.2">
      <c r="R52" s="114">
        <f>_xll.qlCalendarAdvance(Calendar,R51,"1D","f")</f>
        <v>42804</v>
      </c>
      <c r="S52" s="236">
        <f>_xll.qlInterpolationInterpolate(B12Minterpolation,R52,TRUE)</f>
        <v>2.7249740729028368E-3</v>
      </c>
    </row>
    <row r="53" spans="18:19" x14ac:dyDescent="0.2">
      <c r="R53" s="114">
        <f>_xll.qlCalendarAdvance(Calendar,R52,"1D","f")</f>
        <v>42807</v>
      </c>
      <c r="S53" s="236">
        <f>_xll.qlInterpolationInterpolate(B12Minterpolation,R53,TRUE)</f>
        <v>2.7321226969997748E-3</v>
      </c>
    </row>
    <row r="54" spans="18:19" x14ac:dyDescent="0.2">
      <c r="R54" s="114">
        <f>_xll.qlCalendarAdvance(Calendar,R53,"1D","f")</f>
        <v>42808</v>
      </c>
      <c r="S54" s="236">
        <f>_xll.qlInterpolationInterpolate(B12Minterpolation,R54,TRUE)</f>
        <v>2.73450624223435E-3</v>
      </c>
    </row>
    <row r="55" spans="18:19" x14ac:dyDescent="0.2">
      <c r="R55" s="114">
        <f>_xll.qlCalendarAdvance(Calendar,R54,"1D","f")</f>
        <v>42809</v>
      </c>
      <c r="S55" s="236">
        <f>_xll.qlInterpolationInterpolate(B12Minterpolation,R55,TRUE)</f>
        <v>2.7368909020617656E-3</v>
      </c>
    </row>
    <row r="56" spans="18:19" x14ac:dyDescent="0.2">
      <c r="R56" s="114">
        <f>_xll.qlCalendarAdvance(Calendar,R55,"1D","f")</f>
        <v>42810</v>
      </c>
      <c r="S56" s="236">
        <f>_xll.qlInterpolationInterpolate(B12Minterpolation,R56,TRUE)</f>
        <v>2.7392771440770468E-3</v>
      </c>
    </row>
    <row r="57" spans="18:19" x14ac:dyDescent="0.2">
      <c r="R57" s="114">
        <f>_xll.qlCalendarAdvance(Calendar,R56,"1D","f")</f>
        <v>42811</v>
      </c>
      <c r="S57" s="236">
        <f>_xll.qlInterpolationInterpolate(B12Minterpolation,R57,TRUE)</f>
        <v>2.7416654358752186E-3</v>
      </c>
    </row>
    <row r="58" spans="18:19" x14ac:dyDescent="0.2">
      <c r="R58" s="114">
        <f>_xll.qlCalendarAdvance(Calendar,R57,"1D","f")</f>
        <v>42814</v>
      </c>
      <c r="S58" s="236">
        <f>_xll.qlInterpolationInterpolate(B12Minterpolation,R58,TRUE)</f>
        <v>2.7488472859173337E-3</v>
      </c>
    </row>
    <row r="59" spans="18:19" x14ac:dyDescent="0.2">
      <c r="R59" s="114">
        <f>_xll.qlCalendarAdvance(Calendar,R58,"1D","f")</f>
        <v>42815</v>
      </c>
      <c r="S59" s="236">
        <f>_xll.qlInterpolationInterpolate(B12Minterpolation,R59,TRUE)</f>
        <v>2.7512484527973226E-3</v>
      </c>
    </row>
    <row r="60" spans="18:19" x14ac:dyDescent="0.2">
      <c r="R60" s="114">
        <f>_xll.qlCalendarAdvance(Calendar,R59,"1D","f")</f>
        <v>42816</v>
      </c>
      <c r="S60" s="236">
        <f>_xll.qlInterpolationInterpolate(B12Minterpolation,R60,TRUE)</f>
        <v>2.7536540074353287E-3</v>
      </c>
    </row>
    <row r="61" spans="18:19" x14ac:dyDescent="0.2">
      <c r="R61" s="114">
        <f>_xll.qlCalendarAdvance(Calendar,R60,"1D","f")</f>
        <v>42817</v>
      </c>
      <c r="S61" s="236">
        <f>_xll.qlInterpolationInterpolate(B12Minterpolation,R61,TRUE)</f>
        <v>2.7560644174263781E-3</v>
      </c>
    </row>
    <row r="62" spans="18:19" x14ac:dyDescent="0.2">
      <c r="R62" s="114">
        <f>_xll.qlCalendarAdvance(Calendar,R61,"1D","f")</f>
        <v>42818</v>
      </c>
      <c r="S62" s="236">
        <f>_xll.qlInterpolationInterpolate(B12Minterpolation,R62,TRUE)</f>
        <v>2.7584801503654959E-3</v>
      </c>
    </row>
    <row r="63" spans="18:19" x14ac:dyDescent="0.2">
      <c r="R63" s="114">
        <f>_xll.qlCalendarAdvance(Calendar,R62,"1D","f")</f>
        <v>42821</v>
      </c>
      <c r="S63" s="236">
        <f>_xll.qlInterpolationInterpolate(B12Minterpolation,R63,TRUE)</f>
        <v>2.7657639628215105E-3</v>
      </c>
    </row>
    <row r="64" spans="18:19" x14ac:dyDescent="0.2">
      <c r="R64" s="114">
        <f>_xll.qlCalendarAdvance(Calendar,R63,"1D","f")</f>
        <v>42822</v>
      </c>
      <c r="S64" s="236">
        <f>_xll.qlInterpolationInterpolate(B12Minterpolation,R64,TRUE)</f>
        <v>2.768205663503154E-3</v>
      </c>
    </row>
    <row r="65" spans="18:19" x14ac:dyDescent="0.2">
      <c r="R65" s="114">
        <f>_xll.qlCalendarAdvance(Calendar,R64,"1D","f")</f>
        <v>42823</v>
      </c>
      <c r="S65" s="236">
        <f>_xll.qlInterpolationInterpolate(B12Minterpolation,R65,TRUE)</f>
        <v>2.7706550251079924E-3</v>
      </c>
    </row>
    <row r="66" spans="18:19" x14ac:dyDescent="0.2">
      <c r="R66" s="114">
        <f>_xll.qlCalendarAdvance(Calendar,R65,"1D","f")</f>
        <v>42824</v>
      </c>
      <c r="S66" s="236">
        <f>_xll.qlInterpolationInterpolate(B12Minterpolation,R66,TRUE)</f>
        <v>2.7731125152310509E-3</v>
      </c>
    </row>
    <row r="67" spans="18:19" x14ac:dyDescent="0.2">
      <c r="R67" s="114">
        <f>_xll.qlCalendarAdvance(Calendar,R66,"1D","f")</f>
        <v>42825</v>
      </c>
      <c r="S67" s="236">
        <f>_xll.qlInterpolationInterpolate(B12Minterpolation,R67,TRUE)</f>
        <v>2.775578601467355E-3</v>
      </c>
    </row>
    <row r="68" spans="18:19" x14ac:dyDescent="0.2">
      <c r="R68" s="114">
        <f>_xll.qlCalendarAdvance(Calendar,R67,"1D","f")</f>
        <v>42828</v>
      </c>
      <c r="S68" s="236">
        <f>_xll.qlInterpolationInterpolate(B12Minterpolation,R68,TRUE)</f>
        <v>2.7830331128059927E-3</v>
      </c>
    </row>
    <row r="69" spans="18:19" x14ac:dyDescent="0.2">
      <c r="R69" s="114">
        <f>_xll.qlCalendarAdvance(Calendar,R68,"1D","f")</f>
        <v>42829</v>
      </c>
      <c r="S69" s="236">
        <f>_xll.qlInterpolationInterpolate(B12Minterpolation,R69,TRUE)</f>
        <v>2.7855380761452118E-3</v>
      </c>
    </row>
    <row r="70" spans="18:19" x14ac:dyDescent="0.2">
      <c r="R70" s="114">
        <f>_xll.qlCalendarAdvance(Calendar,R69,"1D","f")</f>
        <v>42830</v>
      </c>
      <c r="S70" s="236">
        <f>_xll.qlInterpolationInterpolate(B12Minterpolation,R70,TRUE)</f>
        <v>2.7880528737708834E-3</v>
      </c>
    </row>
    <row r="71" spans="18:19" x14ac:dyDescent="0.2">
      <c r="R71" s="114">
        <f>_xll.qlCalendarAdvance(Calendar,R70,"1D","f")</f>
        <v>42831</v>
      </c>
      <c r="S71" s="236">
        <f>_xll.qlInterpolationInterpolate(B12Minterpolation,R71,TRUE)</f>
        <v>2.7905768734761134E-3</v>
      </c>
    </row>
    <row r="72" spans="18:19" x14ac:dyDescent="0.2">
      <c r="R72" s="114">
        <f>_xll.qlCalendarAdvance(Calendar,R71,"1D","f")</f>
        <v>42832</v>
      </c>
      <c r="S72" s="236">
        <f>_xll.qlInterpolationInterpolate(B12Minterpolation,R72,TRUE)</f>
        <v>2.7931094430540078E-3</v>
      </c>
    </row>
    <row r="73" spans="18:19" x14ac:dyDescent="0.2">
      <c r="R73" s="114">
        <f>_xll.qlCalendarAdvance(Calendar,R72,"1D","f")</f>
        <v>42835</v>
      </c>
      <c r="S73" s="236">
        <f>_xll.qlInterpolationInterpolate(B12Minterpolation,R73,TRUE)</f>
        <v>2.8007522489547332E-3</v>
      </c>
    </row>
    <row r="74" spans="18:19" x14ac:dyDescent="0.2">
      <c r="R74" s="114">
        <f>_xll.qlCalendarAdvance(Calendar,R73,"1D","f")</f>
        <v>42836</v>
      </c>
      <c r="S74" s="236">
        <f>_xll.qlInterpolationInterpolate(B12Minterpolation,R74,TRUE)</f>
        <v>2.8033127759543417E-3</v>
      </c>
    </row>
    <row r="75" spans="18:19" x14ac:dyDescent="0.2">
      <c r="R75" s="114">
        <f>_xll.qlCalendarAdvance(Calendar,R74,"1D","f")</f>
        <v>42837</v>
      </c>
      <c r="S75" s="236">
        <f>_xll.qlInterpolationInterpolate(B12Minterpolation,R75,TRUE)</f>
        <v>2.8058787117921434E-3</v>
      </c>
    </row>
    <row r="76" spans="18:19" x14ac:dyDescent="0.2">
      <c r="R76" s="114">
        <f>_xll.qlCalendarAdvance(Calendar,R75,"1D","f")</f>
        <v>42838</v>
      </c>
      <c r="S76" s="236">
        <f>_xll.qlInterpolationInterpolate(B12Minterpolation,R76,TRUE)</f>
        <v>2.8084494242612439E-3</v>
      </c>
    </row>
    <row r="77" spans="18:19" x14ac:dyDescent="0.2">
      <c r="R77" s="114">
        <f>_xll.qlCalendarAdvance(Calendar,R76,"1D","f")</f>
        <v>42843</v>
      </c>
      <c r="S77" s="236">
        <f>_xll.qlInterpolationInterpolate(B12Minterpolation,R77,TRUE)</f>
        <v>2.8213525088349326E-3</v>
      </c>
    </row>
    <row r="78" spans="18:19" x14ac:dyDescent="0.2">
      <c r="R78" s="114">
        <f>_xll.qlCalendarAdvance(Calendar,R77,"1D","f")</f>
        <v>42844</v>
      </c>
      <c r="S78" s="236">
        <f>_xll.qlInterpolationInterpolate(B12Minterpolation,R78,TRUE)</f>
        <v>2.8239386047470482E-3</v>
      </c>
    </row>
    <row r="79" spans="18:19" x14ac:dyDescent="0.2">
      <c r="R79" s="114">
        <f>_xll.qlCalendarAdvance(Calendar,R78,"1D","f")</f>
        <v>42845</v>
      </c>
      <c r="S79" s="236">
        <f>_xll.qlInterpolationInterpolate(B12Minterpolation,R79,TRUE)</f>
        <v>2.8265250518422031E-3</v>
      </c>
    </row>
    <row r="80" spans="18:19" x14ac:dyDescent="0.2">
      <c r="R80" s="114">
        <f>_xll.qlCalendarAdvance(Calendar,R79,"1D","f")</f>
        <v>42846</v>
      </c>
      <c r="S80" s="236">
        <f>_xll.qlInterpolationInterpolate(B12Minterpolation,R80,TRUE)</f>
        <v>2.8291112179135028E-3</v>
      </c>
    </row>
    <row r="81" spans="18:19" x14ac:dyDescent="0.2">
      <c r="R81" s="114">
        <f>_xll.qlCalendarAdvance(Calendar,R80,"1D","f")</f>
        <v>42849</v>
      </c>
      <c r="S81" s="236">
        <f>_xll.qlInterpolationInterpolate(B12Minterpolation,R81,TRUE)</f>
        <v>2.8368617079153318E-3</v>
      </c>
    </row>
    <row r="82" spans="18:19" x14ac:dyDescent="0.2">
      <c r="R82" s="114">
        <f>_xll.qlCalendarAdvance(Calendar,R81,"1D","f")</f>
        <v>42850</v>
      </c>
      <c r="S82" s="236">
        <f>_xll.qlInterpolationInterpolate(B12Minterpolation,R82,TRUE)</f>
        <v>2.8394404278222706E-3</v>
      </c>
    </row>
    <row r="83" spans="18:19" x14ac:dyDescent="0.2">
      <c r="R83" s="114">
        <f>_xll.qlCalendarAdvance(Calendar,R82,"1D","f")</f>
        <v>42851</v>
      </c>
      <c r="S83" s="236">
        <f>_xll.qlInterpolationInterpolate(B12Minterpolation,R83,TRUE)</f>
        <v>2.8420157056708835E-3</v>
      </c>
    </row>
    <row r="84" spans="18:19" x14ac:dyDescent="0.2">
      <c r="R84" s="114">
        <f>_xll.qlCalendarAdvance(Calendar,R83,"1D","f")</f>
        <v>42852</v>
      </c>
      <c r="S84" s="236">
        <f>_xll.qlInterpolationInterpolate(B12Minterpolation,R84,TRUE)</f>
        <v>2.8445869092542761E-3</v>
      </c>
    </row>
    <row r="85" spans="18:19" x14ac:dyDescent="0.2">
      <c r="R85" s="114">
        <f>_xll.qlCalendarAdvance(Calendar,R84,"1D","f")</f>
        <v>42853</v>
      </c>
      <c r="S85" s="236">
        <f>_xll.qlInterpolationInterpolate(B12Minterpolation,R85,TRUE)</f>
        <v>2.8471534063655543E-3</v>
      </c>
    </row>
    <row r="86" spans="18:19" x14ac:dyDescent="0.2">
      <c r="R86" s="114">
        <f>_xll.qlCalendarAdvance(Calendar,R85,"1D","f")</f>
        <v>42857</v>
      </c>
      <c r="S86" s="236">
        <f>_xll.qlInterpolationInterpolate(B12Minterpolation,R86,TRUE)</f>
        <v>2.8573596859516408E-3</v>
      </c>
    </row>
    <row r="87" spans="18:19" x14ac:dyDescent="0.2">
      <c r="R87" s="114">
        <f>_xll.qlCalendarAdvance(Calendar,R86,"1D","f")</f>
        <v>42858</v>
      </c>
      <c r="S87" s="236">
        <f>_xll.qlInterpolationInterpolate(B12Minterpolation,R87,TRUE)</f>
        <v>2.8598932585925264E-3</v>
      </c>
    </row>
    <row r="88" spans="18:19" x14ac:dyDescent="0.2">
      <c r="R88" s="114">
        <f>_xll.qlCalendarAdvance(Calendar,R87,"1D","f")</f>
        <v>42859</v>
      </c>
      <c r="S88" s="236">
        <f>_xll.qlInterpolationInterpolate(B12Minterpolation,R88,TRUE)</f>
        <v>2.8624188774814818E-3</v>
      </c>
    </row>
    <row r="89" spans="18:19" x14ac:dyDescent="0.2">
      <c r="R89" s="114">
        <f>_xll.qlCalendarAdvance(Calendar,R88,"1D","f")</f>
        <v>42860</v>
      </c>
      <c r="S89" s="236">
        <f>_xll.qlInterpolationInterpolate(B12Minterpolation,R89,TRUE)</f>
        <v>2.8649364563731634E-3</v>
      </c>
    </row>
    <row r="90" spans="18:19" x14ac:dyDescent="0.2">
      <c r="R90" s="114">
        <f>_xll.qlCalendarAdvance(Calendar,R89,"1D","f")</f>
        <v>42863</v>
      </c>
      <c r="S90" s="236">
        <f>_xll.qlInterpolationInterpolate(B12Minterpolation,R90,TRUE)</f>
        <v>2.8724400906111201E-3</v>
      </c>
    </row>
    <row r="91" spans="18:19" x14ac:dyDescent="0.2">
      <c r="R91" s="114">
        <f>_xll.qlCalendarAdvance(Calendar,R90,"1D","f")</f>
        <v>42864</v>
      </c>
      <c r="S91" s="236">
        <f>_xll.qlInterpolationInterpolate(B12Minterpolation,R91,TRUE)</f>
        <v>2.8749246470602618E-3</v>
      </c>
    </row>
    <row r="92" spans="18:19" x14ac:dyDescent="0.2">
      <c r="R92" s="114">
        <f>_xll.qlCalendarAdvance(Calendar,R91,"1D","f")</f>
        <v>42865</v>
      </c>
      <c r="S92" s="236">
        <f>_xll.qlInterpolationInterpolate(B12Minterpolation,R92,TRUE)</f>
        <v>2.8774007322854077E-3</v>
      </c>
    </row>
    <row r="93" spans="18:19" x14ac:dyDescent="0.2">
      <c r="R93" s="114">
        <f>_xll.qlCalendarAdvance(Calendar,R92,"1D","f")</f>
        <v>42866</v>
      </c>
      <c r="S93" s="236">
        <f>_xll.qlInterpolationInterpolate(B12Minterpolation,R93,TRUE)</f>
        <v>2.8798682600412128E-3</v>
      </c>
    </row>
    <row r="94" spans="18:19" x14ac:dyDescent="0.2">
      <c r="R94" s="114">
        <f>_xll.qlCalendarAdvance(Calendar,R93,"1D","f")</f>
        <v>42867</v>
      </c>
      <c r="S94" s="236">
        <f>_xll.qlInterpolationInterpolate(B12Minterpolation,R94,TRUE)</f>
        <v>2.8823271440823334E-3</v>
      </c>
    </row>
    <row r="95" spans="18:19" x14ac:dyDescent="0.2">
      <c r="R95" s="114">
        <f>_xll.qlCalendarAdvance(Calendar,R94,"1D","f")</f>
        <v>42870</v>
      </c>
      <c r="S95" s="236">
        <f>_xll.qlInterpolationInterpolate(B12Minterpolation,R95,TRUE)</f>
        <v>2.8896510714641441E-3</v>
      </c>
    </row>
    <row r="96" spans="18:19" x14ac:dyDescent="0.2">
      <c r="R96" s="114">
        <f>_xll.qlCalendarAdvance(Calendar,R95,"1D","f")</f>
        <v>42871</v>
      </c>
      <c r="S96" s="236">
        <f>_xll.qlInterpolationInterpolate(B12Minterpolation,R96,TRUE)</f>
        <v>2.8920745181930823E-3</v>
      </c>
    </row>
    <row r="97" spans="18:19" x14ac:dyDescent="0.2">
      <c r="R97" s="114">
        <f>_xll.qlCalendarAdvance(Calendar,R96,"1D","f")</f>
        <v>42872</v>
      </c>
      <c r="S97" s="236">
        <f>_xll.qlInterpolationInterpolate(B12Minterpolation,R97,TRUE)</f>
        <v>2.8944888899806141E-3</v>
      </c>
    </row>
    <row r="98" spans="18:19" x14ac:dyDescent="0.2">
      <c r="R98" s="114">
        <f>_xll.qlCalendarAdvance(Calendar,R97,"1D","f")</f>
        <v>42873</v>
      </c>
      <c r="S98" s="236">
        <f>_xll.qlInterpolationInterpolate(B12Minterpolation,R98,TRUE)</f>
        <v>2.8968941005813953E-3</v>
      </c>
    </row>
    <row r="99" spans="18:19" x14ac:dyDescent="0.2">
      <c r="R99" s="114">
        <f>_xll.qlCalendarAdvance(Calendar,R98,"1D","f")</f>
        <v>42874</v>
      </c>
      <c r="S99" s="236">
        <f>_xll.qlInterpolationInterpolate(B12Minterpolation,R99,TRUE)</f>
        <v>2.8992900637500808E-3</v>
      </c>
    </row>
    <row r="100" spans="18:19" x14ac:dyDescent="0.2">
      <c r="R100" s="114">
        <f>_xll.qlCalendarAdvance(Calendar,R99,"1D","f")</f>
        <v>42877</v>
      </c>
      <c r="S100" s="236">
        <f>_xll.qlInterpolationInterpolate(B12Minterpolation,R100,TRUE)</f>
        <v>2.9064216062101231E-3</v>
      </c>
    </row>
    <row r="101" spans="18:19" x14ac:dyDescent="0.2">
      <c r="R101" s="114">
        <f>_xll.qlCalendarAdvance(Calendar,R100,"1D","f")</f>
        <v>42878</v>
      </c>
      <c r="S101" s="236">
        <f>_xll.qlInterpolationInterpolate(B12Minterpolation,R101,TRUE)</f>
        <v>2.9087797171969843E-3</v>
      </c>
    </row>
    <row r="102" spans="18:19" x14ac:dyDescent="0.2">
      <c r="R102" s="114">
        <f>_xll.qlCalendarAdvance(Calendar,R101,"1D","f")</f>
        <v>42879</v>
      </c>
      <c r="S102" s="236">
        <f>_xll.qlInterpolationInterpolate(B12Minterpolation,R102,TRUE)</f>
        <v>2.911128149525028E-3</v>
      </c>
    </row>
    <row r="103" spans="18:19" x14ac:dyDescent="0.2">
      <c r="R103" s="114">
        <f>_xll.qlCalendarAdvance(Calendar,R102,"1D","f")</f>
        <v>42880</v>
      </c>
      <c r="S103" s="236">
        <f>_xll.qlInterpolationInterpolate(B12Minterpolation,R103,TRUE)</f>
        <v>2.9134668169489104E-3</v>
      </c>
    </row>
    <row r="104" spans="18:19" x14ac:dyDescent="0.2">
      <c r="R104" s="114">
        <f>_xll.qlCalendarAdvance(Calendar,R103,"1D","f")</f>
        <v>42881</v>
      </c>
      <c r="S104" s="236">
        <f>_xll.qlInterpolationInterpolate(B12Minterpolation,R104,TRUE)</f>
        <v>2.9157956332232873E-3</v>
      </c>
    </row>
    <row r="105" spans="18:19" x14ac:dyDescent="0.2">
      <c r="R105" s="114">
        <f>_xll.qlCalendarAdvance(Calendar,R104,"1D","f")</f>
        <v>42884</v>
      </c>
      <c r="S105" s="236">
        <f>_xll.qlInterpolationInterpolate(B12Minterpolation,R105,TRUE)</f>
        <v>2.9227221126959389E-3</v>
      </c>
    </row>
    <row r="106" spans="18:19" x14ac:dyDescent="0.2">
      <c r="R106" s="114">
        <f>_xll.qlCalendarAdvance(Calendar,R105,"1D","f")</f>
        <v>42885</v>
      </c>
      <c r="S106" s="236">
        <f>_xll.qlInterpolationInterpolate(B12Minterpolation,R106,TRUE)</f>
        <v>2.9250106619188483E-3</v>
      </c>
    </row>
    <row r="107" spans="18:19" x14ac:dyDescent="0.2">
      <c r="R107" s="114">
        <f>_xll.qlCalendarAdvance(Calendar,R106,"1D","f")</f>
        <v>42886</v>
      </c>
      <c r="S107" s="236">
        <f>_xll.qlInterpolationInterpolate(B12Minterpolation,R107,TRUE)</f>
        <v>2.9272889287655303E-3</v>
      </c>
    </row>
    <row r="108" spans="18:19" x14ac:dyDescent="0.2">
      <c r="R108" s="114">
        <f>_xll.qlCalendarAdvance(Calendar,R107,"1D","f")</f>
        <v>42887</v>
      </c>
      <c r="S108" s="236">
        <f>_xll.qlInterpolationInterpolate(B12Minterpolation,R108,TRUE)</f>
        <v>2.9295568269906403E-3</v>
      </c>
    </row>
    <row r="109" spans="18:19" x14ac:dyDescent="0.2">
      <c r="R109" s="114">
        <f>_xll.qlCalendarAdvance(Calendar,R108,"1D","f")</f>
        <v>42888</v>
      </c>
      <c r="S109" s="236">
        <f>_xll.qlInterpolationInterpolate(B12Minterpolation,R109,TRUE)</f>
        <v>2.9318142703488341E-3</v>
      </c>
    </row>
    <row r="110" spans="18:19" x14ac:dyDescent="0.2">
      <c r="R110" s="114">
        <f>_xll.qlCalendarAdvance(Calendar,R109,"1D","f")</f>
        <v>42891</v>
      </c>
      <c r="S110" s="236">
        <f>_xll.qlInterpolationInterpolate(B12Minterpolation,R110,TRUE)</f>
        <v>2.9385246564966696E-3</v>
      </c>
    </row>
    <row r="111" spans="18:19" x14ac:dyDescent="0.2">
      <c r="R111" s="114">
        <f>_xll.qlCalendarAdvance(Calendar,R110,"1D","f")</f>
        <v>42892</v>
      </c>
      <c r="S111" s="236">
        <f>_xll.qlInterpolationInterpolate(B12Minterpolation,R111,TRUE)</f>
        <v>2.9407416759316537E-3</v>
      </c>
    </row>
    <row r="112" spans="18:19" x14ac:dyDescent="0.2">
      <c r="R112" s="114">
        <f>_xll.qlCalendarAdvance(Calendar,R111,"1D","f")</f>
        <v>42893</v>
      </c>
      <c r="S112" s="236">
        <f>_xll.qlInterpolationInterpolate(B12Minterpolation,R112,TRUE)</f>
        <v>2.9429492739202856E-3</v>
      </c>
    </row>
    <row r="113" spans="18:19" x14ac:dyDescent="0.2">
      <c r="R113" s="114">
        <f>_xll.qlCalendarAdvance(Calendar,R112,"1D","f")</f>
        <v>42894</v>
      </c>
      <c r="S113" s="236">
        <f>_xll.qlInterpolationInterpolate(B12Minterpolation,R113,TRUE)</f>
        <v>2.9451477303790424E-3</v>
      </c>
    </row>
    <row r="114" spans="18:19" x14ac:dyDescent="0.2">
      <c r="R114" s="114">
        <f>_xll.qlCalendarAdvance(Calendar,R113,"1D","f")</f>
        <v>42895</v>
      </c>
      <c r="S114" s="236">
        <f>_xll.qlInterpolationInterpolate(B12Minterpolation,R114,TRUE)</f>
        <v>2.9473373252244021E-3</v>
      </c>
    </row>
    <row r="115" spans="18:19" x14ac:dyDescent="0.2">
      <c r="R115" s="114">
        <f>_xll.qlCalendarAdvance(Calendar,R114,"1D","f")</f>
        <v>42898</v>
      </c>
      <c r="S115" s="236">
        <f>_xll.qlInterpolationInterpolate(B12Minterpolation,R115,TRUE)</f>
        <v>2.9538557392448663E-3</v>
      </c>
    </row>
    <row r="116" spans="18:19" x14ac:dyDescent="0.2">
      <c r="R116" s="114">
        <f>_xll.qlCalendarAdvance(Calendar,R115,"1D","f")</f>
        <v>42899</v>
      </c>
      <c r="S116" s="236">
        <f>_xll.qlInterpolationInterpolate(B12Minterpolation,R116,TRUE)</f>
        <v>2.956012686801407E-3</v>
      </c>
    </row>
    <row r="117" spans="18:19" x14ac:dyDescent="0.2">
      <c r="R117" s="114">
        <f>_xll.qlCalendarAdvance(Calendar,R116,"1D","f")</f>
        <v>42900</v>
      </c>
      <c r="S117" s="236">
        <f>_xll.qlInterpolationInterpolate(B12Minterpolation,R117,TRUE)</f>
        <v>2.958162172326936E-3</v>
      </c>
    </row>
    <row r="118" spans="18:19" x14ac:dyDescent="0.2">
      <c r="R118" s="114">
        <f>_xll.qlCalendarAdvance(Calendar,R117,"1D","f")</f>
        <v>42901</v>
      </c>
      <c r="S118" s="236">
        <f>_xll.qlInterpolationInterpolate(B12Minterpolation,R118,TRUE)</f>
        <v>2.9603044757379308E-3</v>
      </c>
    </row>
    <row r="119" spans="18:19" x14ac:dyDescent="0.2">
      <c r="R119" s="114">
        <f>_xll.qlCalendarAdvance(Calendar,R118,"1D","f")</f>
        <v>42902</v>
      </c>
      <c r="S119" s="236">
        <f>_xll.qlInterpolationInterpolate(B12Minterpolation,R119,TRUE)</f>
        <v>2.9624398769508681E-3</v>
      </c>
    </row>
    <row r="120" spans="18:19" x14ac:dyDescent="0.2">
      <c r="R120" s="114">
        <f>_xll.qlCalendarAdvance(Calendar,R119,"1D","f")</f>
        <v>42905</v>
      </c>
      <c r="S120" s="236">
        <f>_xll.qlInterpolationInterpolate(B12Minterpolation,R120,TRUE)</f>
        <v>2.9688074665661082E-3</v>
      </c>
    </row>
    <row r="121" spans="18:19" x14ac:dyDescent="0.2">
      <c r="R121" s="114">
        <f>_xll.qlCalendarAdvance(Calendar,R120,"1D","f")</f>
        <v>42906</v>
      </c>
      <c r="S121" s="236">
        <f>_xll.qlInterpolationInterpolate(B12Minterpolation,R121,TRUE)</f>
        <v>2.9709180581515881E-3</v>
      </c>
    </row>
    <row r="122" spans="18:19" x14ac:dyDescent="0.2">
      <c r="R122" s="114">
        <f>_xll.qlCalendarAdvance(Calendar,R121,"1D","f")</f>
        <v>42907</v>
      </c>
      <c r="S122" s="236">
        <f>_xll.qlInterpolationInterpolate(B12Minterpolation,R122,TRUE)</f>
        <v>2.9730231471213966E-3</v>
      </c>
    </row>
    <row r="123" spans="18:19" x14ac:dyDescent="0.2">
      <c r="R123" s="114">
        <f>_xll.qlCalendarAdvance(Calendar,R122,"1D","f")</f>
        <v>42908</v>
      </c>
      <c r="S123" s="236">
        <f>_xll.qlInterpolationInterpolate(B12Minterpolation,R123,TRUE)</f>
        <v>2.9751230133920111E-3</v>
      </c>
    </row>
    <row r="124" spans="18:19" x14ac:dyDescent="0.2">
      <c r="R124" s="114">
        <f>_xll.qlCalendarAdvance(Calendar,R123,"1D","f")</f>
        <v>42909</v>
      </c>
      <c r="S124" s="236">
        <f>_xll.qlInterpolationInterpolate(B12Minterpolation,R124,TRUE)</f>
        <v>2.9772179368799086E-3</v>
      </c>
    </row>
    <row r="125" spans="18:19" x14ac:dyDescent="0.2">
      <c r="R125" s="114">
        <f>_xll.qlCalendarAdvance(Calendar,R124,"1D","f")</f>
        <v>42912</v>
      </c>
      <c r="S125" s="236">
        <f>_xll.qlInterpolationInterpolate(B12Minterpolation,R125,TRUE)</f>
        <v>2.9834758498120712E-3</v>
      </c>
    </row>
    <row r="126" spans="18:19" x14ac:dyDescent="0.2">
      <c r="R126" s="114">
        <f>_xll.qlCalendarAdvance(Calendar,R125,"1D","f")</f>
        <v>42913</v>
      </c>
      <c r="S126" s="236">
        <f>_xll.qlInterpolationInterpolate(B12Minterpolation,R126,TRUE)</f>
        <v>2.9855538013338727E-3</v>
      </c>
    </row>
    <row r="127" spans="18:19" x14ac:dyDescent="0.2">
      <c r="R127" s="114">
        <f>_xll.qlCalendarAdvance(Calendar,R126,"1D","f")</f>
        <v>42914</v>
      </c>
      <c r="S127" s="236">
        <f>_xll.qlInterpolationInterpolate(B12Minterpolation,R127,TRUE)</f>
        <v>2.9876282096553434E-3</v>
      </c>
    </row>
    <row r="128" spans="18:19" x14ac:dyDescent="0.2">
      <c r="R128" s="114">
        <f>_xll.qlCalendarAdvance(Calendar,R127,"1D","f")</f>
        <v>42915</v>
      </c>
      <c r="S128" s="236">
        <f>_xll.qlInterpolationInterpolate(B12Minterpolation,R128,TRUE)</f>
        <v>2.9896993546929601E-3</v>
      </c>
    </row>
    <row r="129" spans="18:19" x14ac:dyDescent="0.2">
      <c r="R129" s="114">
        <f>_xll.qlCalendarAdvance(Calendar,R128,"1D","f")</f>
        <v>42916</v>
      </c>
      <c r="S129" s="236">
        <f>_xll.qlInterpolationInterpolate(B12Minterpolation,R129,TRUE)</f>
        <v>2.9917675163632002E-3</v>
      </c>
    </row>
    <row r="130" spans="18:19" x14ac:dyDescent="0.2">
      <c r="R130" s="114">
        <f>_xll.qlCalendarAdvance(Calendar,R129,"1D","f")</f>
        <v>42919</v>
      </c>
      <c r="S130" s="236">
        <f>_xll.qlInterpolationInterpolate(B12Minterpolation,R130,TRUE)</f>
        <v>2.9979569003344324E-3</v>
      </c>
    </row>
    <row r="131" spans="18:19" x14ac:dyDescent="0.2">
      <c r="R131" s="114">
        <f>_xll.qlCalendarAdvance(Calendar,R130,"1D","f")</f>
        <v>42920</v>
      </c>
      <c r="S131" s="236">
        <f>_xll.qlInterpolationInterpolate(B12Minterpolation,R131,TRUE)</f>
        <v>3.0000158823804642E-3</v>
      </c>
    </row>
    <row r="132" spans="18:19" x14ac:dyDescent="0.2">
      <c r="R132" s="114">
        <f>_xll.qlCalendarAdvance(Calendar,R131,"1D","f")</f>
        <v>42921</v>
      </c>
      <c r="S132" s="236">
        <f>_xll.qlInterpolationInterpolate(B12Minterpolation,R132,TRUE)</f>
        <v>3.0020730087246656E-3</v>
      </c>
    </row>
    <row r="133" spans="18:19" x14ac:dyDescent="0.2">
      <c r="R133" s="114">
        <f>_xll.qlCalendarAdvance(Calendar,R132,"1D","f")</f>
        <v>42922</v>
      </c>
      <c r="S133" s="236">
        <f>_xll.qlInterpolationInterpolate(B12Minterpolation,R133,TRUE)</f>
        <v>3.0041282873666721E-3</v>
      </c>
    </row>
    <row r="134" spans="18:19" x14ac:dyDescent="0.2">
      <c r="R134" s="114">
        <f>_xll.qlCalendarAdvance(Calendar,R133,"1D","f")</f>
        <v>42923</v>
      </c>
      <c r="S134" s="236">
        <f>_xll.qlInterpolationInterpolate(B12Minterpolation,R134,TRUE)</f>
        <v>3.0061817263061217E-3</v>
      </c>
    </row>
    <row r="135" spans="18:19" x14ac:dyDescent="0.2">
      <c r="R135" s="114">
        <f>_xll.qlCalendarAdvance(Calendar,R134,"1D","f")</f>
        <v>42926</v>
      </c>
      <c r="S135" s="236">
        <f>_xll.qlInterpolationInterpolate(B12Minterpolation,R135,TRUE)</f>
        <v>3.0123310849054954E-3</v>
      </c>
    </row>
    <row r="136" spans="18:19" x14ac:dyDescent="0.2">
      <c r="R136" s="114">
        <f>_xll.qlCalendarAdvance(Calendar,R135,"1D","f")</f>
        <v>42927</v>
      </c>
      <c r="S136" s="236">
        <f>_xll.qlInterpolationInterpolate(B12Minterpolation,R136,TRUE)</f>
        <v>3.0143772450310843E-3</v>
      </c>
    </row>
    <row r="137" spans="18:19" x14ac:dyDescent="0.2">
      <c r="R137" s="114">
        <f>_xll.qlCalendarAdvance(Calendar,R136,"1D","f")</f>
        <v>42928</v>
      </c>
      <c r="S137" s="236">
        <f>_xll.qlInterpolationInterpolate(B12Minterpolation,R137,TRUE)</f>
        <v>3.0164216054523003E-3</v>
      </c>
    </row>
    <row r="138" spans="18:19" x14ac:dyDescent="0.2">
      <c r="R138" s="114">
        <f>_xll.qlCalendarAdvance(Calendar,R137,"1D","f")</f>
        <v>42929</v>
      </c>
      <c r="S138" s="236">
        <f>_xll.qlInterpolationInterpolate(B12Minterpolation,R138,TRUE)</f>
        <v>3.0184641741687799E-3</v>
      </c>
    </row>
    <row r="139" spans="18:19" x14ac:dyDescent="0.2">
      <c r="R139" s="114">
        <f>_xll.qlCalendarAdvance(Calendar,R138,"1D","f")</f>
        <v>42930</v>
      </c>
      <c r="S139" s="236">
        <f>_xll.qlInterpolationInterpolate(B12Minterpolation,R139,TRUE)</f>
        <v>3.0205049591801605E-3</v>
      </c>
    </row>
    <row r="140" spans="18:19" x14ac:dyDescent="0.2">
      <c r="R140" s="114">
        <f>_xll.qlCalendarAdvance(Calendar,R139,"1D","f")</f>
        <v>42933</v>
      </c>
      <c r="S140" s="236">
        <f>_xll.qlInterpolationInterpolate(B12Minterpolation,R140,TRUE)</f>
        <v>3.0266166919800746E-3</v>
      </c>
    </row>
    <row r="141" spans="18:19" x14ac:dyDescent="0.2">
      <c r="R141" s="114">
        <f>_xll.qlCalendarAdvance(Calendar,R140,"1D","f")</f>
        <v>42934</v>
      </c>
      <c r="S141" s="236">
        <f>_xll.qlInterpolationInterpolate(B12Minterpolation,R141,TRUE)</f>
        <v>3.0286504221674264E-3</v>
      </c>
    </row>
    <row r="142" spans="18:19" x14ac:dyDescent="0.2">
      <c r="R142" s="114">
        <f>_xll.qlCalendarAdvance(Calendar,R141,"1D","f")</f>
        <v>42935</v>
      </c>
      <c r="S142" s="236">
        <f>_xll.qlInterpolationInterpolate(B12Minterpolation,R142,TRUE)</f>
        <v>3.0306824086478632E-3</v>
      </c>
    </row>
    <row r="143" spans="18:19" x14ac:dyDescent="0.2">
      <c r="R143" s="114">
        <f>_xll.qlCalendarAdvance(Calendar,R142,"1D","f")</f>
        <v>42936</v>
      </c>
      <c r="S143" s="236">
        <f>_xll.qlInterpolationInterpolate(B12Minterpolation,R143,TRUE)</f>
        <v>3.032712659421022E-3</v>
      </c>
    </row>
    <row r="144" spans="18:19" x14ac:dyDescent="0.2">
      <c r="R144" s="114">
        <f>_xll.qlCalendarAdvance(Calendar,R143,"1D","f")</f>
        <v>42937</v>
      </c>
      <c r="S144" s="236">
        <f>_xll.qlInterpolationInterpolate(B12Minterpolation,R144,TRUE)</f>
        <v>3.0347411824865394E-3</v>
      </c>
    </row>
    <row r="145" spans="18:19" x14ac:dyDescent="0.2">
      <c r="R145" s="114">
        <f>_xll.qlCalendarAdvance(Calendar,R144,"1D","f")</f>
        <v>42940</v>
      </c>
      <c r="S145" s="236">
        <f>_xll.qlInterpolationInterpolate(B12Minterpolation,R145,TRUE)</f>
        <v>3.0408164654336122E-3</v>
      </c>
    </row>
    <row r="146" spans="18:19" x14ac:dyDescent="0.2">
      <c r="R146" s="114">
        <f>_xll.qlCalendarAdvance(Calendar,R145,"1D","f")</f>
        <v>42941</v>
      </c>
      <c r="S146" s="236">
        <f>_xll.qlInterpolationInterpolate(B12Minterpolation,R146,TRUE)</f>
        <v>3.0428381576649332E-3</v>
      </c>
    </row>
    <row r="147" spans="18:19" x14ac:dyDescent="0.2">
      <c r="R147" s="114">
        <f>_xll.qlCalendarAdvance(Calendar,R146,"1D","f")</f>
        <v>42942</v>
      </c>
      <c r="S147" s="236">
        <f>_xll.qlInterpolationInterpolate(B12Minterpolation,R147,TRUE)</f>
        <v>3.0448581621867971E-3</v>
      </c>
    </row>
    <row r="148" spans="18:19" x14ac:dyDescent="0.2">
      <c r="R148" s="114">
        <f>_xll.qlCalendarAdvance(Calendar,R147,"1D","f")</f>
        <v>42943</v>
      </c>
      <c r="S148" s="236">
        <f>_xll.qlInterpolationInterpolate(B12Minterpolation,R148,TRUE)</f>
        <v>3.0468764869988406E-3</v>
      </c>
    </row>
    <row r="149" spans="18:19" x14ac:dyDescent="0.2">
      <c r="R149" s="114">
        <f>_xll.qlCalendarAdvance(Calendar,R148,"1D","f")</f>
        <v>42944</v>
      </c>
      <c r="S149" s="236">
        <f>_xll.qlInterpolationInterpolate(B12Minterpolation,R149,TRUE)</f>
        <v>3.048893140100701E-3</v>
      </c>
    </row>
    <row r="150" spans="18:19" x14ac:dyDescent="0.2">
      <c r="R150" s="114">
        <f>_xll.qlCalendarAdvance(Calendar,R149,"1D","f")</f>
        <v>42947</v>
      </c>
      <c r="S150" s="236">
        <f>_xll.qlInterpolationInterpolate(B12Minterpolation,R150,TRUE)</f>
        <v>3.0549331491415508E-3</v>
      </c>
    </row>
    <row r="151" spans="18:19" x14ac:dyDescent="0.2">
      <c r="R151" s="114">
        <f>_xll.qlCalendarAdvance(Calendar,R150,"1D","f")</f>
        <v>42948</v>
      </c>
      <c r="S151" s="236">
        <f>_xll.qlInterpolationInterpolate(B12Minterpolation,R151,TRUE)</f>
        <v>3.0569431953990467E-3</v>
      </c>
    </row>
    <row r="152" spans="18:19" x14ac:dyDescent="0.2">
      <c r="R152" s="114">
        <f>_xll.qlCalendarAdvance(Calendar,R151,"1D","f")</f>
        <v>42949</v>
      </c>
      <c r="S152" s="236">
        <f>_xll.qlInterpolationInterpolate(B12Minterpolation,R152,TRUE)</f>
        <v>3.0589516099445435E-3</v>
      </c>
    </row>
    <row r="153" spans="18:19" x14ac:dyDescent="0.2">
      <c r="R153" s="114">
        <f>_xll.qlCalendarAdvance(Calendar,R152,"1D","f")</f>
        <v>42950</v>
      </c>
      <c r="S153" s="236">
        <f>_xll.qlInterpolationInterpolate(B12Minterpolation,R153,TRUE)</f>
        <v>3.0609584633624312E-3</v>
      </c>
    </row>
    <row r="154" spans="18:19" x14ac:dyDescent="0.2">
      <c r="R154" s="114">
        <f>_xll.qlCalendarAdvance(Calendar,R153,"1D","f")</f>
        <v>42951</v>
      </c>
      <c r="S154" s="236">
        <f>_xll.qlInterpolationInterpolate(B12Minterpolation,R154,TRUE)</f>
        <v>3.0629640765761114E-3</v>
      </c>
    </row>
    <row r="155" spans="18:19" x14ac:dyDescent="0.2">
      <c r="R155" s="114">
        <f>_xll.qlCalendarAdvance(Calendar,R154,"1D","f")</f>
        <v>42954</v>
      </c>
      <c r="S155" s="236">
        <f>_xll.qlInterpolationInterpolate(B12Minterpolation,R155,TRUE)</f>
        <v>3.0689773100734566E-3</v>
      </c>
    </row>
    <row r="156" spans="18:19" x14ac:dyDescent="0.2">
      <c r="R156" s="114">
        <f>_xll.qlCalendarAdvance(Calendar,R155,"1D","f")</f>
        <v>42955</v>
      </c>
      <c r="S156" s="236">
        <f>_xll.qlInterpolationInterpolate(B12Minterpolation,R156,TRUE)</f>
        <v>3.0709817975518553E-3</v>
      </c>
    </row>
    <row r="157" spans="18:19" x14ac:dyDescent="0.2">
      <c r="R157" s="114">
        <f>_xll.qlCalendarAdvance(Calendar,R156,"1D","f")</f>
        <v>42956</v>
      </c>
      <c r="S157" s="236">
        <f>_xll.qlInterpolationInterpolate(B12Minterpolation,R157,TRUE)</f>
        <v>3.072986962366821E-3</v>
      </c>
    </row>
    <row r="158" spans="18:19" x14ac:dyDescent="0.2">
      <c r="R158" s="114">
        <f>_xll.qlCalendarAdvance(Calendar,R157,"1D","f")</f>
        <v>42957</v>
      </c>
      <c r="S158" s="236">
        <f>_xll.qlInterpolationInterpolate(B12Minterpolation,R158,TRUE)</f>
        <v>3.0749931880265082E-3</v>
      </c>
    </row>
    <row r="159" spans="18:19" x14ac:dyDescent="0.2">
      <c r="R159" s="114">
        <f>_xll.qlCalendarAdvance(Calendar,R158,"1D","f")</f>
        <v>42958</v>
      </c>
      <c r="S159" s="236">
        <f>_xll.qlInterpolationInterpolate(B12Minterpolation,R159,TRUE)</f>
        <v>3.077000858039072E-3</v>
      </c>
    </row>
    <row r="160" spans="18:19" x14ac:dyDescent="0.2">
      <c r="R160" s="114">
        <f>_xll.qlCalendarAdvance(Calendar,R159,"1D","f")</f>
        <v>42961</v>
      </c>
      <c r="S160" s="236">
        <f>_xll.qlInterpolationInterpolate(B12Minterpolation,R160,TRUE)</f>
        <v>3.0830363692755684E-3</v>
      </c>
    </row>
    <row r="161" spans="18:19" x14ac:dyDescent="0.2">
      <c r="R161" s="114">
        <f>_xll.qlCalendarAdvance(Calendar,R160,"1D","f")</f>
        <v>42962</v>
      </c>
      <c r="S161" s="236">
        <f>_xll.qlInterpolationInterpolate(B12Minterpolation,R161,TRUE)</f>
        <v>3.0850536517811854E-3</v>
      </c>
    </row>
    <row r="162" spans="18:19" x14ac:dyDescent="0.2">
      <c r="R162" s="114">
        <f>_xll.qlCalendarAdvance(Calendar,R161,"1D","f")</f>
        <v>42963</v>
      </c>
      <c r="S162" s="236">
        <f>_xll.qlInterpolationInterpolate(B12Minterpolation,R162,TRUE)</f>
        <v>3.0870742961804521E-3</v>
      </c>
    </row>
    <row r="163" spans="18:19" x14ac:dyDescent="0.2">
      <c r="R163" s="114">
        <f>_xll.qlCalendarAdvance(Calendar,R162,"1D","f")</f>
        <v>42964</v>
      </c>
      <c r="S163" s="236">
        <f>_xll.qlInterpolationInterpolate(B12Minterpolation,R163,TRUE)</f>
        <v>3.0890986859815244E-3</v>
      </c>
    </row>
    <row r="164" spans="18:19" x14ac:dyDescent="0.2">
      <c r="R164" s="114">
        <f>_xll.qlCalendarAdvance(Calendar,R163,"1D","f")</f>
        <v>42965</v>
      </c>
      <c r="S164" s="236">
        <f>_xll.qlInterpolationInterpolate(B12Minterpolation,R164,TRUE)</f>
        <v>3.0911272046925567E-3</v>
      </c>
    </row>
    <row r="165" spans="18:19" x14ac:dyDescent="0.2">
      <c r="R165" s="114">
        <f>_xll.qlCalendarAdvance(Calendar,R164,"1D","f")</f>
        <v>42968</v>
      </c>
      <c r="S165" s="236">
        <f>_xll.qlInterpolationInterpolate(B12Minterpolation,R165,TRUE)</f>
        <v>3.0972413693669612E-3</v>
      </c>
    </row>
    <row r="166" spans="18:19" x14ac:dyDescent="0.2">
      <c r="R166" s="114">
        <f>_xll.qlCalendarAdvance(Calendar,R165,"1D","f")</f>
        <v>42969</v>
      </c>
      <c r="S166" s="236">
        <f>_xll.qlInterpolationInterpolate(B12Minterpolation,R166,TRUE)</f>
        <v>3.0992902387993815E-3</v>
      </c>
    </row>
    <row r="167" spans="18:19" x14ac:dyDescent="0.2">
      <c r="R167" s="114">
        <f>_xll.qlCalendarAdvance(Calendar,R166,"1D","f")</f>
        <v>42970</v>
      </c>
      <c r="S167" s="236">
        <f>_xll.qlInterpolationInterpolate(B12Minterpolation,R167,TRUE)</f>
        <v>3.1013451546825356E-3</v>
      </c>
    </row>
    <row r="168" spans="18:19" x14ac:dyDescent="0.2">
      <c r="R168" s="114">
        <f>_xll.qlCalendarAdvance(Calendar,R167,"1D","f")</f>
        <v>42971</v>
      </c>
      <c r="S168" s="236">
        <f>_xll.qlInterpolationInterpolate(B12Minterpolation,R168,TRUE)</f>
        <v>3.1034065005245783E-3</v>
      </c>
    </row>
    <row r="169" spans="18:19" x14ac:dyDescent="0.2">
      <c r="R169" s="114">
        <f>_xll.qlCalendarAdvance(Calendar,R168,"1D","f")</f>
        <v>42972</v>
      </c>
      <c r="S169" s="236">
        <f>_xll.qlInterpolationInterpolate(B12Minterpolation,R169,TRUE)</f>
        <v>3.1054746598336647E-3</v>
      </c>
    </row>
    <row r="170" spans="18:19" x14ac:dyDescent="0.2">
      <c r="R170" s="114">
        <f>_xll.qlCalendarAdvance(Calendar,R169,"1D","f")</f>
        <v>42975</v>
      </c>
      <c r="S170" s="236">
        <f>_xll.qlInterpolationInterpolate(B12Minterpolation,R170,TRUE)</f>
        <v>3.1117238536447337E-3</v>
      </c>
    </row>
    <row r="171" spans="18:19" x14ac:dyDescent="0.2">
      <c r="R171" s="114">
        <f>_xll.qlCalendarAdvance(Calendar,R170,"1D","f")</f>
        <v>42976</v>
      </c>
      <c r="S171" s="236">
        <f>_xll.qlInterpolationInterpolate(B12Minterpolation,R171,TRUE)</f>
        <v>3.1138231019035424E-3</v>
      </c>
    </row>
    <row r="172" spans="18:19" x14ac:dyDescent="0.2">
      <c r="R172" s="114">
        <f>_xll.qlCalendarAdvance(Calendar,R171,"1D","f")</f>
        <v>42977</v>
      </c>
      <c r="S172" s="236">
        <f>_xll.qlInterpolationInterpolate(B12Minterpolation,R172,TRUE)</f>
        <v>3.1159310811701688E-3</v>
      </c>
    </row>
    <row r="173" spans="18:19" x14ac:dyDescent="0.2">
      <c r="R173" s="114">
        <f>_xll.qlCalendarAdvance(Calendar,R172,"1D","f")</f>
        <v>42978</v>
      </c>
      <c r="S173" s="236">
        <f>_xll.qlInterpolationInterpolate(B12Minterpolation,R173,TRUE)</f>
        <v>3.118048174952768E-3</v>
      </c>
    </row>
    <row r="174" spans="18:19" x14ac:dyDescent="0.2">
      <c r="R174" s="114">
        <f>_xll.qlCalendarAdvance(Calendar,R173,"1D","f")</f>
        <v>42979</v>
      </c>
      <c r="S174" s="236">
        <f>_xll.qlInterpolationInterpolate(B12Minterpolation,R174,TRUE)</f>
        <v>3.1201747667594939E-3</v>
      </c>
    </row>
    <row r="175" spans="18:19" x14ac:dyDescent="0.2">
      <c r="R175" s="114">
        <f>_xll.qlCalendarAdvance(Calendar,R174,"1D","f")</f>
        <v>42982</v>
      </c>
      <c r="S175" s="236">
        <f>_xll.qlInterpolationInterpolate(B12Minterpolation,R175,TRUE)</f>
        <v>3.1266153654059838E-3</v>
      </c>
    </row>
    <row r="176" spans="18:19" x14ac:dyDescent="0.2">
      <c r="R176" s="114">
        <f>_xll.qlCalendarAdvance(Calendar,R175,"1D","f")</f>
        <v>42983</v>
      </c>
      <c r="S176" s="236">
        <f>_xll.qlInterpolationInterpolate(B12Minterpolation,R176,TRUE)</f>
        <v>3.1287836548057365E-3</v>
      </c>
    </row>
    <row r="177" spans="18:19" x14ac:dyDescent="0.2">
      <c r="R177" s="114">
        <f>_xll.qlCalendarAdvance(Calendar,R176,"1D","f")</f>
        <v>42984</v>
      </c>
      <c r="S177" s="236">
        <f>_xll.qlInterpolationInterpolate(B12Minterpolation,R177,TRUE)</f>
        <v>3.1309625822602094E-3</v>
      </c>
    </row>
    <row r="178" spans="18:19" x14ac:dyDescent="0.2">
      <c r="R178" s="114">
        <f>_xll.qlCalendarAdvance(Calendar,R177,"1D","f")</f>
        <v>42985</v>
      </c>
      <c r="S178" s="236">
        <f>_xll.qlInterpolationInterpolate(B12Minterpolation,R178,TRUE)</f>
        <v>3.1331517537673752E-3</v>
      </c>
    </row>
    <row r="179" spans="18:19" x14ac:dyDescent="0.2">
      <c r="R179" s="114">
        <f>_xll.qlCalendarAdvance(Calendar,R178,"1D","f")</f>
        <v>42986</v>
      </c>
      <c r="S179" s="236">
        <f>_xll.qlInterpolationInterpolate(B12Minterpolation,R179,TRUE)</f>
        <v>3.1353507753252075E-3</v>
      </c>
    </row>
    <row r="180" spans="18:19" x14ac:dyDescent="0.2">
      <c r="R180" s="114">
        <f>_xll.qlCalendarAdvance(Calendar,R179,"1D","f")</f>
        <v>42989</v>
      </c>
      <c r="S180" s="236">
        <f>_xll.qlInterpolationInterpolate(B12Minterpolation,R180,TRUE)</f>
        <v>3.1420030002824364E-3</v>
      </c>
    </row>
    <row r="181" spans="18:19" x14ac:dyDescent="0.2">
      <c r="R181" s="114">
        <f>_xll.qlCalendarAdvance(Calendar,R180,"1D","f")</f>
        <v>42990</v>
      </c>
      <c r="S181" s="236">
        <f>_xll.qlInterpolationInterpolate(B12Minterpolation,R181,TRUE)</f>
        <v>3.1442374820226681E-3</v>
      </c>
    </row>
    <row r="182" spans="18:19" x14ac:dyDescent="0.2">
      <c r="R182" s="114">
        <f>_xll.qlCalendarAdvance(Calendar,R181,"1D","f")</f>
        <v>42991</v>
      </c>
      <c r="S182" s="236">
        <f>_xll.qlInterpolationInterpolate(B12Minterpolation,R182,TRUE)</f>
        <v>3.1464798438034331E-3</v>
      </c>
    </row>
    <row r="183" spans="18:19" x14ac:dyDescent="0.2">
      <c r="R183" s="114">
        <f>_xll.qlCalendarAdvance(Calendar,R182,"1D","f")</f>
        <v>42992</v>
      </c>
      <c r="S183" s="236">
        <f>_xll.qlInterpolationInterpolate(B12Minterpolation,R183,TRUE)</f>
        <v>3.1487296916227043E-3</v>
      </c>
    </row>
    <row r="184" spans="18:19" x14ac:dyDescent="0.2">
      <c r="R184" s="114">
        <f>_xll.qlCalendarAdvance(Calendar,R183,"1D","f")</f>
        <v>42993</v>
      </c>
      <c r="S184" s="236">
        <f>_xll.qlInterpolationInterpolate(B12Minterpolation,R184,TRUE)</f>
        <v>3.1509866314784556E-3</v>
      </c>
    </row>
    <row r="185" spans="18:19" x14ac:dyDescent="0.2">
      <c r="R185" s="114">
        <f>_xll.qlCalendarAdvance(Calendar,R184,"1D","f")</f>
        <v>42996</v>
      </c>
      <c r="S185" s="236">
        <f>_xll.qlInterpolationInterpolate(B12Minterpolation,R185,TRUE)</f>
        <v>3.1577960632443217E-3</v>
      </c>
    </row>
    <row r="186" spans="18:19" x14ac:dyDescent="0.2">
      <c r="R186" s="114">
        <f>_xll.qlCalendarAdvance(Calendar,R185,"1D","f")</f>
        <v>42997</v>
      </c>
      <c r="S186" s="236">
        <f>_xll.qlInterpolationInterpolate(B12Minterpolation,R186,TRUE)</f>
        <v>3.1600774312257256E-3</v>
      </c>
    </row>
    <row r="187" spans="18:19" x14ac:dyDescent="0.2">
      <c r="R187" s="114">
        <f>_xll.qlCalendarAdvance(Calendar,R186,"1D","f")</f>
        <v>42998</v>
      </c>
      <c r="S187" s="236">
        <f>_xll.qlInterpolationInterpolate(B12Minterpolation,R187,TRUE)</f>
        <v>3.1623639212334763E-3</v>
      </c>
    </row>
    <row r="188" spans="18:19" x14ac:dyDescent="0.2">
      <c r="R188" s="114">
        <f>_xll.qlCalendarAdvance(Calendar,R187,"1D","f")</f>
        <v>42999</v>
      </c>
      <c r="S188" s="236">
        <f>_xll.qlInterpolationInterpolate(B12Minterpolation,R188,TRUE)</f>
        <v>3.1646551392655467E-3</v>
      </c>
    </row>
    <row r="189" spans="18:19" x14ac:dyDescent="0.2">
      <c r="R189" s="114">
        <f>_xll.qlCalendarAdvance(Calendar,R188,"1D","f")</f>
        <v>43000</v>
      </c>
      <c r="S189" s="236">
        <f>_xll.qlInterpolationInterpolate(B12Minterpolation,R189,TRUE)</f>
        <v>3.1669506913199106E-3</v>
      </c>
    </row>
    <row r="190" spans="18:19" x14ac:dyDescent="0.2">
      <c r="R190" s="114">
        <f>_xll.qlCalendarAdvance(Calendar,R189,"1D","f")</f>
        <v>43003</v>
      </c>
      <c r="S190" s="236">
        <f>_xll.qlInterpolationInterpolate(B12Minterpolation,R190,TRUE)</f>
        <v>3.173859411596495E-3</v>
      </c>
    </row>
    <row r="191" spans="18:19" x14ac:dyDescent="0.2">
      <c r="R191" s="114">
        <f>_xll.qlCalendarAdvance(Calendar,R190,"1D","f")</f>
        <v>43004</v>
      </c>
      <c r="S191" s="236">
        <f>_xll.qlInterpolationInterpolate(B12Minterpolation,R191,TRUE)</f>
        <v>3.1761683597197649E-3</v>
      </c>
    </row>
    <row r="192" spans="18:19" x14ac:dyDescent="0.2">
      <c r="R192" s="114">
        <f>_xll.qlCalendarAdvance(Calendar,R191,"1D","f")</f>
        <v>43005</v>
      </c>
      <c r="S192" s="236">
        <f>_xll.qlInterpolationInterpolate(B12Minterpolation,R192,TRUE)</f>
        <v>3.1784796718551953E-3</v>
      </c>
    </row>
    <row r="193" spans="18:19" x14ac:dyDescent="0.2">
      <c r="R193" s="114">
        <f>_xll.qlCalendarAdvance(Calendar,R192,"1D","f")</f>
        <v>43006</v>
      </c>
      <c r="S193" s="236">
        <f>_xll.qlInterpolationInterpolate(B12Minterpolation,R193,TRUE)</f>
        <v>3.1807929540007586E-3</v>
      </c>
    </row>
    <row r="194" spans="18:19" x14ac:dyDescent="0.2">
      <c r="R194" s="114">
        <f>_xll.qlCalendarAdvance(Calendar,R193,"1D","f")</f>
        <v>43007</v>
      </c>
      <c r="S194" s="236">
        <f>_xll.qlInterpolationInterpolate(B12Minterpolation,R194,TRUE)</f>
        <v>3.1831078121544289E-3</v>
      </c>
    </row>
    <row r="195" spans="18:19" x14ac:dyDescent="0.2">
      <c r="R195" s="114">
        <f>_xll.qlCalendarAdvance(Calendar,R194,"1D","f")</f>
        <v>43010</v>
      </c>
      <c r="S195" s="236">
        <f>_xll.qlInterpolationInterpolate(B12Minterpolation,R195,TRUE)</f>
        <v>3.1900579026438122E-3</v>
      </c>
    </row>
    <row r="196" spans="18:19" x14ac:dyDescent="0.2">
      <c r="R196" s="114">
        <f>_xll.qlCalendarAdvance(Calendar,R195,"1D","f")</f>
        <v>43011</v>
      </c>
      <c r="S196" s="236">
        <f>_xll.qlInterpolationInterpolate(B12Minterpolation,R196,TRUE)</f>
        <v>3.1923751248096421E-3</v>
      </c>
    </row>
    <row r="197" spans="18:19" x14ac:dyDescent="0.2">
      <c r="R197" s="114">
        <f>_xll.qlCalendarAdvance(Calendar,R196,"1D","f")</f>
        <v>43012</v>
      </c>
      <c r="S197" s="236">
        <f>_xll.qlInterpolationInterpolate(B12Minterpolation,R197,TRUE)</f>
        <v>3.1946919529734458E-3</v>
      </c>
    </row>
    <row r="198" spans="18:19" x14ac:dyDescent="0.2">
      <c r="R198" s="114">
        <f>_xll.qlCalendarAdvance(Calendar,R197,"1D","f")</f>
        <v>43013</v>
      </c>
      <c r="S198" s="236">
        <f>_xll.qlInterpolationInterpolate(B12Minterpolation,R198,TRUE)</f>
        <v>3.1970079931331954E-3</v>
      </c>
    </row>
    <row r="199" spans="18:19" x14ac:dyDescent="0.2">
      <c r="R199" s="114">
        <f>_xll.qlCalendarAdvance(Calendar,R198,"1D","f")</f>
        <v>43014</v>
      </c>
      <c r="S199" s="236">
        <f>_xll.qlInterpolationInterpolate(B12Minterpolation,R199,TRUE)</f>
        <v>3.1993228512868658E-3</v>
      </c>
    </row>
    <row r="200" spans="18:19" x14ac:dyDescent="0.2">
      <c r="R200" s="114">
        <f>_xll.qlCalendarAdvance(Calendar,R199,"1D","f")</f>
        <v>43017</v>
      </c>
      <c r="S200" s="236">
        <f>_xll.qlInterpolationInterpolate(B12Minterpolation,R200,TRUE)</f>
        <v>3.2062563936911294E-3</v>
      </c>
    </row>
    <row r="201" spans="18:19" x14ac:dyDescent="0.2">
      <c r="R201" s="114">
        <f>_xll.qlCalendarAdvance(Calendar,R200,"1D","f")</f>
        <v>43018</v>
      </c>
      <c r="S201" s="236">
        <f>_xll.qlInterpolationInterpolate(B12Minterpolation,R201,TRUE)</f>
        <v>3.2085625838002129E-3</v>
      </c>
    </row>
    <row r="202" spans="18:19" x14ac:dyDescent="0.2">
      <c r="R202" s="114">
        <f>_xll.qlCalendarAdvance(Calendar,R201,"1D","f")</f>
        <v>43019</v>
      </c>
      <c r="S202" s="236">
        <f>_xll.qlInterpolationInterpolate(B12Minterpolation,R202,TRUE)</f>
        <v>3.2108656218930833E-3</v>
      </c>
    </row>
    <row r="203" spans="18:19" x14ac:dyDescent="0.2">
      <c r="R203" s="114">
        <f>_xll.qlCalendarAdvance(Calendar,R202,"1D","f")</f>
        <v>43020</v>
      </c>
      <c r="S203" s="236">
        <f>_xll.qlInterpolationInterpolate(B12Minterpolation,R203,TRUE)</f>
        <v>3.2131651139677138E-3</v>
      </c>
    </row>
    <row r="204" spans="18:19" x14ac:dyDescent="0.2">
      <c r="R204" s="114">
        <f>_xll.qlCalendarAdvance(Calendar,R203,"1D","f")</f>
        <v>43021</v>
      </c>
      <c r="S204" s="236">
        <f>_xll.qlInterpolationInterpolate(B12Minterpolation,R204,TRUE)</f>
        <v>3.2154606660220776E-3</v>
      </c>
    </row>
    <row r="205" spans="18:19" x14ac:dyDescent="0.2">
      <c r="R205" s="114">
        <f>_xll.qlCalendarAdvance(Calendar,R204,"1D","f")</f>
        <v>43024</v>
      </c>
      <c r="S205" s="236">
        <f>_xll.qlInterpolationInterpolate(B12Minterpolation,R205,TRUE)</f>
        <v>3.2223197420433026E-3</v>
      </c>
    </row>
    <row r="206" spans="18:19" x14ac:dyDescent="0.2">
      <c r="R206" s="114">
        <f>_xll.qlCalendarAdvance(Calendar,R205,"1D","f")</f>
        <v>43025</v>
      </c>
      <c r="S206" s="236">
        <f>_xll.qlInterpolationInterpolate(B12Minterpolation,R206,TRUE)</f>
        <v>3.2245955939963337E-3</v>
      </c>
    </row>
    <row r="207" spans="18:19" x14ac:dyDescent="0.2">
      <c r="R207" s="114">
        <f>_xll.qlCalendarAdvance(Calendar,R206,"1D","f")</f>
        <v>43026</v>
      </c>
      <c r="S207" s="236">
        <f>_xll.qlInterpolationInterpolate(B12Minterpolation,R207,TRUE)</f>
        <v>3.2268655359189644E-3</v>
      </c>
    </row>
    <row r="208" spans="18:19" x14ac:dyDescent="0.2">
      <c r="R208" s="114">
        <f>_xll.qlCalendarAdvance(Calendar,R207,"1D","f")</f>
        <v>43027</v>
      </c>
      <c r="S208" s="236">
        <f>_xll.qlInterpolationInterpolate(B12Minterpolation,R208,TRUE)</f>
        <v>3.2291291738091687E-3</v>
      </c>
    </row>
    <row r="209" spans="18:19" x14ac:dyDescent="0.2">
      <c r="R209" s="114">
        <f>_xll.qlCalendarAdvance(Calendar,R208,"1D","f")</f>
        <v>43028</v>
      </c>
      <c r="S209" s="236">
        <f>_xll.qlInterpolationInterpolate(B12Minterpolation,R209,TRUE)</f>
        <v>3.2313861136649201E-3</v>
      </c>
    </row>
    <row r="210" spans="18:19" x14ac:dyDescent="0.2">
      <c r="R210" s="114">
        <f>_xll.qlCalendarAdvance(Calendar,R209,"1D","f")</f>
        <v>43031</v>
      </c>
      <c r="S210" s="236">
        <f>_xll.qlInterpolationInterpolate(B12Minterpolation,R210,TRUE)</f>
        <v>3.238112805005188E-3</v>
      </c>
    </row>
    <row r="211" spans="18:19" x14ac:dyDescent="0.2">
      <c r="R211" s="114">
        <f>_xll.qlCalendarAdvance(Calendar,R210,"1D","f")</f>
        <v>43032</v>
      </c>
      <c r="S211" s="236">
        <f>_xll.qlInterpolationInterpolate(B12Minterpolation,R211,TRUE)</f>
        <v>3.2403390127028597E-3</v>
      </c>
    </row>
    <row r="212" spans="18:19" x14ac:dyDescent="0.2">
      <c r="R212" s="114">
        <f>_xll.qlCalendarAdvance(Calendar,R211,"1D","f")</f>
        <v>43033</v>
      </c>
      <c r="S212" s="236">
        <f>_xll.qlInterpolationInterpolate(B12Minterpolation,R212,TRUE)</f>
        <v>3.2425565523559446E-3</v>
      </c>
    </row>
    <row r="213" spans="18:19" x14ac:dyDescent="0.2">
      <c r="R213" s="114">
        <f>_xll.qlCalendarAdvance(Calendar,R212,"1D","f")</f>
        <v>43034</v>
      </c>
      <c r="S213" s="236">
        <f>_xll.qlInterpolationInterpolate(B12Minterpolation,R213,TRUE)</f>
        <v>3.2447650299624168E-3</v>
      </c>
    </row>
    <row r="214" spans="18:19" x14ac:dyDescent="0.2">
      <c r="R214" s="114">
        <f>_xll.qlCalendarAdvance(Calendar,R213,"1D","f")</f>
        <v>43035</v>
      </c>
      <c r="S214" s="236">
        <f>_xll.qlInterpolationInterpolate(B12Minterpolation,R214,TRUE)</f>
        <v>3.2469640515202492E-3</v>
      </c>
    </row>
    <row r="215" spans="18:19" x14ac:dyDescent="0.2">
      <c r="R215" s="114">
        <f>_xll.qlCalendarAdvance(Calendar,R214,"1D","f")</f>
        <v>43038</v>
      </c>
      <c r="S215" s="236">
        <f>_xll.qlInterpolationInterpolate(B12Minterpolation,R215,TRUE)</f>
        <v>3.2535004398816405E-3</v>
      </c>
    </row>
    <row r="216" spans="18:19" x14ac:dyDescent="0.2">
      <c r="R216" s="114">
        <f>_xll.qlCalendarAdvance(Calendar,R215,"1D","f")</f>
        <v>43039</v>
      </c>
      <c r="S216" s="236">
        <f>_xll.qlInterpolationInterpolate(B12Minterpolation,R216,TRUE)</f>
        <v>3.2556576972246468E-3</v>
      </c>
    </row>
    <row r="217" spans="18:19" x14ac:dyDescent="0.2">
      <c r="R217" s="114">
        <f>_xll.qlCalendarAdvance(Calendar,R216,"1D","f")</f>
        <v>43040</v>
      </c>
      <c r="S217" s="236">
        <f>_xll.qlInterpolationInterpolate(B12Minterpolation,R217,TRUE)</f>
        <v>3.2578035285088804E-3</v>
      </c>
    </row>
    <row r="218" spans="18:19" x14ac:dyDescent="0.2">
      <c r="R218" s="114">
        <f>_xll.qlCalendarAdvance(Calendar,R217,"1D","f")</f>
        <v>43041</v>
      </c>
      <c r="S218" s="236">
        <f>_xll.qlInterpolationInterpolate(B12Minterpolation,R218,TRUE)</f>
        <v>3.2599375397323136E-3</v>
      </c>
    </row>
    <row r="219" spans="18:19" x14ac:dyDescent="0.2">
      <c r="R219" s="114">
        <f>_xll.qlCalendarAdvance(Calendar,R218,"1D","f")</f>
        <v>43042</v>
      </c>
      <c r="S219" s="236">
        <f>_xll.qlInterpolationInterpolate(B12Minterpolation,R219,TRUE)</f>
        <v>3.262059336892921E-3</v>
      </c>
    </row>
    <row r="220" spans="18:19" x14ac:dyDescent="0.2">
      <c r="R220" s="114">
        <f>_xll.qlCalendarAdvance(Calendar,R219,"1D","f")</f>
        <v>43045</v>
      </c>
      <c r="S220" s="236">
        <f>_xll.qlInterpolationInterpolate(B12Minterpolation,R220,TRUE)</f>
        <v>3.2683475039775168E-3</v>
      </c>
    </row>
    <row r="221" spans="18:19" x14ac:dyDescent="0.2">
      <c r="R221" s="114">
        <f>_xll.qlCalendarAdvance(Calendar,R220,"1D","f")</f>
        <v>43046</v>
      </c>
      <c r="S221" s="236">
        <f>_xll.qlInterpolationInterpolate(B12Minterpolation,R221,TRUE)</f>
        <v>3.2704165048665517E-3</v>
      </c>
    </row>
    <row r="222" spans="18:19" x14ac:dyDescent="0.2">
      <c r="R222" s="114">
        <f>_xll.qlCalendarAdvance(Calendar,R221,"1D","f")</f>
        <v>43047</v>
      </c>
      <c r="S222" s="236">
        <f>_xll.qlInterpolationInterpolate(B12Minterpolation,R222,TRUE)</f>
        <v>3.2724713216826266E-3</v>
      </c>
    </row>
    <row r="223" spans="18:19" x14ac:dyDescent="0.2">
      <c r="R223" s="114">
        <f>_xll.qlCalendarAdvance(Calendar,R222,"1D","f")</f>
        <v>43048</v>
      </c>
      <c r="S223" s="236">
        <f>_xll.qlInterpolationInterpolate(B12Minterpolation,R223,TRUE)</f>
        <v>3.2745115604237156E-3</v>
      </c>
    </row>
    <row r="224" spans="18:19" x14ac:dyDescent="0.2">
      <c r="R224" s="114">
        <f>_xll.qlCalendarAdvance(Calendar,R223,"1D","f")</f>
        <v>43049</v>
      </c>
      <c r="S224" s="236">
        <f>_xll.qlInterpolationInterpolate(B12Minterpolation,R224,TRUE)</f>
        <v>3.2765368270877911E-3</v>
      </c>
    </row>
    <row r="225" spans="18:19" x14ac:dyDescent="0.2">
      <c r="R225" s="114">
        <f>_xll.qlCalendarAdvance(Calendar,R224,"1D","f")</f>
        <v>43052</v>
      </c>
      <c r="S225" s="236">
        <f>_xll.qlInterpolationInterpolate(B12Minterpolation,R225,TRUE)</f>
        <v>3.2825188545976729E-3</v>
      </c>
    </row>
    <row r="226" spans="18:19" x14ac:dyDescent="0.2">
      <c r="R226" s="114">
        <f>_xll.qlCalendarAdvance(Calendar,R225,"1D","f")</f>
        <v>43053</v>
      </c>
      <c r="S226" s="236">
        <f>_xll.qlInterpolationInterpolate(B12Minterpolation,R226,TRUE)</f>
        <v>3.2844802929334299E-3</v>
      </c>
    </row>
    <row r="227" spans="18:19" x14ac:dyDescent="0.2">
      <c r="R227" s="114">
        <f>_xll.qlCalendarAdvance(Calendar,R226,"1D","f")</f>
        <v>43054</v>
      </c>
      <c r="S227" s="236">
        <f>_xll.qlInterpolationInterpolate(B12Minterpolation,R227,TRUE)</f>
        <v>3.2864247891820405E-3</v>
      </c>
    </row>
    <row r="228" spans="18:19" x14ac:dyDescent="0.2">
      <c r="R228" s="114">
        <f>_xll.qlCalendarAdvance(Calendar,R227,"1D","f")</f>
        <v>43055</v>
      </c>
      <c r="S228" s="236">
        <f>_xll.qlInterpolationInterpolate(B12Minterpolation,R228,TRUE)</f>
        <v>3.2883519493414779E-3</v>
      </c>
    </row>
    <row r="229" spans="18:19" x14ac:dyDescent="0.2">
      <c r="R229" s="114">
        <f>_xll.qlCalendarAdvance(Calendar,R228,"1D","f")</f>
        <v>43056</v>
      </c>
      <c r="S229" s="236">
        <f>_xll.qlInterpolationInterpolate(B12Minterpolation,R229,TRUE)</f>
        <v>3.2902613794097155E-3</v>
      </c>
    </row>
    <row r="230" spans="18:19" x14ac:dyDescent="0.2">
      <c r="R230" s="114">
        <f>_xll.qlCalendarAdvance(Calendar,R229,"1D","f")</f>
        <v>43059</v>
      </c>
      <c r="S230" s="236">
        <f>_xll.qlInterpolationInterpolate(B12Minterpolation,R230,TRUE)</f>
        <v>3.2958793490469643E-3</v>
      </c>
    </row>
    <row r="231" spans="18:19" x14ac:dyDescent="0.2">
      <c r="R231" s="114">
        <f>_xll.qlCalendarAdvance(Calendar,R230,"1D","f")</f>
        <v>43060</v>
      </c>
      <c r="S231" s="236">
        <f>_xll.qlInterpolationInterpolate(B12Minterpolation,R231,TRUE)</f>
        <v>3.297713918730137E-3</v>
      </c>
    </row>
    <row r="232" spans="18:19" x14ac:dyDescent="0.2">
      <c r="R232" s="114">
        <f>_xll.qlCalendarAdvance(Calendar,R231,"1D","f")</f>
        <v>43061</v>
      </c>
      <c r="S232" s="236">
        <f>_xll.qlInterpolationInterpolate(B12Minterpolation,R232,TRUE)</f>
        <v>3.2995287883119768E-3</v>
      </c>
    </row>
    <row r="233" spans="18:19" x14ac:dyDescent="0.2">
      <c r="R233" s="114">
        <f>_xll.qlCalendarAdvance(Calendar,R232,"1D","f")</f>
        <v>43062</v>
      </c>
      <c r="S233" s="236">
        <f>_xll.qlInterpolationInterpolate(B12Minterpolation,R233,TRUE)</f>
        <v>3.3013235637904567E-3</v>
      </c>
    </row>
    <row r="234" spans="18:19" x14ac:dyDescent="0.2">
      <c r="R234" s="114">
        <f>_xll.qlCalendarAdvance(Calendar,R233,"1D","f")</f>
        <v>43063</v>
      </c>
      <c r="S234" s="236">
        <f>_xll.qlInterpolationInterpolate(B12Minterpolation,R234,TRUE)</f>
        <v>3.3030978511635503E-3</v>
      </c>
    </row>
    <row r="235" spans="18:19" x14ac:dyDescent="0.2">
      <c r="R235" s="114">
        <f>_xll.qlCalendarAdvance(Calendar,R234,"1D","f")</f>
        <v>43066</v>
      </c>
      <c r="S235" s="236">
        <f>_xll.qlInterpolationInterpolate(B12Minterpolation,R235,TRUE)</f>
        <v>3.3082938446302476E-3</v>
      </c>
    </row>
    <row r="236" spans="18:19" x14ac:dyDescent="0.2">
      <c r="R236" s="114">
        <f>_xll.qlCalendarAdvance(Calendar,R235,"1D","f")</f>
        <v>43067</v>
      </c>
      <c r="S236" s="236">
        <f>_xll.qlInterpolationInterpolate(B12Minterpolation,R236,TRUE)</f>
        <v>3.3099822395615294E-3</v>
      </c>
    </row>
    <row r="237" spans="18:19" x14ac:dyDescent="0.2">
      <c r="R237" s="114">
        <f>_xll.qlCalendarAdvance(Calendar,R236,"1D","f")</f>
        <v>43068</v>
      </c>
      <c r="S237" s="236">
        <f>_xll.qlInterpolationInterpolate(B12Minterpolation,R237,TRUE)</f>
        <v>3.311648176377292E-3</v>
      </c>
    </row>
    <row r="238" spans="18:19" x14ac:dyDescent="0.2">
      <c r="R238" s="114">
        <f>_xll.qlCalendarAdvance(Calendar,R237,"1D","f")</f>
        <v>43069</v>
      </c>
      <c r="S238" s="236">
        <f>_xll.qlInterpolationInterpolate(B12Minterpolation,R238,TRUE)</f>
        <v>3.3132912610755083E-3</v>
      </c>
    </row>
    <row r="239" spans="18:19" x14ac:dyDescent="0.2">
      <c r="R239" s="114">
        <f>_xll.qlCalendarAdvance(Calendar,R238,"1D","f")</f>
        <v>43070</v>
      </c>
      <c r="S239" s="236">
        <f>_xll.qlInterpolationInterpolate(B12Minterpolation,R239,TRUE)</f>
        <v>3.3149110996541515E-3</v>
      </c>
    </row>
    <row r="240" spans="18:19" x14ac:dyDescent="0.2">
      <c r="R240" s="114">
        <f>_xll.qlCalendarAdvance(Calendar,R239,"1D","f")</f>
        <v>43073</v>
      </c>
      <c r="S240" s="236">
        <f>_xll.qlInterpolationInterpolate(B12Minterpolation,R240,TRUE)</f>
        <v>3.3196271986523779E-3</v>
      </c>
    </row>
    <row r="241" spans="18:19" x14ac:dyDescent="0.2">
      <c r="R241" s="114">
        <f>_xll.qlCalendarAdvance(Calendar,R240,"1D","f")</f>
        <v>43074</v>
      </c>
      <c r="S241" s="236">
        <f>_xll.qlInterpolationInterpolate(B12Minterpolation,R241,TRUE)</f>
        <v>3.3211501127324628E-3</v>
      </c>
    </row>
    <row r="242" spans="18:19" x14ac:dyDescent="0.2">
      <c r="R242" s="114">
        <f>_xll.qlCalendarAdvance(Calendar,R241,"1D","f")</f>
        <v>43075</v>
      </c>
      <c r="S242" s="236">
        <f>_xll.qlInterpolationInterpolate(B12Minterpolation,R242,TRUE)</f>
        <v>3.3226478106828418E-3</v>
      </c>
    </row>
    <row r="243" spans="18:19" x14ac:dyDescent="0.2">
      <c r="R243" s="114">
        <f>_xll.qlCalendarAdvance(Calendar,R242,"1D","f")</f>
        <v>43076</v>
      </c>
      <c r="S243" s="236">
        <f>_xll.qlInterpolationInterpolate(B12Minterpolation,R243,TRUE)</f>
        <v>3.324119898501488E-3</v>
      </c>
    </row>
    <row r="244" spans="18:19" x14ac:dyDescent="0.2">
      <c r="R244" s="114">
        <f>_xll.qlCalendarAdvance(Calendar,R243,"1D","f")</f>
        <v>43077</v>
      </c>
      <c r="S244" s="236">
        <f>_xll.qlInterpolationInterpolate(B12Minterpolation,R244,TRUE)</f>
        <v>3.3255659821863747E-3</v>
      </c>
    </row>
    <row r="245" spans="18:19" x14ac:dyDescent="0.2">
      <c r="R245" s="114">
        <f>_xll.qlCalendarAdvance(Calendar,R244,"1D","f")</f>
        <v>43080</v>
      </c>
      <c r="S245" s="236">
        <f>_xll.qlInterpolationInterpolate(B12Minterpolation,R245,TRUE)</f>
        <v>3.3297442684182112E-3</v>
      </c>
    </row>
    <row r="246" spans="18:19" x14ac:dyDescent="0.2">
      <c r="R246" s="114">
        <f>_xll.qlCalendarAdvance(Calendar,R245,"1D","f")</f>
        <v>43081</v>
      </c>
      <c r="S246" s="236">
        <f>_xll.qlInterpolationInterpolate(B12Minterpolation,R246,TRUE)</f>
        <v>3.3310823955477933E-3</v>
      </c>
    </row>
    <row r="247" spans="18:19" x14ac:dyDescent="0.2">
      <c r="R247" s="114">
        <f>_xll.qlCalendarAdvance(Calendar,R246,"1D","f")</f>
        <v>43082</v>
      </c>
      <c r="S247" s="236">
        <f>_xll.qlInterpolationInterpolate(B12Minterpolation,R247,TRUE)</f>
        <v>3.3323925485334825E-3</v>
      </c>
    </row>
    <row r="248" spans="18:19" x14ac:dyDescent="0.2">
      <c r="R248" s="114">
        <f>_xll.qlCalendarAdvance(Calendar,R247,"1D","f")</f>
        <v>43083</v>
      </c>
      <c r="S248" s="236">
        <f>_xll.qlInterpolationInterpolate(B12Minterpolation,R248,TRUE)</f>
        <v>3.3336743333732522E-3</v>
      </c>
    </row>
    <row r="249" spans="18:19" x14ac:dyDescent="0.2">
      <c r="R249" s="114">
        <f>_xll.qlCalendarAdvance(Calendar,R248,"1D","f")</f>
        <v>43084</v>
      </c>
      <c r="S249" s="236">
        <f>_xll.qlInterpolationInterpolate(B12Minterpolation,R249,TRUE)</f>
        <v>3.334927356065076E-3</v>
      </c>
    </row>
    <row r="250" spans="18:19" x14ac:dyDescent="0.2">
      <c r="R250" s="114">
        <f>_xll.qlCalendarAdvance(Calendar,R249,"1D","f")</f>
        <v>43087</v>
      </c>
      <c r="S250" s="236">
        <f>_xll.qlInterpolationInterpolate(B12Minterpolation,R250,TRUE)</f>
        <v>3.3385099112326036E-3</v>
      </c>
    </row>
    <row r="251" spans="18:19" x14ac:dyDescent="0.2">
      <c r="R251" s="114">
        <f>_xll.qlCalendarAdvance(Calendar,R250,"1D","f")</f>
        <v>43088</v>
      </c>
      <c r="S251" s="236">
        <f>_xll.qlInterpolationInterpolate(B12Minterpolation,R251,TRUE)</f>
        <v>3.3396439453123763E-3</v>
      </c>
    </row>
    <row r="252" spans="18:19" x14ac:dyDescent="0.2">
      <c r="R252" s="114">
        <f>_xll.qlCalendarAdvance(Calendar,R251,"1D","f")</f>
        <v>43089</v>
      </c>
      <c r="S252" s="236">
        <f>_xll.qlInterpolationInterpolate(B12Minterpolation,R252,TRUE)</f>
        <v>3.3407472472340694E-3</v>
      </c>
    </row>
    <row r="253" spans="18:19" x14ac:dyDescent="0.2">
      <c r="R253" s="114">
        <f>_xll.qlCalendarAdvance(Calendar,R252,"1D","f")</f>
        <v>43090</v>
      </c>
      <c r="S253" s="236">
        <f>_xll.qlInterpolationInterpolate(B12Minterpolation,R253,TRUE)</f>
        <v>3.3418194229956565E-3</v>
      </c>
    </row>
    <row r="254" spans="18:19" x14ac:dyDescent="0.2">
      <c r="R254" s="114">
        <f>_xll.qlCalendarAdvance(Calendar,R253,"1D","f")</f>
        <v>43091</v>
      </c>
      <c r="S254" s="236">
        <f>_xll.qlInterpolationInterpolate(B12Minterpolation,R254,TRUE)</f>
        <v>3.3428600785951109E-3</v>
      </c>
    </row>
    <row r="255" spans="18:19" x14ac:dyDescent="0.2">
      <c r="R255" s="114">
        <f>_xll.qlCalendarAdvance(Calendar,R254,"1D","f")</f>
        <v>43096</v>
      </c>
      <c r="S255" s="236">
        <f>_xll.qlInterpolationInterpolate(B12Minterpolation,R255,TRUE)</f>
        <v>3.3475767640894589E-3</v>
      </c>
    </row>
    <row r="256" spans="18:19" x14ac:dyDescent="0.2">
      <c r="R256" s="114">
        <f>_xll.qlCalendarAdvance(Calendar,R255,"1D","f")</f>
        <v>43097</v>
      </c>
      <c r="S256" s="236">
        <f>_xll.qlInterpolationInterpolate(B12Minterpolation,R256,TRUE)</f>
        <v>3.3484200246735574E-3</v>
      </c>
    </row>
    <row r="257" spans="18:19" x14ac:dyDescent="0.2">
      <c r="R257" s="114">
        <f>_xll.qlCalendarAdvance(Calendar,R256,"1D","f")</f>
        <v>43098</v>
      </c>
      <c r="S257" s="236">
        <f>_xll.qlInterpolationInterpolate(B12Minterpolation,R257,TRUE)</f>
        <v>3.349229007081336E-3</v>
      </c>
    </row>
    <row r="258" spans="18:19" x14ac:dyDescent="0.2">
      <c r="R258" s="114">
        <f>_xll.qlCalendarAdvance(Calendar,R257,"1D","f")</f>
        <v>43102</v>
      </c>
      <c r="S258" s="236">
        <f>_xll.qlInterpolationInterpolate(B12Minterpolation,R258,TRUE)</f>
        <v>3.3521142749087249E-3</v>
      </c>
    </row>
    <row r="259" spans="18:19" x14ac:dyDescent="0.2">
      <c r="R259" s="114">
        <f>_xll.qlCalendarAdvance(Calendar,R258,"1D","f")</f>
        <v>43103</v>
      </c>
      <c r="S259" s="236">
        <f>_xll.qlInterpolationInterpolate(B12Minterpolation,R259,TRUE)</f>
        <v>3.3527459564045071E-3</v>
      </c>
    </row>
    <row r="260" spans="18:19" x14ac:dyDescent="0.2">
      <c r="R260" s="114">
        <f>_xll.qlCalendarAdvance(Calendar,R259,"1D","f")</f>
        <v>43104</v>
      </c>
      <c r="S260" s="236">
        <f>_xll.qlInterpolationInterpolate(B12Minterpolation,R260,TRUE)</f>
        <v>3.3533409957118101E-3</v>
      </c>
    </row>
    <row r="261" spans="18:19" x14ac:dyDescent="0.2">
      <c r="R261" s="114">
        <f>_xll.qlCalendarAdvance(Calendar,R260,"1D","f")</f>
        <v>43105</v>
      </c>
      <c r="S261" s="236">
        <f>_xll.qlInterpolationInterpolate(B12Minterpolation,R261,TRUE)</f>
        <v>3.3538989988286068E-3</v>
      </c>
    </row>
    <row r="262" spans="18:19" x14ac:dyDescent="0.2">
      <c r="R262" s="118">
        <f>_xll.qlCalendarAdvance(Calendar,R261,"1D","f")</f>
        <v>43108</v>
      </c>
      <c r="S262" s="238">
        <f>_xll.qlInterpolationInterpolate(B12Minterpolation,R262,TRUE)</f>
        <v>3.3553468510156953E-3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ignoredErrors>
    <ignoredError sqref="S3:S72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53</vt:i4>
      </vt:variant>
    </vt:vector>
  </HeadingPairs>
  <TitlesOfParts>
    <vt:vector size="64" baseType="lpstr">
      <vt:lpstr>General Settings</vt:lpstr>
      <vt:lpstr>ONCalibration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JumpDates</vt:lpstr>
      <vt:lpstr>JumpSuffix</vt:lpstr>
      <vt:lpstr>JumpValues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BERTOCCHI NICHOLAS</cp:lastModifiedBy>
  <cp:lastPrinted>2014-03-18T13:51:31Z</cp:lastPrinted>
  <dcterms:created xsi:type="dcterms:W3CDTF">2007-10-30T15:41:10Z</dcterms:created>
  <dcterms:modified xsi:type="dcterms:W3CDTF">2016-12-29T15:25:40Z</dcterms:modified>
</cp:coreProperties>
</file>