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jan\OneDrive - BN Algorithms Ltd\QuantLib\QLXL-v1.14-IRfix\"/>
    </mc:Choice>
  </mc:AlternateContent>
  <xr:revisionPtr revIDLastSave="41" documentId="11_8E4ABFE60946FEC56EF76F1D976C3E7074F2A477" xr6:coauthVersionLast="40" xr6:coauthVersionMax="40" xr10:uidLastSave="{0E5D53C3-C495-4E22-8A30-F2DA194430B4}"/>
  <bookViews>
    <workbookView xWindow="-12" yWindow="-12" windowWidth="19056" windowHeight="12408" activeTab="5" xr2:uid="{00000000-000D-0000-FFFF-FFFF00000000}"/>
  </bookViews>
  <sheets>
    <sheet name="TermStructures" sheetId="1" r:id="rId1"/>
    <sheet name="DateCalc" sheetId="2" r:id="rId2"/>
    <sheet name="PricingEngines" sheetId="4" r:id="rId3"/>
    <sheet name="Swaps" sheetId="3" r:id="rId4"/>
    <sheet name="CapFloor" sheetId="6" r:id="rId5"/>
    <sheet name="Swaption" sheetId="5" r:id="rId6"/>
    <sheet name="CMS" sheetId="9" r:id="rId7"/>
    <sheet name="FixedLegFlowAnalysis" sheetId="8" r:id="rId8"/>
    <sheet name="CmsLegFlowAnalysis" sheetId="10" r:id="rId9"/>
    <sheet name="FloatingLegFlowAnalysis" sheetId="7" r:id="rId10"/>
  </sheets>
  <definedNames>
    <definedName name="Calendar">DateCalc!$B$1</definedName>
    <definedName name="EffectiveDate">DateCalc!$B$2</definedName>
    <definedName name="Nominal">Swaps!$B$13</definedName>
    <definedName name="ReferenceDate">TermStructures!$E$4</definedName>
    <definedName name="SwaptionExpiry">Swaption!$B$4</definedName>
    <definedName name="TerminationDate">DateCalc!$B$3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9" l="1"/>
  <c r="B4" i="3"/>
  <c r="B30" i="3"/>
  <c r="E5" i="3"/>
  <c r="E7" i="3"/>
  <c r="E8" i="3"/>
  <c r="E11" i="3"/>
  <c r="E12" i="3"/>
  <c r="B2" i="2"/>
  <c r="B1" i="5"/>
  <c r="B3" i="2"/>
  <c r="E1" i="1"/>
  <c r="B1" i="1"/>
  <c r="B2" i="5"/>
  <c r="H1" i="1"/>
  <c r="H2" i="1" s="1"/>
  <c r="E4" i="1"/>
  <c r="E2" i="1"/>
  <c r="B2" i="1"/>
  <c r="B20" i="4" l="1"/>
  <c r="B13" i="9"/>
  <c r="B6" i="9"/>
  <c r="B4" i="4"/>
  <c r="B19" i="4"/>
  <c r="B5" i="9"/>
  <c r="B11" i="4"/>
  <c r="B5" i="3"/>
  <c r="B12" i="5"/>
  <c r="B12" i="4"/>
  <c r="B1" i="4"/>
  <c r="B16" i="4"/>
  <c r="B8" i="4"/>
  <c r="B10" i="9"/>
  <c r="B1" i="9"/>
  <c r="B1" i="3"/>
  <c r="B2" i="3" s="1"/>
  <c r="B25" i="2" l="1"/>
  <c r="B9" i="2"/>
  <c r="B8" i="2"/>
  <c r="B24" i="2"/>
  <c r="B20" i="3"/>
  <c r="E10" i="3"/>
  <c r="B31" i="9"/>
  <c r="B5" i="2"/>
  <c r="B21" i="2"/>
  <c r="B2" i="9"/>
  <c r="B11" i="9"/>
  <c r="B9" i="4"/>
  <c r="B17" i="4"/>
  <c r="B2" i="4"/>
  <c r="B14" i="3" l="1"/>
  <c r="E9" i="3"/>
  <c r="B25" i="9"/>
  <c r="B31" i="3"/>
  <c r="E6" i="3"/>
  <c r="B9" i="3"/>
  <c r="B26" i="3"/>
  <c r="E1" i="3"/>
  <c r="B22" i="2"/>
  <c r="B6" i="2"/>
  <c r="B20" i="9"/>
  <c r="B10" i="3"/>
  <c r="B37" i="9"/>
  <c r="B21" i="9"/>
  <c r="B27" i="3"/>
  <c r="A1" i="7" a="1"/>
  <c r="A1" i="8" a="1"/>
  <c r="E2" i="3"/>
  <c r="I1" i="3"/>
  <c r="I2" i="3"/>
  <c r="I3" i="3"/>
  <c r="O1" i="8" l="1"/>
  <c r="J2" i="8"/>
  <c r="E3" i="8"/>
  <c r="U3" i="8"/>
  <c r="P4" i="8"/>
  <c r="K5" i="8"/>
  <c r="F6" i="8"/>
  <c r="A7" i="8"/>
  <c r="Q7" i="8"/>
  <c r="L8" i="8"/>
  <c r="G9" i="8"/>
  <c r="B10" i="8"/>
  <c r="R10" i="8"/>
  <c r="M11" i="8"/>
  <c r="H12" i="8"/>
  <c r="C13" i="8"/>
  <c r="S13" i="8"/>
  <c r="N14" i="8"/>
  <c r="H1" i="8"/>
  <c r="D2" i="8"/>
  <c r="U2" i="8"/>
  <c r="Q3" i="8"/>
  <c r="M4" i="8"/>
  <c r="I5" i="8"/>
  <c r="E6" i="8"/>
  <c r="B7" i="8"/>
  <c r="S7" i="8"/>
  <c r="O8" i="8"/>
  <c r="K9" i="8"/>
  <c r="G10" i="8"/>
  <c r="C11" i="8"/>
  <c r="T11" i="8"/>
  <c r="P12" i="8"/>
  <c r="L13" i="8"/>
  <c r="H14" i="8"/>
  <c r="D15" i="8"/>
  <c r="T15" i="8"/>
  <c r="O16" i="8"/>
  <c r="J17" i="8"/>
  <c r="E18" i="8"/>
  <c r="U18" i="8"/>
  <c r="P19" i="8"/>
  <c r="K20" i="8"/>
  <c r="F21" i="8"/>
  <c r="A22" i="8"/>
  <c r="Q22" i="8"/>
  <c r="L23" i="8"/>
  <c r="G24" i="8"/>
  <c r="I1" i="8"/>
  <c r="E2" i="8"/>
  <c r="A3" i="8"/>
  <c r="R3" i="8"/>
  <c r="N4" i="8"/>
  <c r="J5" i="8"/>
  <c r="G6" i="8"/>
  <c r="C7" i="8"/>
  <c r="T7" i="8"/>
  <c r="P8" i="8"/>
  <c r="L9" i="8"/>
  <c r="H10" i="8"/>
  <c r="D11" i="8"/>
  <c r="U11" i="8"/>
  <c r="Q12" i="8"/>
  <c r="M13" i="8"/>
  <c r="I14" i="8"/>
  <c r="E15" i="8"/>
  <c r="U15" i="8"/>
  <c r="P16" i="8"/>
  <c r="K17" i="8"/>
  <c r="F18" i="8"/>
  <c r="A19" i="8"/>
  <c r="Q19" i="8"/>
  <c r="L20" i="8"/>
  <c r="G21" i="8"/>
  <c r="B22" i="8"/>
  <c r="R22" i="8"/>
  <c r="M23" i="8"/>
  <c r="H24" i="8"/>
  <c r="S1" i="8"/>
  <c r="Q2" i="8"/>
  <c r="O3" i="8"/>
  <c r="O4" i="8"/>
  <c r="N5" i="8"/>
  <c r="L6" i="8"/>
  <c r="J7" i="8"/>
  <c r="H8" i="8"/>
  <c r="F9" i="8"/>
  <c r="E10" i="8"/>
  <c r="E11" i="8"/>
  <c r="C12" i="8"/>
  <c r="A13" i="8"/>
  <c r="U13" i="8"/>
  <c r="S14" i="8"/>
  <c r="P15" i="8"/>
  <c r="M16" i="8"/>
  <c r="L17" i="8"/>
  <c r="I18" i="8"/>
  <c r="F19" i="8"/>
  <c r="C20" i="8"/>
  <c r="U20" i="8"/>
  <c r="R21" i="8"/>
  <c r="O22" i="8"/>
  <c r="N23" i="8"/>
  <c r="K24" i="8"/>
  <c r="G11" i="8"/>
  <c r="N17" i="8"/>
  <c r="E20" i="8"/>
  <c r="B21" i="8"/>
  <c r="T21" i="8"/>
  <c r="M24" i="8"/>
  <c r="A1" i="8"/>
  <c r="T1" i="8"/>
  <c r="R2" i="8"/>
  <c r="P3" i="8"/>
  <c r="Q4" i="8"/>
  <c r="O5" i="8"/>
  <c r="M6" i="8"/>
  <c r="K7" i="8"/>
  <c r="I8" i="8"/>
  <c r="H9" i="8"/>
  <c r="F10" i="8"/>
  <c r="F11" i="8"/>
  <c r="D12" i="8"/>
  <c r="B13" i="8"/>
  <c r="A14" i="8"/>
  <c r="T14" i="8"/>
  <c r="Q15" i="8"/>
  <c r="N16" i="8"/>
  <c r="M17" i="8"/>
  <c r="J18" i="8"/>
  <c r="G19" i="8"/>
  <c r="D20" i="8"/>
  <c r="A21" i="8"/>
  <c r="S21" i="8"/>
  <c r="P22" i="8"/>
  <c r="O23" i="8"/>
  <c r="L24" i="8"/>
  <c r="H19" i="8"/>
  <c r="P23" i="8"/>
  <c r="B1" i="8"/>
  <c r="U1" i="8"/>
  <c r="S2" i="8"/>
  <c r="S3" i="8"/>
  <c r="R4" i="8"/>
  <c r="P5" i="8"/>
  <c r="N6" i="8"/>
  <c r="L7" i="8"/>
  <c r="J8" i="8"/>
  <c r="I9" i="8"/>
  <c r="I10" i="8"/>
  <c r="E12" i="8"/>
  <c r="D13" i="8"/>
  <c r="B14" i="8"/>
  <c r="U14" i="8"/>
  <c r="R15" i="8"/>
  <c r="Q16" i="8"/>
  <c r="K18" i="8"/>
  <c r="S22" i="8"/>
  <c r="L1" i="8"/>
  <c r="K2" i="8"/>
  <c r="I3" i="8"/>
  <c r="G4" i="8"/>
  <c r="E5" i="8"/>
  <c r="C6" i="8"/>
  <c r="D7" i="8"/>
  <c r="B8" i="8"/>
  <c r="U8" i="8"/>
  <c r="S9" i="8"/>
  <c r="Q10" i="8"/>
  <c r="P11" i="8"/>
  <c r="N12" i="8"/>
  <c r="N13" i="8"/>
  <c r="L14" i="8"/>
  <c r="J15" i="8"/>
  <c r="G16" i="8"/>
  <c r="D17" i="8"/>
  <c r="A18" i="8"/>
  <c r="S18" i="8"/>
  <c r="R19" i="8"/>
  <c r="O20" i="8"/>
  <c r="L21" i="8"/>
  <c r="I22" i="8"/>
  <c r="F23" i="8"/>
  <c r="C24" i="8"/>
  <c r="U24" i="8"/>
  <c r="M1" i="8"/>
  <c r="L2" i="8"/>
  <c r="J3" i="8"/>
  <c r="H4" i="8"/>
  <c r="F5" i="8"/>
  <c r="D6" i="8"/>
  <c r="E7" i="8"/>
  <c r="C8" i="8"/>
  <c r="A9" i="8"/>
  <c r="T9" i="8"/>
  <c r="S10" i="8"/>
  <c r="Q11" i="8"/>
  <c r="O12" i="8"/>
  <c r="O13" i="8"/>
  <c r="M14" i="8"/>
  <c r="K15" i="8"/>
  <c r="H16" i="8"/>
  <c r="E17" i="8"/>
  <c r="B18" i="8"/>
  <c r="T18" i="8"/>
  <c r="S19" i="8"/>
  <c r="P20" i="8"/>
  <c r="M21" i="8"/>
  <c r="J22" i="8"/>
  <c r="G23" i="8"/>
  <c r="D24" i="8"/>
  <c r="N1" i="8"/>
  <c r="M2" i="8"/>
  <c r="K3" i="8"/>
  <c r="I4" i="8"/>
  <c r="G5" i="8"/>
  <c r="H6" i="8"/>
  <c r="F7" i="8"/>
  <c r="D8" i="8"/>
  <c r="B9" i="8"/>
  <c r="U9" i="8"/>
  <c r="T10" i="8"/>
  <c r="R11" i="8"/>
  <c r="R12" i="8"/>
  <c r="P13" i="8"/>
  <c r="O14" i="8"/>
  <c r="L15" i="8"/>
  <c r="I16" i="8"/>
  <c r="F17" i="8"/>
  <c r="C18" i="8"/>
  <c r="B19" i="8"/>
  <c r="T19" i="8"/>
  <c r="Q20" i="8"/>
  <c r="N21" i="8"/>
  <c r="K22" i="8"/>
  <c r="H23" i="8"/>
  <c r="E24" i="8"/>
  <c r="B2" i="8"/>
  <c r="L3" i="8"/>
  <c r="A5" i="8"/>
  <c r="K6" i="8"/>
  <c r="U7" i="8"/>
  <c r="M9" i="8"/>
  <c r="U10" i="8"/>
  <c r="J12" i="8"/>
  <c r="T13" i="8"/>
  <c r="H15" i="8"/>
  <c r="S16" i="8"/>
  <c r="D18" i="8"/>
  <c r="L19" i="8"/>
  <c r="T20" i="8"/>
  <c r="G22" i="8"/>
  <c r="R23" i="8"/>
  <c r="G2" i="8"/>
  <c r="D5" i="8"/>
  <c r="M12" i="8"/>
  <c r="L18" i="8"/>
  <c r="U23" i="8"/>
  <c r="H5" i="8"/>
  <c r="S12" i="8"/>
  <c r="U19" i="8"/>
  <c r="C2" i="8"/>
  <c r="M3" i="8"/>
  <c r="B5" i="8"/>
  <c r="O6" i="8"/>
  <c r="A8" i="8"/>
  <c r="N9" i="8"/>
  <c r="A11" i="8"/>
  <c r="K12" i="8"/>
  <c r="C14" i="8"/>
  <c r="I15" i="8"/>
  <c r="T16" i="8"/>
  <c r="G18" i="8"/>
  <c r="M19" i="8"/>
  <c r="C21" i="8"/>
  <c r="H22" i="8"/>
  <c r="S23" i="8"/>
  <c r="T3" i="8"/>
  <c r="Q6" i="8"/>
  <c r="P9" i="8"/>
  <c r="E14" i="8"/>
  <c r="A17" i="8"/>
  <c r="O19" i="8"/>
  <c r="M22" i="8"/>
  <c r="H2" i="8"/>
  <c r="A4" i="8"/>
  <c r="R6" i="8"/>
  <c r="G8" i="8"/>
  <c r="Q9" i="8"/>
  <c r="I11" i="8"/>
  <c r="F14" i="8"/>
  <c r="B17" i="8"/>
  <c r="M18" i="8"/>
  <c r="H21" i="8"/>
  <c r="N22" i="8"/>
  <c r="F2" i="8"/>
  <c r="N3" i="8"/>
  <c r="C5" i="8"/>
  <c r="P6" i="8"/>
  <c r="E8" i="8"/>
  <c r="O9" i="8"/>
  <c r="B11" i="8"/>
  <c r="L12" i="8"/>
  <c r="D14" i="8"/>
  <c r="M15" i="8"/>
  <c r="U16" i="8"/>
  <c r="H18" i="8"/>
  <c r="N19" i="8"/>
  <c r="D21" i="8"/>
  <c r="L22" i="8"/>
  <c r="T23" i="8"/>
  <c r="F8" i="8"/>
  <c r="N15" i="8"/>
  <c r="E21" i="8"/>
  <c r="J1" i="8"/>
  <c r="B3" i="8"/>
  <c r="J4" i="8"/>
  <c r="T5" i="8"/>
  <c r="I7" i="8"/>
  <c r="S8" i="8"/>
  <c r="K10" i="8"/>
  <c r="S11" i="8"/>
  <c r="H13" i="8"/>
  <c r="R14" i="8"/>
  <c r="E16" i="8"/>
  <c r="P17" i="8"/>
  <c r="C19" i="8"/>
  <c r="I20" i="8"/>
  <c r="Q21" i="8"/>
  <c r="D23" i="8"/>
  <c r="O24" i="8"/>
  <c r="K1" i="8"/>
  <c r="C3" i="8"/>
  <c r="K4" i="8"/>
  <c r="U5" i="8"/>
  <c r="M7" i="8"/>
  <c r="T8" i="8"/>
  <c r="L10" i="8"/>
  <c r="A12" i="8"/>
  <c r="I13" i="8"/>
  <c r="A15" i="8"/>
  <c r="F16" i="8"/>
  <c r="Q17" i="8"/>
  <c r="D19" i="8"/>
  <c r="J20" i="8"/>
  <c r="U21" i="8"/>
  <c r="E23" i="8"/>
  <c r="P24" i="8"/>
  <c r="P1" i="8"/>
  <c r="D3" i="8"/>
  <c r="L4" i="8"/>
  <c r="A6" i="8"/>
  <c r="N7" i="8"/>
  <c r="C9" i="8"/>
  <c r="M10" i="8"/>
  <c r="B12" i="8"/>
  <c r="J13" i="8"/>
  <c r="B15" i="8"/>
  <c r="J16" i="8"/>
  <c r="R17" i="8"/>
  <c r="E19" i="8"/>
  <c r="M20" i="8"/>
  <c r="C22" i="8"/>
  <c r="I23" i="8"/>
  <c r="Q24" i="8"/>
  <c r="Q1" i="8"/>
  <c r="F3" i="8"/>
  <c r="S4" i="8"/>
  <c r="B6" i="8"/>
  <c r="O7" i="8"/>
  <c r="D9" i="8"/>
  <c r="N10" i="8"/>
  <c r="F12" i="8"/>
  <c r="K13" i="8"/>
  <c r="C15" i="8"/>
  <c r="K16" i="8"/>
  <c r="S17" i="8"/>
  <c r="I19" i="8"/>
  <c r="N20" i="8"/>
  <c r="D22" i="8"/>
  <c r="J23" i="8"/>
  <c r="R24" i="8"/>
  <c r="R1" i="8"/>
  <c r="G3" i="8"/>
  <c r="T4" i="8"/>
  <c r="I6" i="8"/>
  <c r="P7" i="8"/>
  <c r="E9" i="8"/>
  <c r="O10" i="8"/>
  <c r="G12" i="8"/>
  <c r="Q13" i="8"/>
  <c r="F15" i="8"/>
  <c r="L16" i="8"/>
  <c r="T17" i="8"/>
  <c r="J19" i="8"/>
  <c r="R20" i="8"/>
  <c r="E22" i="8"/>
  <c r="K23" i="8"/>
  <c r="S24" i="8"/>
  <c r="A2" i="8"/>
  <c r="H3" i="8"/>
  <c r="U4" i="8"/>
  <c r="J6" i="8"/>
  <c r="R7" i="8"/>
  <c r="J9" i="8"/>
  <c r="P10" i="8"/>
  <c r="I12" i="8"/>
  <c r="R13" i="8"/>
  <c r="G15" i="8"/>
  <c r="R16" i="8"/>
  <c r="U17" i="8"/>
  <c r="K19" i="8"/>
  <c r="S20" i="8"/>
  <c r="F22" i="8"/>
  <c r="Q23" i="8"/>
  <c r="T24" i="8"/>
  <c r="J21" i="8"/>
  <c r="B4" i="8"/>
  <c r="U12" i="8"/>
  <c r="G17" i="8"/>
  <c r="C4" i="8"/>
  <c r="E13" i="8"/>
  <c r="H17" i="8"/>
  <c r="O21" i="8"/>
  <c r="D4" i="8"/>
  <c r="Q8" i="8"/>
  <c r="I17" i="8"/>
  <c r="P21" i="8"/>
  <c r="U22" i="8"/>
  <c r="A10" i="8"/>
  <c r="O18" i="8"/>
  <c r="C1" i="8"/>
  <c r="M5" i="8"/>
  <c r="C10" i="8"/>
  <c r="K14" i="8"/>
  <c r="P18" i="8"/>
  <c r="B23" i="8"/>
  <c r="D1" i="8"/>
  <c r="Q5" i="8"/>
  <c r="D10" i="8"/>
  <c r="P14" i="8"/>
  <c r="Q18" i="8"/>
  <c r="C23" i="8"/>
  <c r="E1" i="8"/>
  <c r="R5" i="8"/>
  <c r="J10" i="8"/>
  <c r="Q14" i="8"/>
  <c r="R18" i="8"/>
  <c r="A24" i="8"/>
  <c r="F1" i="8"/>
  <c r="S5" i="8"/>
  <c r="H11" i="8"/>
  <c r="O15" i="8"/>
  <c r="A20" i="8"/>
  <c r="B24" i="8"/>
  <c r="G1" i="8"/>
  <c r="S6" i="8"/>
  <c r="J11" i="8"/>
  <c r="S15" i="8"/>
  <c r="B20" i="8"/>
  <c r="F24" i="8"/>
  <c r="I2" i="8"/>
  <c r="T6" i="8"/>
  <c r="K11" i="8"/>
  <c r="A16" i="8"/>
  <c r="F20" i="8"/>
  <c r="I24" i="8"/>
  <c r="N2" i="8"/>
  <c r="U6" i="8"/>
  <c r="L11" i="8"/>
  <c r="B16" i="8"/>
  <c r="G20" i="8"/>
  <c r="J24" i="8"/>
  <c r="O2" i="8"/>
  <c r="G7" i="8"/>
  <c r="N11" i="8"/>
  <c r="C16" i="8"/>
  <c r="H20" i="8"/>
  <c r="N24" i="8"/>
  <c r="P2" i="8"/>
  <c r="H7" i="8"/>
  <c r="O11" i="8"/>
  <c r="D16" i="8"/>
  <c r="I21" i="8"/>
  <c r="T2" i="8"/>
  <c r="K8" i="8"/>
  <c r="T12" i="8"/>
  <c r="C17" i="8"/>
  <c r="M8" i="8"/>
  <c r="K21" i="8"/>
  <c r="N8" i="8"/>
  <c r="F13" i="8"/>
  <c r="E4" i="8"/>
  <c r="R8" i="8"/>
  <c r="G13" i="8"/>
  <c r="O17" i="8"/>
  <c r="T22" i="8"/>
  <c r="F4" i="8"/>
  <c r="R9" i="8"/>
  <c r="G14" i="8"/>
  <c r="N18" i="8"/>
  <c r="L5" i="8"/>
  <c r="J14" i="8"/>
  <c r="A23" i="8"/>
  <c r="N1" i="7"/>
  <c r="I2" i="7"/>
  <c r="D3" i="7"/>
  <c r="T3" i="7"/>
  <c r="O4" i="7"/>
  <c r="J5" i="7"/>
  <c r="E6" i="7"/>
  <c r="U6" i="7"/>
  <c r="P7" i="7"/>
  <c r="K8" i="7"/>
  <c r="F9" i="7"/>
  <c r="A10" i="7"/>
  <c r="Q10" i="7"/>
  <c r="L11" i="7"/>
  <c r="G12" i="7"/>
  <c r="B13" i="7"/>
  <c r="R13" i="7"/>
  <c r="M14" i="7"/>
  <c r="H15" i="7"/>
  <c r="C16" i="7"/>
  <c r="S16" i="7"/>
  <c r="N17" i="7"/>
  <c r="I18" i="7"/>
  <c r="D19" i="7"/>
  <c r="O1" i="7"/>
  <c r="J2" i="7"/>
  <c r="E3" i="7"/>
  <c r="U3" i="7"/>
  <c r="P4" i="7"/>
  <c r="K5" i="7"/>
  <c r="F6" i="7"/>
  <c r="A7" i="7"/>
  <c r="Q7" i="7"/>
  <c r="L8" i="7"/>
  <c r="G9" i="7"/>
  <c r="B10" i="7"/>
  <c r="R10" i="7"/>
  <c r="M11" i="7"/>
  <c r="H12" i="7"/>
  <c r="C13" i="7"/>
  <c r="S13" i="7"/>
  <c r="N14" i="7"/>
  <c r="I15" i="7"/>
  <c r="D16" i="7"/>
  <c r="T16" i="7"/>
  <c r="O17" i="7"/>
  <c r="J18" i="7"/>
  <c r="E19" i="7"/>
  <c r="U19" i="7"/>
  <c r="P20" i="7"/>
  <c r="K21" i="7"/>
  <c r="F22" i="7"/>
  <c r="H1" i="7"/>
  <c r="C2" i="7"/>
  <c r="S2" i="7"/>
  <c r="N3" i="7"/>
  <c r="I4" i="7"/>
  <c r="D5" i="7"/>
  <c r="T5" i="7"/>
  <c r="O6" i="7"/>
  <c r="J7" i="7"/>
  <c r="E8" i="7"/>
  <c r="U8" i="7"/>
  <c r="P9" i="7"/>
  <c r="K10" i="7"/>
  <c r="F11" i="7"/>
  <c r="A12" i="7"/>
  <c r="Q12" i="7"/>
  <c r="L13" i="7"/>
  <c r="G14" i="7"/>
  <c r="B15" i="7"/>
  <c r="R15" i="7"/>
  <c r="M16" i="7"/>
  <c r="H17" i="7"/>
  <c r="C18" i="7"/>
  <c r="S18" i="7"/>
  <c r="N19" i="7"/>
  <c r="I20" i="7"/>
  <c r="D21" i="7"/>
  <c r="T21" i="7"/>
  <c r="O22" i="7"/>
  <c r="J23" i="7"/>
  <c r="E24" i="7"/>
  <c r="U24" i="7"/>
  <c r="C1" i="7"/>
  <c r="A2" i="7"/>
  <c r="U2" i="7"/>
  <c r="S3" i="7"/>
  <c r="P1" i="7"/>
  <c r="N2" i="7"/>
  <c r="L3" i="7"/>
  <c r="K4" i="7"/>
  <c r="I5" i="7"/>
  <c r="I6" i="7"/>
  <c r="G7" i="7"/>
  <c r="F8" i="7"/>
  <c r="D9" i="7"/>
  <c r="D10" i="7"/>
  <c r="B11" i="7"/>
  <c r="U11" i="7"/>
  <c r="T12" i="7"/>
  <c r="T13" i="7"/>
  <c r="R14" i="7"/>
  <c r="P15" i="7"/>
  <c r="O16" i="7"/>
  <c r="M17" i="7"/>
  <c r="M18" i="7"/>
  <c r="K19" i="7"/>
  <c r="H20" i="7"/>
  <c r="F21" i="7"/>
  <c r="C22" i="7"/>
  <c r="U22" i="7"/>
  <c r="Q23" i="7"/>
  <c r="M24" i="7"/>
  <c r="Q1" i="7"/>
  <c r="O2" i="7"/>
  <c r="M3" i="7"/>
  <c r="L4" i="7"/>
  <c r="L5" i="7"/>
  <c r="J6" i="7"/>
  <c r="H7" i="7"/>
  <c r="G8" i="7"/>
  <c r="E9" i="7"/>
  <c r="E10" i="7"/>
  <c r="C11" i="7"/>
  <c r="B12" i="7"/>
  <c r="U12" i="7"/>
  <c r="U13" i="7"/>
  <c r="S14" i="7"/>
  <c r="Q15" i="7"/>
  <c r="P16" i="7"/>
  <c r="P17" i="7"/>
  <c r="N18" i="7"/>
  <c r="L19" i="7"/>
  <c r="J20" i="7"/>
  <c r="G21" i="7"/>
  <c r="D22" i="7"/>
  <c r="A23" i="7"/>
  <c r="R23" i="7"/>
  <c r="N24" i="7"/>
  <c r="S1" i="7"/>
  <c r="A3" i="7"/>
  <c r="D4" i="7"/>
  <c r="E5" i="7"/>
  <c r="G6" i="7"/>
  <c r="I7" i="7"/>
  <c r="J8" i="7"/>
  <c r="L9" i="7"/>
  <c r="M10" i="7"/>
  <c r="O11" i="7"/>
  <c r="O12" i="7"/>
  <c r="P13" i="7"/>
  <c r="T14" i="7"/>
  <c r="U15" i="7"/>
  <c r="B17" i="7"/>
  <c r="B18" i="7"/>
  <c r="C19" i="7"/>
  <c r="D20" i="7"/>
  <c r="C21" i="7"/>
  <c r="E22" i="7"/>
  <c r="D23" i="7"/>
  <c r="B24" i="7"/>
  <c r="B2" i="7"/>
  <c r="F3" i="7"/>
  <c r="G4" i="7"/>
  <c r="H5" i="7"/>
  <c r="L6" i="7"/>
  <c r="M7" i="7"/>
  <c r="O8" i="7"/>
  <c r="P10" i="7"/>
  <c r="R11" i="7"/>
  <c r="S12" i="7"/>
  <c r="B14" i="7"/>
  <c r="T1" i="7"/>
  <c r="B3" i="7"/>
  <c r="E4" i="7"/>
  <c r="F5" i="7"/>
  <c r="H6" i="7"/>
  <c r="K7" i="7"/>
  <c r="M8" i="7"/>
  <c r="M9" i="7"/>
  <c r="N10" i="7"/>
  <c r="P11" i="7"/>
  <c r="P12" i="7"/>
  <c r="Q13" i="7"/>
  <c r="U14" i="7"/>
  <c r="A16" i="7"/>
  <c r="C17" i="7"/>
  <c r="D18" i="7"/>
  <c r="F19" i="7"/>
  <c r="E20" i="7"/>
  <c r="E21" i="7"/>
  <c r="G22" i="7"/>
  <c r="E23" i="7"/>
  <c r="C24" i="7"/>
  <c r="U1" i="7"/>
  <c r="C3" i="7"/>
  <c r="F4" i="7"/>
  <c r="G5" i="7"/>
  <c r="K6" i="7"/>
  <c r="L7" i="7"/>
  <c r="N8" i="7"/>
  <c r="N9" i="7"/>
  <c r="O10" i="7"/>
  <c r="Q11" i="7"/>
  <c r="R12" i="7"/>
  <c r="A14" i="7"/>
  <c r="A15" i="7"/>
  <c r="B16" i="7"/>
  <c r="D17" i="7"/>
  <c r="E18" i="7"/>
  <c r="G19" i="7"/>
  <c r="F20" i="7"/>
  <c r="H21" i="7"/>
  <c r="H22" i="7"/>
  <c r="F23" i="7"/>
  <c r="D24" i="7"/>
  <c r="O9" i="7"/>
  <c r="I1" i="7"/>
  <c r="L2" i="7"/>
  <c r="P3" i="7"/>
  <c r="S4" i="7"/>
  <c r="S5" i="7"/>
  <c r="T6" i="7"/>
  <c r="A8" i="7"/>
  <c r="B9" i="7"/>
  <c r="F10" i="7"/>
  <c r="G11" i="7"/>
  <c r="I12" i="7"/>
  <c r="I13" i="7"/>
  <c r="J14" i="7"/>
  <c r="L15" i="7"/>
  <c r="L16" i="7"/>
  <c r="Q17" i="7"/>
  <c r="Q18" i="7"/>
  <c r="R19" i="7"/>
  <c r="R20" i="7"/>
  <c r="Q21" i="7"/>
  <c r="Q22" i="7"/>
  <c r="O23" i="7"/>
  <c r="O24" i="7"/>
  <c r="J1" i="7"/>
  <c r="M2" i="7"/>
  <c r="Q3" i="7"/>
  <c r="T4" i="7"/>
  <c r="U5" i="7"/>
  <c r="B7" i="7"/>
  <c r="B8" i="7"/>
  <c r="C9" i="7"/>
  <c r="G10" i="7"/>
  <c r="H11" i="7"/>
  <c r="J12" i="7"/>
  <c r="J13" i="7"/>
  <c r="K14" i="7"/>
  <c r="M15" i="7"/>
  <c r="N16" i="7"/>
  <c r="R17" i="7"/>
  <c r="R18" i="7"/>
  <c r="S19" i="7"/>
  <c r="S20" i="7"/>
  <c r="R21" i="7"/>
  <c r="R22" i="7"/>
  <c r="P23" i="7"/>
  <c r="P24" i="7"/>
  <c r="K1" i="7"/>
  <c r="P2" i="7"/>
  <c r="R3" i="7"/>
  <c r="U4" i="7"/>
  <c r="A6" i="7"/>
  <c r="C7" i="7"/>
  <c r="C8" i="7"/>
  <c r="H9" i="7"/>
  <c r="H10" i="7"/>
  <c r="I11" i="7"/>
  <c r="K12" i="7"/>
  <c r="K13" i="7"/>
  <c r="L14" i="7"/>
  <c r="N15" i="7"/>
  <c r="Q16" i="7"/>
  <c r="S17" i="7"/>
  <c r="T18" i="7"/>
  <c r="T19" i="7"/>
  <c r="T20" i="7"/>
  <c r="S21" i="7"/>
  <c r="S22" i="7"/>
  <c r="S23" i="7"/>
  <c r="Q24" i="7"/>
  <c r="F1" i="7"/>
  <c r="I3" i="7"/>
  <c r="M5" i="7"/>
  <c r="E7" i="7"/>
  <c r="A9" i="7"/>
  <c r="A11" i="7"/>
  <c r="D13" i="7"/>
  <c r="Q14" i="7"/>
  <c r="J16" i="7"/>
  <c r="G18" i="7"/>
  <c r="A20" i="7"/>
  <c r="M21" i="7"/>
  <c r="C23" i="7"/>
  <c r="K24" i="7"/>
  <c r="O3" i="7"/>
  <c r="O7" i="7"/>
  <c r="J11" i="7"/>
  <c r="E15" i="7"/>
  <c r="L18" i="7"/>
  <c r="P21" i="7"/>
  <c r="O18" i="7"/>
  <c r="G1" i="7"/>
  <c r="J3" i="7"/>
  <c r="N5" i="7"/>
  <c r="F7" i="7"/>
  <c r="I9" i="7"/>
  <c r="D11" i="7"/>
  <c r="E13" i="7"/>
  <c r="C15" i="7"/>
  <c r="K16" i="7"/>
  <c r="H18" i="7"/>
  <c r="B20" i="7"/>
  <c r="N21" i="7"/>
  <c r="G23" i="7"/>
  <c r="L24" i="7"/>
  <c r="M1" i="7"/>
  <c r="P5" i="7"/>
  <c r="K9" i="7"/>
  <c r="G13" i="7"/>
  <c r="U16" i="7"/>
  <c r="G20" i="7"/>
  <c r="I23" i="7"/>
  <c r="R1" i="7"/>
  <c r="A4" i="7"/>
  <c r="Q5" i="7"/>
  <c r="R7" i="7"/>
  <c r="Q9" i="7"/>
  <c r="K11" i="7"/>
  <c r="H13" i="7"/>
  <c r="F15" i="7"/>
  <c r="A17" i="7"/>
  <c r="K20" i="7"/>
  <c r="U21" i="7"/>
  <c r="K23" i="7"/>
  <c r="T24" i="7"/>
  <c r="L1" i="7"/>
  <c r="K3" i="7"/>
  <c r="O5" i="7"/>
  <c r="N7" i="7"/>
  <c r="J9" i="7"/>
  <c r="E11" i="7"/>
  <c r="F13" i="7"/>
  <c r="D15" i="7"/>
  <c r="R16" i="7"/>
  <c r="K18" i="7"/>
  <c r="C20" i="7"/>
  <c r="O21" i="7"/>
  <c r="H23" i="7"/>
  <c r="R24" i="7"/>
  <c r="S24" i="7"/>
  <c r="K2" i="7"/>
  <c r="N4" i="7"/>
  <c r="N6" i="7"/>
  <c r="I8" i="7"/>
  <c r="I10" i="7"/>
  <c r="E12" i="7"/>
  <c r="E14" i="7"/>
  <c r="T15" i="7"/>
  <c r="K17" i="7"/>
  <c r="I19" i="7"/>
  <c r="U20" i="7"/>
  <c r="L22" i="7"/>
  <c r="A24" i="7"/>
  <c r="Q2" i="7"/>
  <c r="Q4" i="7"/>
  <c r="P6" i="7"/>
  <c r="P8" i="7"/>
  <c r="J10" i="7"/>
  <c r="F12" i="7"/>
  <c r="F14" i="7"/>
  <c r="E16" i="7"/>
  <c r="L17" i="7"/>
  <c r="J19" i="7"/>
  <c r="A21" i="7"/>
  <c r="M22" i="7"/>
  <c r="F24" i="7"/>
  <c r="A1" i="7"/>
  <c r="R2" i="7"/>
  <c r="R4" i="7"/>
  <c r="Q6" i="7"/>
  <c r="Q8" i="7"/>
  <c r="L10" i="7"/>
  <c r="L12" i="7"/>
  <c r="H14" i="7"/>
  <c r="F16" i="7"/>
  <c r="T17" i="7"/>
  <c r="M19" i="7"/>
  <c r="B21" i="7"/>
  <c r="N22" i="7"/>
  <c r="G24" i="7"/>
  <c r="B1" i="7"/>
  <c r="T2" i="7"/>
  <c r="A5" i="7"/>
  <c r="R6" i="7"/>
  <c r="R8" i="7"/>
  <c r="S10" i="7"/>
  <c r="M12" i="7"/>
  <c r="I14" i="7"/>
  <c r="G16" i="7"/>
  <c r="U17" i="7"/>
  <c r="O19" i="7"/>
  <c r="I21" i="7"/>
  <c r="P22" i="7"/>
  <c r="H24" i="7"/>
  <c r="D1" i="7"/>
  <c r="G3" i="7"/>
  <c r="B5" i="7"/>
  <c r="S6" i="7"/>
  <c r="S8" i="7"/>
  <c r="T10" i="7"/>
  <c r="N12" i="7"/>
  <c r="O14" i="7"/>
  <c r="H16" i="7"/>
  <c r="A18" i="7"/>
  <c r="P19" i="7"/>
  <c r="J21" i="7"/>
  <c r="T22" i="7"/>
  <c r="I24" i="7"/>
  <c r="E1" i="7"/>
  <c r="H3" i="7"/>
  <c r="C5" i="7"/>
  <c r="D7" i="7"/>
  <c r="T8" i="7"/>
  <c r="U10" i="7"/>
  <c r="A13" i="7"/>
  <c r="P14" i="7"/>
  <c r="I16" i="7"/>
  <c r="F18" i="7"/>
  <c r="Q19" i="7"/>
  <c r="L21" i="7"/>
  <c r="B23" i="7"/>
  <c r="J24" i="7"/>
  <c r="A22" i="7"/>
  <c r="B6" i="7"/>
  <c r="T11" i="7"/>
  <c r="I17" i="7"/>
  <c r="K22" i="7"/>
  <c r="C6" i="7"/>
  <c r="C12" i="7"/>
  <c r="J17" i="7"/>
  <c r="L23" i="7"/>
  <c r="D6" i="7"/>
  <c r="D12" i="7"/>
  <c r="P18" i="7"/>
  <c r="M23" i="7"/>
  <c r="D2" i="7"/>
  <c r="O13" i="7"/>
  <c r="U23" i="7"/>
  <c r="E2" i="7"/>
  <c r="U7" i="7"/>
  <c r="C14" i="7"/>
  <c r="H19" i="7"/>
  <c r="F2" i="7"/>
  <c r="D8" i="7"/>
  <c r="D14" i="7"/>
  <c r="L20" i="7"/>
  <c r="G2" i="7"/>
  <c r="H8" i="7"/>
  <c r="G15" i="7"/>
  <c r="M20" i="7"/>
  <c r="H2" i="7"/>
  <c r="R9" i="7"/>
  <c r="J15" i="7"/>
  <c r="N20" i="7"/>
  <c r="B4" i="7"/>
  <c r="S9" i="7"/>
  <c r="K15" i="7"/>
  <c r="O20" i="7"/>
  <c r="C4" i="7"/>
  <c r="T9" i="7"/>
  <c r="O15" i="7"/>
  <c r="Q20" i="7"/>
  <c r="H4" i="7"/>
  <c r="U9" i="7"/>
  <c r="S15" i="7"/>
  <c r="J4" i="7"/>
  <c r="C10" i="7"/>
  <c r="E17" i="7"/>
  <c r="B22" i="7"/>
  <c r="M4" i="7"/>
  <c r="N11" i="7"/>
  <c r="F17" i="7"/>
  <c r="I22" i="7"/>
  <c r="R5" i="7"/>
  <c r="S11" i="7"/>
  <c r="G17" i="7"/>
  <c r="J22" i="7"/>
  <c r="M6" i="7"/>
  <c r="M13" i="7"/>
  <c r="U18" i="7"/>
  <c r="N23" i="7"/>
  <c r="S7" i="7"/>
  <c r="N13" i="7"/>
  <c r="A19" i="7"/>
  <c r="T23" i="7"/>
  <c r="T7" i="7"/>
  <c r="B19" i="7"/>
  <c r="B11" i="5"/>
  <c r="E19" i="3"/>
  <c r="E4" i="9"/>
  <c r="B14" i="6"/>
  <c r="F4" i="9"/>
  <c r="F19" i="3"/>
  <c r="B5" i="6"/>
  <c r="I4" i="3"/>
  <c r="B8" i="5"/>
  <c r="B10" i="6"/>
  <c r="B1" i="6"/>
  <c r="B9" i="5"/>
  <c r="B11" i="6"/>
  <c r="B2" i="6"/>
  <c r="E8" i="5"/>
  <c r="E10" i="6"/>
  <c r="E11" i="6"/>
  <c r="E12" i="6"/>
  <c r="E13" i="6"/>
  <c r="E1" i="6"/>
  <c r="E2" i="6"/>
  <c r="E3" i="6"/>
  <c r="E4" i="6"/>
  <c r="E9" i="5"/>
  <c r="E1" i="9"/>
  <c r="E2" i="9"/>
  <c r="A1" i="10" a="1"/>
  <c r="I1" i="9"/>
  <c r="I2" i="9"/>
  <c r="E16" i="3"/>
  <c r="I16" i="3"/>
  <c r="I17" i="3"/>
  <c r="E17" i="3"/>
  <c r="F9" i="5"/>
  <c r="E10" i="5"/>
  <c r="B22" i="10" l="1"/>
  <c r="E19" i="10"/>
  <c r="F7" i="10"/>
  <c r="R13" i="10"/>
  <c r="R19" i="10"/>
  <c r="P8" i="10"/>
  <c r="O8" i="10"/>
  <c r="H8" i="10"/>
  <c r="G8" i="10"/>
  <c r="F8" i="10"/>
  <c r="B8" i="10"/>
  <c r="I21" i="10"/>
  <c r="K21" i="10"/>
  <c r="H18" i="10"/>
  <c r="J24" i="10"/>
  <c r="Q8" i="10"/>
  <c r="K17" i="10"/>
  <c r="N5" i="10"/>
  <c r="T18" i="10"/>
  <c r="C7" i="10"/>
  <c r="P18" i="10"/>
  <c r="A7" i="10"/>
  <c r="G18" i="10"/>
  <c r="H6" i="10"/>
  <c r="F18" i="10"/>
  <c r="F6" i="10"/>
  <c r="T17" i="10"/>
  <c r="E6" i="10"/>
  <c r="S17" i="10"/>
  <c r="D6" i="10"/>
  <c r="R17" i="10"/>
  <c r="C6" i="10"/>
  <c r="Q23" i="10"/>
  <c r="N15" i="10"/>
  <c r="M7" i="10"/>
  <c r="P23" i="10"/>
  <c r="M15" i="10"/>
  <c r="L7" i="10"/>
  <c r="E23" i="10"/>
  <c r="D15" i="10"/>
  <c r="U6" i="10"/>
  <c r="D22" i="10"/>
  <c r="A14" i="10"/>
  <c r="U5" i="10"/>
  <c r="A21" i="10"/>
  <c r="U12" i="10"/>
  <c r="R4" i="10"/>
  <c r="L21" i="10"/>
  <c r="J15" i="10"/>
  <c r="H9" i="10"/>
  <c r="F3" i="10"/>
  <c r="D21" i="10"/>
  <c r="B15" i="10"/>
  <c r="U8" i="10"/>
  <c r="S2" i="10"/>
  <c r="C21" i="10"/>
  <c r="A15" i="10"/>
  <c r="T8" i="10"/>
  <c r="R2" i="10"/>
  <c r="B21" i="10"/>
  <c r="U14" i="10"/>
  <c r="S8" i="10"/>
  <c r="Q2" i="10"/>
  <c r="E13" i="10"/>
  <c r="E10" i="10"/>
  <c r="F16" i="10"/>
  <c r="J4" i="10"/>
  <c r="C1" i="10"/>
  <c r="P5" i="10"/>
  <c r="O5" i="10"/>
  <c r="H5" i="10"/>
  <c r="G5" i="10"/>
  <c r="F5" i="10"/>
  <c r="E5" i="10"/>
  <c r="I18" i="10"/>
  <c r="L18" i="10"/>
  <c r="H15" i="10"/>
  <c r="K15" i="10"/>
  <c r="B6" i="10"/>
  <c r="U15" i="10"/>
  <c r="R12" i="10"/>
  <c r="M18" i="10"/>
  <c r="A5" i="10"/>
  <c r="A8" i="10"/>
  <c r="L20" i="10"/>
  <c r="H14" i="10"/>
  <c r="E2" i="10"/>
  <c r="S19" i="10"/>
  <c r="P6" i="10"/>
  <c r="L15" i="10"/>
  <c r="I6" i="10"/>
  <c r="Q14" i="10"/>
  <c r="K14" i="10"/>
  <c r="A1" i="10"/>
  <c r="T12" i="10"/>
  <c r="F23" i="10"/>
  <c r="S9" i="10"/>
  <c r="O19" i="10"/>
  <c r="U4" i="10"/>
  <c r="F15" i="10"/>
  <c r="N1" i="10"/>
  <c r="E12" i="10"/>
  <c r="I22" i="10"/>
  <c r="D9" i="10"/>
  <c r="H19" i="10"/>
  <c r="M4" i="10"/>
  <c r="P21" i="10"/>
  <c r="M12" i="10"/>
  <c r="J3" i="10"/>
  <c r="N18" i="10"/>
  <c r="K9" i="10"/>
  <c r="G24" i="10"/>
  <c r="B14" i="10"/>
  <c r="T4" i="10"/>
  <c r="C19" i="10"/>
  <c r="U9" i="10"/>
  <c r="B24" i="10"/>
  <c r="T14" i="10"/>
  <c r="Q5" i="10"/>
  <c r="Q20" i="10"/>
  <c r="T13" i="10"/>
  <c r="B7" i="10"/>
  <c r="E24" i="10"/>
  <c r="H17" i="10"/>
  <c r="K10" i="10"/>
  <c r="N3" i="10"/>
  <c r="H20" i="10"/>
  <c r="K13" i="10"/>
  <c r="N6" i="10"/>
  <c r="C24" i="10"/>
  <c r="F17" i="10"/>
  <c r="I10" i="10"/>
  <c r="L3" i="10"/>
  <c r="R10" i="10"/>
  <c r="R16" i="10"/>
  <c r="L24" i="10"/>
  <c r="M23" i="10"/>
  <c r="L17" i="10"/>
  <c r="H11" i="10"/>
  <c r="T22" i="10"/>
  <c r="S16" i="10"/>
  <c r="I24" i="10"/>
  <c r="Q9" i="10"/>
  <c r="H3" i="10"/>
  <c r="Q11" i="10"/>
  <c r="C13" i="10"/>
  <c r="O24" i="10"/>
  <c r="J11" i="10"/>
  <c r="N21" i="10"/>
  <c r="I8" i="10"/>
  <c r="Q16" i="10"/>
  <c r="G3" i="10"/>
  <c r="P13" i="10"/>
  <c r="T23" i="10"/>
  <c r="O10" i="10"/>
  <c r="S20" i="10"/>
  <c r="N7" i="10"/>
  <c r="H16" i="10"/>
  <c r="B3" i="10"/>
  <c r="P20" i="10"/>
  <c r="M11" i="10"/>
  <c r="J2" i="10"/>
  <c r="F22" i="10"/>
  <c r="R9" i="10"/>
  <c r="U3" i="10"/>
  <c r="P11" i="10"/>
  <c r="E17" i="10"/>
  <c r="T16" i="10"/>
  <c r="Q3" i="10"/>
  <c r="K24" i="10"/>
  <c r="Q6" i="10"/>
  <c r="U21" i="10"/>
  <c r="M2" i="10"/>
  <c r="J8" i="10"/>
  <c r="I14" i="10"/>
  <c r="G21" i="10"/>
  <c r="U23" i="10"/>
  <c r="P7" i="10"/>
  <c r="M13" i="10"/>
  <c r="I16" i="10"/>
  <c r="O23" i="10"/>
  <c r="K7" i="10"/>
  <c r="O18" i="10"/>
  <c r="K6" i="10"/>
  <c r="P19" i="10"/>
  <c r="K8" i="10"/>
  <c r="F21" i="10"/>
  <c r="A11" i="10"/>
  <c r="F24" i="10"/>
  <c r="A13" i="10"/>
  <c r="T2" i="10"/>
  <c r="A16" i="10"/>
  <c r="R3" i="10"/>
  <c r="F19" i="10"/>
  <c r="N11" i="10"/>
  <c r="A4" i="10"/>
  <c r="N19" i="10"/>
  <c r="A12" i="10"/>
  <c r="I4" i="10"/>
  <c r="M19" i="10"/>
  <c r="U11" i="10"/>
  <c r="H4" i="10"/>
  <c r="G20" i="10"/>
  <c r="O12" i="10"/>
  <c r="B5" i="10"/>
  <c r="F13" i="10"/>
  <c r="G7" i="10"/>
  <c r="A22" i="10"/>
  <c r="O2" i="10"/>
  <c r="F2" i="10"/>
  <c r="C14" i="10"/>
  <c r="J18" i="10"/>
  <c r="J21" i="10"/>
  <c r="P3" i="10"/>
  <c r="K20" i="10"/>
  <c r="G23" i="10"/>
  <c r="M5" i="10"/>
  <c r="S12" i="10"/>
  <c r="G15" i="10"/>
  <c r="K22" i="10"/>
  <c r="P4" i="10"/>
  <c r="E9" i="10"/>
  <c r="S14" i="10"/>
  <c r="H22" i="10"/>
  <c r="E1" i="10"/>
  <c r="O17" i="10"/>
  <c r="K5" i="10"/>
  <c r="N17" i="10"/>
  <c r="J6" i="10"/>
  <c r="D20" i="10"/>
  <c r="A10" i="10"/>
  <c r="D23" i="10"/>
  <c r="B12" i="10"/>
  <c r="R1" i="10"/>
  <c r="U13" i="10"/>
  <c r="P2" i="10"/>
  <c r="K18" i="10"/>
  <c r="S10" i="10"/>
  <c r="K2" i="10"/>
  <c r="S18" i="10"/>
  <c r="F11" i="10"/>
  <c r="C2" i="10"/>
  <c r="R18" i="10"/>
  <c r="E11" i="10"/>
  <c r="M3" i="10"/>
  <c r="L19" i="10"/>
  <c r="T11" i="10"/>
  <c r="G4" i="10"/>
  <c r="G16" i="10"/>
  <c r="T1" i="10"/>
  <c r="L23" i="10"/>
  <c r="U22" i="10"/>
  <c r="C11" i="10"/>
  <c r="K12" i="10"/>
  <c r="M9" i="10"/>
  <c r="N23" i="10"/>
  <c r="U18" i="10"/>
  <c r="Q21" i="10"/>
  <c r="C4" i="10"/>
  <c r="I11" i="10"/>
  <c r="Q13" i="10"/>
  <c r="U20" i="10"/>
  <c r="E3" i="10"/>
  <c r="O7" i="10"/>
  <c r="I13" i="10"/>
  <c r="R20" i="10"/>
  <c r="K3" i="10"/>
  <c r="P16" i="10"/>
  <c r="L4" i="10"/>
  <c r="O16" i="10"/>
  <c r="J5" i="10"/>
  <c r="D19" i="10"/>
  <c r="B9" i="10"/>
  <c r="E21" i="10"/>
  <c r="U10" i="10"/>
  <c r="C23" i="10"/>
  <c r="S11" i="10"/>
  <c r="Q1" i="10"/>
  <c r="P17" i="10"/>
  <c r="C10" i="10"/>
  <c r="P1" i="10"/>
  <c r="C18" i="10"/>
  <c r="P9" i="10"/>
  <c r="H1" i="10"/>
  <c r="B18" i="10"/>
  <c r="J10" i="10"/>
  <c r="B2" i="10"/>
  <c r="Q18" i="10"/>
  <c r="D11" i="10"/>
  <c r="A2" i="10"/>
  <c r="E7" i="10"/>
  <c r="M21" i="10"/>
  <c r="L14" i="10"/>
  <c r="U19" i="10"/>
  <c r="D2" i="10"/>
  <c r="I15" i="10"/>
  <c r="H24" i="10"/>
  <c r="N20" i="10"/>
  <c r="K11" i="10"/>
  <c r="J20" i="10"/>
  <c r="H2" i="10"/>
  <c r="I5" i="10"/>
  <c r="G12" i="10"/>
  <c r="K19" i="10"/>
  <c r="J22" i="10"/>
  <c r="O4" i="10"/>
  <c r="D12" i="10"/>
  <c r="R14" i="10"/>
  <c r="L2" i="10"/>
  <c r="N14" i="10"/>
  <c r="K1" i="10"/>
  <c r="M14" i="10"/>
  <c r="K4" i="10"/>
  <c r="E18" i="10"/>
  <c r="U7" i="10"/>
  <c r="C20" i="10"/>
  <c r="A9" i="10"/>
  <c r="C22" i="10"/>
  <c r="T10" i="10"/>
  <c r="M24" i="10"/>
  <c r="U16" i="10"/>
  <c r="M8" i="10"/>
  <c r="U24" i="10"/>
  <c r="M16" i="10"/>
  <c r="E8" i="10"/>
  <c r="T24" i="10"/>
  <c r="G17" i="10"/>
  <c r="O9" i="10"/>
  <c r="G1" i="10"/>
  <c r="A18" i="10"/>
  <c r="G10" i="10"/>
  <c r="E4" i="10"/>
  <c r="D16" i="10"/>
  <c r="O11" i="10"/>
  <c r="S22" i="10"/>
  <c r="H21" i="10"/>
  <c r="D10" i="10"/>
  <c r="N24" i="10"/>
  <c r="Q10" i="10"/>
  <c r="T20" i="10"/>
  <c r="L10" i="10"/>
  <c r="L1" i="10"/>
  <c r="P24" i="10"/>
  <c r="I3" i="10"/>
  <c r="A6" i="10"/>
  <c r="T7" i="10"/>
  <c r="T9" i="10"/>
  <c r="E16" i="10"/>
  <c r="J23" i="10"/>
  <c r="J7" i="10"/>
  <c r="L16" i="10"/>
  <c r="S24" i="10"/>
  <c r="N9" i="10"/>
  <c r="R6" i="10"/>
  <c r="N2" i="10"/>
  <c r="S13" i="10"/>
  <c r="H12" i="10"/>
  <c r="N8" i="10"/>
  <c r="F20" i="10"/>
  <c r="G9" i="10"/>
  <c r="J19" i="10"/>
  <c r="N4" i="10"/>
  <c r="Q24" i="10"/>
  <c r="Q22" i="10"/>
  <c r="T3" i="10"/>
  <c r="T6" i="10"/>
  <c r="R8" i="10"/>
  <c r="O14" i="10"/>
  <c r="O22" i="10"/>
  <c r="O6" i="10"/>
  <c r="Q15" i="10"/>
  <c r="H23" i="10"/>
  <c r="C8" i="10"/>
  <c r="D4" i="10"/>
  <c r="G19" i="10"/>
  <c r="O13" i="10"/>
  <c r="K16" i="10"/>
  <c r="I2" i="10"/>
  <c r="E15" i="10"/>
  <c r="P22" i="10"/>
  <c r="O15" i="10"/>
  <c r="A23" i="10"/>
  <c r="B11" i="10"/>
  <c r="I9" i="10"/>
  <c r="D7" i="10"/>
  <c r="I17" i="10"/>
  <c r="Q7" i="10"/>
  <c r="J16" i="10"/>
  <c r="C3" i="10"/>
  <c r="R22" i="10"/>
  <c r="O21" i="10"/>
  <c r="J1" i="10"/>
  <c r="U2" i="10"/>
  <c r="S4" i="10"/>
  <c r="S7" i="10"/>
  <c r="D13" i="10"/>
  <c r="T21" i="10"/>
  <c r="T5" i="10"/>
  <c r="F14" i="10"/>
  <c r="M22" i="10"/>
  <c r="H7" i="10"/>
  <c r="F4" i="10"/>
  <c r="G13" i="10"/>
  <c r="E20" i="10"/>
  <c r="U1" i="10"/>
  <c r="N12" i="10"/>
  <c r="S15" i="10"/>
  <c r="O1" i="10"/>
  <c r="I1" i="10"/>
  <c r="Q19" i="10"/>
  <c r="O20" i="10"/>
  <c r="E22" i="10"/>
  <c r="S1" i="10"/>
  <c r="S3" i="10"/>
  <c r="S6" i="10"/>
  <c r="I12" i="10"/>
  <c r="I20" i="10"/>
  <c r="D5" i="10"/>
  <c r="P12" i="10"/>
  <c r="R21" i="10"/>
  <c r="M6" i="10"/>
  <c r="D1" i="10"/>
  <c r="D17" i="10"/>
  <c r="J12" i="10"/>
  <c r="Q17" i="10"/>
  <c r="J17" i="10"/>
  <c r="B4" i="10"/>
  <c r="N16" i="10"/>
  <c r="D3" i="10"/>
  <c r="H13" i="10"/>
  <c r="N13" i="10"/>
  <c r="C17" i="10"/>
  <c r="D18" i="10"/>
  <c r="B20" i="10"/>
  <c r="R23" i="10"/>
  <c r="R7" i="10"/>
  <c r="R15" i="10"/>
  <c r="D24" i="10"/>
  <c r="D8" i="10"/>
  <c r="R5" i="10"/>
  <c r="F10" i="10"/>
  <c r="M20" i="10"/>
  <c r="D14" i="10"/>
  <c r="J9" i="10"/>
  <c r="A3" i="10"/>
  <c r="T15" i="10"/>
  <c r="G2" i="10"/>
  <c r="F12" i="10"/>
  <c r="M1" i="10"/>
  <c r="R11" i="10"/>
  <c r="N10" i="10"/>
  <c r="L12" i="10"/>
  <c r="C16" i="10"/>
  <c r="B17" i="10"/>
  <c r="B19" i="10"/>
  <c r="B23" i="10"/>
  <c r="G6" i="10"/>
  <c r="G14" i="10"/>
  <c r="I23" i="10"/>
  <c r="I7" i="10"/>
  <c r="P15" i="10"/>
  <c r="F1" i="10"/>
  <c r="B1" i="10"/>
  <c r="M17" i="10"/>
  <c r="A19" i="10"/>
  <c r="J14" i="10"/>
  <c r="H10" i="10"/>
  <c r="B16" i="10"/>
  <c r="L13" i="10"/>
  <c r="K23" i="10"/>
  <c r="P14" i="10"/>
  <c r="B10" i="10"/>
  <c r="C9" i="10"/>
  <c r="C15" i="10"/>
  <c r="Q12" i="10"/>
  <c r="L22" i="10"/>
  <c r="L8" i="10"/>
  <c r="S21" i="10"/>
  <c r="L6" i="10"/>
  <c r="L11" i="10"/>
  <c r="S5" i="10"/>
  <c r="O3" i="10"/>
  <c r="M10" i="10"/>
  <c r="C5" i="10"/>
  <c r="S23" i="10"/>
  <c r="L5" i="10"/>
  <c r="I19" i="10"/>
  <c r="C12" i="10"/>
  <c r="Q4" i="10"/>
  <c r="J13" i="10"/>
  <c r="G11" i="10"/>
  <c r="A24" i="10"/>
  <c r="L9" i="10"/>
  <c r="U17" i="10"/>
  <c r="N22" i="10"/>
  <c r="T19" i="10"/>
  <c r="A17" i="10"/>
  <c r="P10" i="10"/>
  <c r="G22" i="10"/>
  <c r="F9" i="10"/>
  <c r="A20" i="10"/>
  <c r="R24" i="10"/>
  <c r="B13" i="10"/>
  <c r="E1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0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0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H3" authorId="0" shapeId="0" xr:uid="{00000000-0006-0000-0000-000003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E4" authorId="0" shapeId="0" xr:uid="{00000000-0006-0000-0000-000005000000}">
      <text>
        <r>
          <rPr>
            <sz val="8"/>
            <color indexed="81"/>
            <rFont val="Tahoma"/>
            <family val="2"/>
          </rPr>
          <t>reference date</t>
        </r>
      </text>
    </comment>
    <comment ref="H4" authorId="0" shapeId="0" xr:uid="{00000000-0006-0000-0000-000006000000}">
      <text>
        <r>
          <rPr>
            <sz val="8"/>
            <color indexed="81"/>
            <rFont val="Tahoma"/>
            <family val="2"/>
          </rPr>
          <t>cap/floor constant volatility Quote</t>
        </r>
      </text>
    </comment>
    <comment ref="B5" authorId="0" shapeId="0" xr:uid="{00000000-0006-0000-0000-000007000000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E5" authorId="0" shapeId="0" xr:uid="{00000000-0006-0000-0000-000008000000}">
      <text>
        <r>
          <rPr>
            <sz val="8"/>
            <color indexed="81"/>
            <rFont val="Tahoma"/>
            <family val="2"/>
          </rPr>
          <t>vol quotes</t>
        </r>
      </text>
    </comment>
    <comment ref="H5" authorId="0" shapeId="0" xr:uid="{00000000-0006-0000-0000-000009000000}">
      <text>
        <r>
          <rPr>
            <sz val="8"/>
            <color indexed="81"/>
            <rFont val="Tahoma"/>
            <family val="2"/>
          </rPr>
          <t>holiday calendar (e.g. TARGET) used for calculating the exercise dates from the expiries</t>
        </r>
      </text>
    </comment>
    <comment ref="B6" authorId="0" shapeId="0" xr:uid="{00000000-0006-0000-0000-00000A000000}">
      <text>
        <r>
          <rPr>
            <sz val="8"/>
            <color indexed="81"/>
            <rFont val="Tahoma"/>
            <family val="2"/>
          </rPr>
          <t>the curve level</t>
        </r>
      </text>
    </comment>
    <comment ref="E6" authorId="0" shapeId="0" xr:uid="{00000000-0006-0000-0000-00000B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H6" authorId="0" shapeId="0" xr:uid="{00000000-0006-0000-0000-00000C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B7" authorId="0" shapeId="0" xr:uid="{00000000-0006-0000-0000-00000D000000}">
      <text>
        <r>
          <rPr>
            <sz val="8"/>
            <color indexed="81"/>
            <rFont val="Tahoma"/>
            <family val="2"/>
          </rPr>
          <t>DayCounter ID</t>
        </r>
      </text>
    </comment>
    <comment ref="E7" authorId="0" shapeId="0" xr:uid="{00000000-0006-0000-0000-00000E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H7" authorId="0" shapeId="0" xr:uid="{00000000-0006-0000-0000-00000F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 shapeId="0" xr:uid="{00000000-0006-0000-0000-000010000000}">
      <text>
        <r>
          <rPr>
            <sz val="8"/>
            <color indexed="81"/>
            <rFont val="Tahoma"/>
            <family val="2"/>
          </rPr>
          <t>Interest rate coumpounding rule (Simple:1+rt, Compounded:(1+r)^t, Continuous:e^{rt})</t>
        </r>
      </text>
    </comment>
    <comment ref="E8" authorId="0" shapeId="0" xr:uid="{00000000-0006-0000-0000-000011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H8" authorId="0" shapeId="0" xr:uid="{00000000-0006-0000-0000-000012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9" authorId="0" shapeId="0" xr:uid="{00000000-0006-0000-0000-000013000000}">
      <text>
        <r>
          <rPr>
            <sz val="8"/>
            <color indexed="81"/>
            <rFont val="Tahoma"/>
            <family val="2"/>
          </rPr>
          <t>frequency (e.g. Annual, Semiannual, Every4Month, Quarterly, Bimonthly, Monthly). If omitted, default = Annual is used.</t>
        </r>
      </text>
    </comment>
    <comment ref="B10" authorId="0" shapeId="0" xr:uid="{00000000-0006-0000-0000-000014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1" authorId="0" shapeId="0" xr:uid="{00000000-0006-0000-0000-00001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7" authorId="0" shapeId="0" xr:uid="{00000000-0006-0000-01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8" authorId="0" shapeId="0" xr:uid="{00000000-0006-0000-0100-000002000000}">
      <text>
        <r>
          <rPr>
            <sz val="8"/>
            <color indexed="81"/>
            <rFont val="Tahoma"/>
            <family val="2"/>
          </rPr>
          <t>effective date</t>
        </r>
      </text>
    </comment>
    <comment ref="B9" authorId="0" shapeId="0" xr:uid="{00000000-0006-0000-0100-000003000000}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10" authorId="0" shapeId="0" xr:uid="{00000000-0006-0000-0100-000004000000}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11" authorId="0" shapeId="0" xr:uid="{00000000-0006-0000-0100-000005000000}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12" authorId="0" shapeId="0" xr:uid="{00000000-0006-0000-0100-000006000000}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13" authorId="0" shapeId="0" xr:uid="{00000000-0006-0000-0100-000007000000}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14" authorId="0" shapeId="0" xr:uid="{00000000-0006-0000-0100-000008000000}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15" authorId="0" shapeId="0" xr:uid="{00000000-0006-0000-0100-000009000000}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16" authorId="0" shapeId="0" xr:uid="{00000000-0006-0000-0100-00000A000000}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17" authorId="0" shapeId="0" xr:uid="{00000000-0006-0000-0100-00000B000000}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18" authorId="0" shapeId="0" xr:uid="{00000000-0006-0000-0100-00000C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9" authorId="0" shapeId="0" xr:uid="{00000000-0006-0000-0100-00000D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 shapeId="0" xr:uid="{00000000-0006-0000-0100-00000E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4" authorId="0" shapeId="0" xr:uid="{00000000-0006-0000-0100-00000F000000}">
      <text>
        <r>
          <rPr>
            <sz val="8"/>
            <color indexed="81"/>
            <rFont val="Tahoma"/>
            <family val="2"/>
          </rPr>
          <t>effective date</t>
        </r>
      </text>
    </comment>
    <comment ref="B25" authorId="0" shapeId="0" xr:uid="{00000000-0006-0000-0100-000010000000}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26" authorId="0" shapeId="0" xr:uid="{00000000-0006-0000-0100-000011000000}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27" authorId="0" shapeId="0" xr:uid="{00000000-0006-0000-0100-000012000000}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28" authorId="0" shapeId="0" xr:uid="{00000000-0006-0000-0100-000013000000}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29" authorId="0" shapeId="0" xr:uid="{00000000-0006-0000-0100-000014000000}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30" authorId="0" shapeId="0" xr:uid="{00000000-0006-0000-0100-000015000000}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31" authorId="0" shapeId="0" xr:uid="{00000000-0006-0000-0100-000016000000}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32" authorId="0" shapeId="0" xr:uid="{00000000-0006-0000-0100-000017000000}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33" authorId="0" shapeId="0" xr:uid="{00000000-0006-0000-0100-000018000000}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34" authorId="0" shapeId="0" xr:uid="{00000000-0006-0000-0100-000019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100-00001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2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200-000002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5" authorId="0" shapeId="0" xr:uid="{00000000-0006-0000-0200-00000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 shapeId="0" xr:uid="{00000000-0006-0000-0200-00000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 shapeId="0" xr:uid="{00000000-0006-0000-0200-00000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 shapeId="0" xr:uid="{00000000-0006-0000-0200-000006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12" authorId="0" shapeId="0" xr:uid="{00000000-0006-0000-0200-000007000000}">
      <text>
        <r>
          <rPr>
            <sz val="8"/>
            <color indexed="81"/>
            <rFont val="Tahoma"/>
            <family val="2"/>
          </rPr>
          <t>OptionletVolatilityStructure object ID</t>
        </r>
      </text>
    </comment>
    <comment ref="B13" authorId="0" shapeId="0" xr:uid="{00000000-0006-0000-0200-000008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 shapeId="0" xr:uid="{00000000-0006-0000-02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8" authorId="0" shapeId="0" xr:uid="{00000000-0006-0000-0200-00000A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 shapeId="0" xr:uid="{00000000-0006-0000-0200-00000B000000}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20" authorId="0" shapeId="0" xr:uid="{00000000-0006-0000-0200-00000C000000}">
      <text>
        <r>
          <rPr>
            <sz val="8"/>
            <color indexed="81"/>
            <rFont val="Tahoma"/>
            <family val="2"/>
          </rPr>
          <t>SwaptionVolatilityStructure object ID</t>
        </r>
      </text>
    </comment>
    <comment ref="B21" authorId="0" shapeId="0" xr:uid="{00000000-0006-0000-0200-00000D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 shapeId="0" xr:uid="{00000000-0006-0000-0200-00000E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3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3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300-000003000000}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E4" authorId="0" shapeId="0" xr:uid="{00000000-0006-0000-0300-000004000000}">
      <text>
        <r>
          <rPr>
            <sz val="8"/>
            <color indexed="81"/>
            <rFont val="Tahoma"/>
            <family val="2"/>
          </rPr>
          <t>PAYER to pay the fixed rate, RECEIVER to receive it</t>
        </r>
      </text>
    </comment>
    <comment ref="B5" authorId="0" shapeId="0" xr:uid="{00000000-0006-0000-0300-000005000000}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 shapeId="0" xr:uid="{00000000-0006-0000-0300-000006000000}">
      <text>
        <r>
          <rPr>
            <sz val="8"/>
            <color indexed="81"/>
            <rFont val="Tahoma"/>
            <family val="2"/>
          </rPr>
          <t>Notional Amount</t>
        </r>
      </text>
    </comment>
    <comment ref="B6" authorId="0" shapeId="0" xr:uid="{00000000-0006-0000-0300-000007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6" authorId="0" shapeId="0" xr:uid="{00000000-0006-0000-0300-000008000000}">
      <text>
        <r>
          <rPr>
            <sz val="8"/>
            <color indexed="81"/>
            <rFont val="Tahoma"/>
            <family val="2"/>
          </rPr>
          <t>fixed leg schedule object ID</t>
        </r>
      </text>
    </comment>
    <comment ref="B7" authorId="0" shapeId="0" xr:uid="{00000000-0006-0000-03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E7" authorId="0" shapeId="0" xr:uid="{00000000-0006-0000-0300-00000A000000}">
      <text>
        <r>
          <rPr>
            <sz val="8"/>
            <color indexed="81"/>
            <rFont val="Tahoma"/>
            <family val="2"/>
          </rPr>
          <t>the fixed rate</t>
        </r>
      </text>
    </comment>
    <comment ref="E8" authorId="0" shapeId="0" xr:uid="{00000000-0006-0000-0300-00000B000000}">
      <text>
        <r>
          <rPr>
            <sz val="8"/>
            <color indexed="81"/>
            <rFont val="Tahoma"/>
            <family val="2"/>
          </rPr>
          <t>fixed leg day counter (e.g. Actual/360)</t>
        </r>
      </text>
    </comment>
    <comment ref="E9" authorId="0" shapeId="0" xr:uid="{00000000-0006-0000-0300-00000C000000}">
      <text>
        <r>
          <rPr>
            <sz val="8"/>
            <color indexed="81"/>
            <rFont val="Tahoma"/>
            <family val="2"/>
          </rPr>
          <t>floating leg schedule object ID</t>
        </r>
      </text>
    </comment>
    <comment ref="E10" authorId="0" shapeId="0" xr:uid="{00000000-0006-0000-0300-00000D000000}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B11" authorId="0" shapeId="0" xr:uid="{00000000-0006-0000-0300-00000E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11" authorId="0" shapeId="0" xr:uid="{00000000-0006-0000-0300-00000F000000}">
      <text>
        <r>
          <rPr>
            <sz val="8"/>
            <color indexed="81"/>
            <rFont val="Tahoma"/>
            <family val="2"/>
          </rPr>
          <t>Index Spread</t>
        </r>
      </text>
    </comment>
    <comment ref="B12" authorId="0" shapeId="0" xr:uid="{00000000-0006-0000-0300-000010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E12" authorId="0" shapeId="0" xr:uid="{00000000-0006-0000-0300-000011000000}">
      <text>
        <r>
          <rPr>
            <sz val="8"/>
            <color indexed="81"/>
            <rFont val="Tahoma"/>
            <family val="2"/>
          </rPr>
          <t>floating day counter (e.g. Actual/360)</t>
        </r>
      </text>
    </comment>
    <comment ref="B13" authorId="0" shapeId="0" xr:uid="{00000000-0006-0000-0300-000012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E13" authorId="0" shapeId="0" xr:uid="{00000000-0006-0000-0300-00001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 shapeId="0" xr:uid="{00000000-0006-0000-0300-000014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E14" authorId="0" shapeId="0" xr:uid="{00000000-0006-0000-0300-00001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5" authorId="0" shapeId="0" xr:uid="{00000000-0006-0000-0300-000016000000}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16" authorId="0" shapeId="0" xr:uid="{00000000-0006-0000-0300-000017000000}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17" authorId="0" shapeId="0" xr:uid="{00000000-0006-0000-0300-000018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18" authorId="0" shapeId="0" xr:uid="{00000000-0006-0000-0300-000019000000}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E18" authorId="0" shapeId="0" xr:uid="{00000000-0006-0000-0300-00001A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 shapeId="0" xr:uid="{00000000-0006-0000-0300-00001B000000}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E19" authorId="0" shapeId="0" xr:uid="{00000000-0006-0000-0300-00001C000000}">
      <text>
        <r>
          <rPr>
            <sz val="8"/>
            <color indexed="81"/>
            <rFont val="Tahoma"/>
            <family val="2"/>
          </rPr>
          <t>leg object IDs</t>
        </r>
      </text>
    </comment>
    <comment ref="B20" authorId="0" shapeId="0" xr:uid="{00000000-0006-0000-0300-00001D000000}">
      <text>
        <r>
          <rPr>
            <sz val="8"/>
            <color indexed="81"/>
            <rFont val="Tahoma"/>
            <family val="2"/>
          </rPr>
          <t>floating rate index</t>
        </r>
      </text>
    </comment>
    <comment ref="E20" authorId="0" shapeId="0" xr:uid="{00000000-0006-0000-0300-00001E000000}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B21" authorId="0" shapeId="0" xr:uid="{00000000-0006-0000-0300-00001F000000}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E21" authorId="0" shapeId="0" xr:uid="{00000000-0006-0000-0300-000020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 shapeId="0" xr:uid="{00000000-0006-0000-0300-000021000000}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E22" authorId="0" shapeId="0" xr:uid="{00000000-0006-0000-0300-000022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 shapeId="0" xr:uid="{00000000-0006-0000-0300-00002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4" authorId="0" shapeId="0" xr:uid="{00000000-0006-0000-0300-00002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8" authorId="0" shapeId="0" xr:uid="{00000000-0006-0000-0300-00002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9" authorId="0" shapeId="0" xr:uid="{00000000-0006-0000-0300-000026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30" authorId="0" shapeId="0" xr:uid="{00000000-0006-0000-0300-000027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31" authorId="0" shapeId="0" xr:uid="{00000000-0006-0000-0300-000028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32" authorId="0" shapeId="0" xr:uid="{00000000-0006-0000-0300-000029000000}">
      <text>
        <r>
          <rPr>
            <sz val="8"/>
            <color indexed="81"/>
            <rFont val="Tahoma"/>
            <family val="2"/>
          </rPr>
          <t>coupon fixed rates</t>
        </r>
      </text>
    </comment>
    <comment ref="B33" authorId="0" shapeId="0" xr:uid="{00000000-0006-0000-0300-00002A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34" authorId="0" shapeId="0" xr:uid="{00000000-0006-0000-0300-00002B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300-00002C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4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400-000002000000}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5" authorId="0" shapeId="0" xr:uid="{00000000-0006-0000-0400-000003000000}">
      <text>
        <r>
          <rPr>
            <sz val="8"/>
            <color indexed="81"/>
            <rFont val="Tahoma"/>
            <family val="2"/>
          </rPr>
          <t>coupon vector</t>
        </r>
      </text>
    </comment>
    <comment ref="B6" authorId="0" shapeId="0" xr:uid="{00000000-0006-0000-0400-000004000000}">
      <text>
        <r>
          <rPr>
            <sz val="8"/>
            <color indexed="81"/>
            <rFont val="Tahoma"/>
            <family val="2"/>
          </rPr>
          <t>strikes</t>
        </r>
      </text>
    </comment>
    <comment ref="B7" authorId="0" shapeId="0" xr:uid="{00000000-0006-0000-0400-000005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 shapeId="0" xr:uid="{00000000-0006-0000-0400-000006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 shapeId="0" xr:uid="{00000000-0006-0000-0400-000007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 shapeId="0" xr:uid="{00000000-0006-0000-0400-000008000000}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14" authorId="0" shapeId="0" xr:uid="{00000000-0006-0000-0400-000009000000}">
      <text>
        <r>
          <rPr>
            <sz val="8"/>
            <color indexed="81"/>
            <rFont val="Tahoma"/>
            <family val="2"/>
          </rPr>
          <t>coupon vector</t>
        </r>
      </text>
    </comment>
    <comment ref="B15" authorId="0" shapeId="0" xr:uid="{00000000-0006-0000-0400-00000A000000}">
      <text>
        <r>
          <rPr>
            <sz val="8"/>
            <color indexed="81"/>
            <rFont val="Tahoma"/>
            <family val="2"/>
          </rPr>
          <t>strikes</t>
        </r>
      </text>
    </comment>
    <comment ref="B16" authorId="0" shapeId="0" xr:uid="{00000000-0006-0000-0400-00000B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7" authorId="0" shapeId="0" xr:uid="{00000000-0006-0000-0400-00000C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5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500-000002000000}">
      <text>
        <r>
          <rPr>
            <sz val="8"/>
            <color indexed="81"/>
            <rFont val="Tahoma"/>
            <family val="2"/>
          </rPr>
          <t>expiry date</t>
        </r>
      </text>
    </comment>
    <comment ref="B5" authorId="0" shapeId="0" xr:uid="{00000000-0006-0000-0500-000003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 shapeId="0" xr:uid="{00000000-0006-0000-0500-000004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 shapeId="0" xr:uid="{00000000-0006-0000-0500-000005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 shapeId="0" xr:uid="{00000000-0006-0000-0500-000006000000}">
      <text>
        <r>
          <rPr>
            <sz val="8"/>
            <color indexed="81"/>
            <rFont val="Tahoma"/>
            <family val="2"/>
          </rPr>
          <t>underlying (vanilla) swap object ID</t>
        </r>
      </text>
    </comment>
    <comment ref="B12" authorId="0" shapeId="0" xr:uid="{00000000-0006-0000-0500-000007000000}">
      <text>
        <r>
          <rPr>
            <sz val="8"/>
            <color indexed="81"/>
            <rFont val="Tahoma"/>
            <family val="2"/>
          </rPr>
          <t>Exercise object ID</t>
        </r>
      </text>
    </comment>
    <comment ref="B13" authorId="0" shapeId="0" xr:uid="{00000000-0006-0000-0500-000008000000}">
      <text>
        <r>
          <rPr>
            <sz val="8"/>
            <color indexed="81"/>
            <rFont val="Tahoma"/>
            <family val="2"/>
          </rPr>
          <t>settlement type (PhysicalSettlement, CashSettlement)</t>
        </r>
      </text>
    </comment>
    <comment ref="B14" authorId="0" shapeId="0" xr:uid="{00000000-0006-0000-0500-000009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5" authorId="0" shapeId="0" xr:uid="{00000000-0006-0000-0500-00000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00000000-0006-0000-0600-000001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 shapeId="0" xr:uid="{00000000-0006-0000-0600-00000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00000000-0006-0000-0600-000003000000}">
      <text>
        <r>
          <rPr>
            <sz val="8"/>
            <color indexed="81"/>
            <rFont val="Tahoma"/>
            <family val="2"/>
          </rPr>
          <t>index tenor (e.g. 1Y for one year)</t>
        </r>
      </text>
    </comment>
    <comment ref="E4" authorId="0" shapeId="0" xr:uid="{00000000-0006-0000-0600-000004000000}">
      <text>
        <r>
          <rPr>
            <sz val="8"/>
            <color indexed="81"/>
            <rFont val="Tahoma"/>
            <family val="2"/>
          </rPr>
          <t>leg object IDs</t>
        </r>
      </text>
    </comment>
    <comment ref="B5" authorId="0" shapeId="0" xr:uid="{00000000-0006-0000-0600-000005000000}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 shapeId="0" xr:uid="{00000000-0006-0000-0600-000006000000}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E6" authorId="0" shapeId="0" xr:uid="{00000000-0006-0000-0600-000007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 shapeId="0" xr:uid="{00000000-0006-0000-0600-000008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7" authorId="0" shapeId="0" xr:uid="{00000000-0006-0000-0600-000009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8" authorId="0" shapeId="0" xr:uid="{00000000-0006-0000-0600-00000A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 shapeId="0" xr:uid="{00000000-0006-0000-0600-00000B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 shapeId="0" xr:uid="{00000000-0006-0000-0600-00000C000000}">
      <text>
        <r>
          <rPr>
            <sz val="8"/>
            <color indexed="81"/>
            <rFont val="Tahoma"/>
            <family val="2"/>
          </rPr>
          <t>Swaption Volatility Structure object ID</t>
        </r>
      </text>
    </comment>
    <comment ref="B14" authorId="0" shapeId="0" xr:uid="{00000000-0006-0000-0600-00000D000000}">
      <text>
        <r>
          <rPr>
            <sz val="8"/>
            <color indexed="81"/>
            <rFont val="Tahoma"/>
            <family val="2"/>
          </rPr>
          <t>Cms Coupon Pricer Type (e.g ConundrumByBlack, ConundrumByNumericalIntegration, ClassicalAnaliticalFormula)</t>
        </r>
      </text>
    </comment>
    <comment ref="B15" authorId="0" shapeId="0" xr:uid="{00000000-0006-0000-0600-00000E000000}">
      <text>
        <r>
          <rPr>
            <sz val="8"/>
            <color indexed="81"/>
            <rFont val="Tahoma"/>
            <family val="2"/>
          </rPr>
          <t>model of the yield curve (e.g Standard, ExactYield, ParallelShifts, NonParallelShifts)</t>
        </r>
      </text>
    </comment>
    <comment ref="B16" authorId="0" shapeId="0" xr:uid="{00000000-0006-0000-0600-00000F000000}">
      <text>
        <r>
          <rPr>
            <sz val="8"/>
            <color indexed="81"/>
            <rFont val="Tahoma"/>
            <family val="2"/>
          </rPr>
          <t>mean reversion quote.</t>
        </r>
      </text>
    </comment>
    <comment ref="B17" authorId="0" shapeId="0" xr:uid="{00000000-0006-0000-0600-000010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8" authorId="0" shapeId="0" xr:uid="{00000000-0006-0000-0600-000011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2" authorId="0" shapeId="0" xr:uid="{00000000-0006-0000-0600-000012000000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3" authorId="0" shapeId="0" xr:uid="{00000000-0006-0000-0600-000013000000}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24" authorId="0" shapeId="0" xr:uid="{00000000-0006-0000-0600-000014000000}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25" authorId="0" shapeId="0" xr:uid="{00000000-0006-0000-0600-000015000000}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26" authorId="0" shapeId="0" xr:uid="{00000000-0006-0000-0600-000016000000}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27" authorId="0" shapeId="0" xr:uid="{00000000-0006-0000-0600-000017000000}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28" authorId="0" shapeId="0" xr:uid="{00000000-0006-0000-0600-000018000000}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29" authorId="0" shapeId="0" xr:uid="{00000000-0006-0000-0600-000019000000}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B30" authorId="0" shapeId="0" xr:uid="{00000000-0006-0000-0600-00001A000000}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B31" authorId="0" shapeId="0" xr:uid="{00000000-0006-0000-0600-00001B000000}">
      <text>
        <r>
          <rPr>
            <sz val="8"/>
            <color indexed="81"/>
            <rFont val="Tahoma"/>
            <family val="2"/>
          </rPr>
          <t>underlying SwapIndex object ID</t>
        </r>
      </text>
    </comment>
    <comment ref="B32" authorId="0" shapeId="0" xr:uid="{00000000-0006-0000-0600-00001C000000}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B33" authorId="0" shapeId="0" xr:uid="{00000000-0006-0000-0600-00001D000000}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B34" authorId="0" shapeId="0" xr:uid="{00000000-0006-0000-0600-00001E000000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 shapeId="0" xr:uid="{00000000-0006-0000-0600-00001F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<sst xmlns="http://schemas.openxmlformats.org/spreadsheetml/2006/main" count="253" uniqueCount="99">
  <si>
    <t>NullCalendar</t>
  </si>
  <si>
    <t>Continuous</t>
  </si>
  <si>
    <t>Annual</t>
  </si>
  <si>
    <t>ObjectID</t>
  </si>
  <si>
    <t>NDays</t>
  </si>
  <si>
    <t>Calendar</t>
  </si>
  <si>
    <t>Rate</t>
  </si>
  <si>
    <t>DayCounter</t>
  </si>
  <si>
    <t>Compounding</t>
  </si>
  <si>
    <t>Frequency</t>
  </si>
  <si>
    <t>Permanent</t>
  </si>
  <si>
    <t>Trigger</t>
  </si>
  <si>
    <t>FlatForward</t>
  </si>
  <si>
    <t>Error</t>
  </si>
  <si>
    <t>ReferenceDate</t>
  </si>
  <si>
    <t>Volatility</t>
  </si>
  <si>
    <t>SwaptionVTSConstant</t>
  </si>
  <si>
    <t>TARGET</t>
  </si>
  <si>
    <t>Payer</t>
  </si>
  <si>
    <t>ScheduleID</t>
  </si>
  <si>
    <t>30/360 (Bond Basis)</t>
  </si>
  <si>
    <t>Actual/360</t>
  </si>
  <si>
    <t>PayerReceiver</t>
  </si>
  <si>
    <t>Nominal</t>
  </si>
  <si>
    <t>FixedLegSchedule</t>
  </si>
  <si>
    <t>FixedRate</t>
  </si>
  <si>
    <t>FixedLegDayCounter</t>
  </si>
  <si>
    <t>FloatingLegSchedule</t>
  </si>
  <si>
    <t>IborIndex</t>
  </si>
  <si>
    <t>FloatingLegSpread</t>
  </si>
  <si>
    <t>FloatingLegDayCounter</t>
  </si>
  <si>
    <t>VanillaSwap</t>
  </si>
  <si>
    <t>1Y</t>
  </si>
  <si>
    <t>Following</t>
  </si>
  <si>
    <t>Backward</t>
  </si>
  <si>
    <t>EffectiveDate</t>
  </si>
  <si>
    <t>TerminationDate</t>
  </si>
  <si>
    <t>Tenor</t>
  </si>
  <si>
    <t>Convention</t>
  </si>
  <si>
    <t>TermDateConv</t>
  </si>
  <si>
    <t>GenRule</t>
  </si>
  <si>
    <t>EndOfMonth</t>
  </si>
  <si>
    <t>FirstDate</t>
  </si>
  <si>
    <t>NextToLastDate</t>
  </si>
  <si>
    <t>Schedule</t>
  </si>
  <si>
    <t>6M</t>
  </si>
  <si>
    <t>Modified Following</t>
  </si>
  <si>
    <t>YieldCurve</t>
  </si>
  <si>
    <t>Euribor</t>
  </si>
  <si>
    <t>Cap</t>
  </si>
  <si>
    <t>OptionType</t>
  </si>
  <si>
    <t>LegID</t>
  </si>
  <si>
    <t>Strikes</t>
  </si>
  <si>
    <t>CapFloor</t>
  </si>
  <si>
    <t>PaymentBDC</t>
  </si>
  <si>
    <t>Nominals</t>
  </si>
  <si>
    <t>FixingDays</t>
  </si>
  <si>
    <t>IsInArrears</t>
  </si>
  <si>
    <t>Floors</t>
  </si>
  <si>
    <t>Gearings</t>
  </si>
  <si>
    <t>Spreads</t>
  </si>
  <si>
    <t>Caps</t>
  </si>
  <si>
    <t>IborLeg</t>
  </si>
  <si>
    <t>Floor</t>
  </si>
  <si>
    <t>Coupons</t>
  </si>
  <si>
    <t>FixedRateLeg</t>
  </si>
  <si>
    <t>LegIDs</t>
  </si>
  <si>
    <t>Swap</t>
  </si>
  <si>
    <t>ImpliedVolatility</t>
  </si>
  <si>
    <t>Atm Rate</t>
  </si>
  <si>
    <t>NPV</t>
  </si>
  <si>
    <t>Vol</t>
  </si>
  <si>
    <t>BlackCapFloorEngine</t>
  </si>
  <si>
    <t>VolTS</t>
  </si>
  <si>
    <t>BlackSwaptionEngine</t>
  </si>
  <si>
    <t>SetPricingEngine</t>
  </si>
  <si>
    <t>DiscountingSwapEngine</t>
  </si>
  <si>
    <t>FairRate</t>
  </si>
  <si>
    <t>Physical</t>
  </si>
  <si>
    <t>Exercise</t>
  </si>
  <si>
    <t>SettlementType</t>
  </si>
  <si>
    <t>Swaption</t>
  </si>
  <si>
    <t>ExpiryDate</t>
  </si>
  <si>
    <t>EuropeanExercise</t>
  </si>
  <si>
    <t>SwapIndex</t>
  </si>
  <si>
    <t>CmsLeg</t>
  </si>
  <si>
    <t>10Y</t>
  </si>
  <si>
    <t>EuriborSwapFixA</t>
  </si>
  <si>
    <t>ConundrumByNumericalIntegration</t>
  </si>
  <si>
    <t>NonParallelShifts</t>
  </si>
  <si>
    <t>CmsCouponPricerType</t>
  </si>
  <si>
    <t>ModelOfYieldCurve</t>
  </si>
  <si>
    <t>MeanReversion</t>
  </si>
  <si>
    <t>CmsCouponPricer</t>
  </si>
  <si>
    <t>LegSetCouponPricers</t>
  </si>
  <si>
    <t>FairSpread</t>
  </si>
  <si>
    <t>ConstantOptionletVolatility</t>
  </si>
  <si>
    <t>DiscountCurve</t>
  </si>
  <si>
    <t>ForwardingCurve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</si>
</sst>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%"/>
    <numFmt numFmtId="165" formatCode="ddd\,\ d\-mmm\-yyyy"/>
    <numFmt numFmtId="166" formatCode="0.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5" fontId="0" fillId="0" borderId="0" xfId="0" applyNumberFormat="1"/>
    <xf numFmtId="10" fontId="0" fillId="0" borderId="0" xfId="0" applyNumberFormat="1"/>
    <xf numFmtId="165" fontId="4" fillId="3" borderId="2" xfId="0" applyNumberFormat="1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43" fontId="4" fillId="3" borderId="2" xfId="0" applyNumberFormat="1" applyFont="1" applyFill="1" applyBorder="1" applyAlignment="1">
      <alignment horizontal="center"/>
    </xf>
    <xf numFmtId="43" fontId="0" fillId="0" borderId="0" xfId="0" applyNumberFormat="1"/>
    <xf numFmtId="164" fontId="0" fillId="0" borderId="0" xfId="1" applyNumberFormat="1" applyFont="1"/>
    <xf numFmtId="165" fontId="4" fillId="3" borderId="3" xfId="0" applyNumberFormat="1" applyFont="1" applyFill="1" applyBorder="1" applyAlignment="1">
      <alignment horizontal="center"/>
    </xf>
    <xf numFmtId="0" fontId="0" fillId="0" borderId="0" xfId="0" applyNumberFormat="1"/>
    <xf numFmtId="16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5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H3" sqref="H3"/>
    </sheetView>
  </sheetViews>
  <sheetFormatPr defaultRowHeight="10.199999999999999" x14ac:dyDescent="0.2"/>
  <cols>
    <col min="1" max="1" width="14.28515625" bestFit="1" customWidth="1"/>
    <col min="2" max="2" width="25" bestFit="1" customWidth="1"/>
    <col min="3" max="3" width="5.42578125" customWidth="1"/>
    <col min="4" max="4" width="22.140625" bestFit="1" customWidth="1"/>
    <col min="5" max="5" width="16.7109375" bestFit="1" customWidth="1"/>
    <col min="6" max="6" width="6.28515625" customWidth="1"/>
    <col min="7" max="7" width="26.28515625" bestFit="1" customWidth="1"/>
    <col min="8" max="8" width="16" bestFit="1" customWidth="1"/>
  </cols>
  <sheetData>
    <row r="1" spans="1:8" x14ac:dyDescent="0.2">
      <c r="A1" s="3" t="s">
        <v>12</v>
      </c>
      <c r="B1" s="11" t="str">
        <f>_xll.qlFlatForward(B3,B4,B5,B6,B7,B8,B9,B10,B11)</f>
        <v>obj_00002#0000</v>
      </c>
      <c r="D1" s="3" t="s">
        <v>16</v>
      </c>
      <c r="E1" s="11" t="str">
        <f>_xll.qlConstantSwaptionVolatility(E3,0,"TARGET","f",E5,E6,E7,E8)</f>
        <v>obj_00001#0000</v>
      </c>
      <c r="G1" s="3" t="s">
        <v>96</v>
      </c>
      <c r="H1" s="11" t="str">
        <f>_xll.qlConstantOptionletVolatility(H3,0,H5,"f",H4,H6,H7,H8)</f>
        <v>obj_00003#0000</v>
      </c>
    </row>
    <row r="2" spans="1:8" ht="10.8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G2" s="5" t="s">
        <v>13</v>
      </c>
      <c r="H2" s="12" t="str">
        <f>_xll.ohRangeRetrieveError(H1)</f>
        <v/>
      </c>
    </row>
    <row r="3" spans="1:8" x14ac:dyDescent="0.2">
      <c r="A3" s="3" t="s">
        <v>3</v>
      </c>
      <c r="B3" s="6"/>
      <c r="D3" s="3" t="s">
        <v>3</v>
      </c>
      <c r="E3" s="6"/>
      <c r="G3" s="3" t="s">
        <v>3</v>
      </c>
      <c r="H3" s="6"/>
    </row>
    <row r="4" spans="1:8" x14ac:dyDescent="0.2">
      <c r="A4" s="4" t="s">
        <v>4</v>
      </c>
      <c r="B4" s="7"/>
      <c r="D4" s="4" t="s">
        <v>14</v>
      </c>
      <c r="E4" s="15">
        <f>_xll.qlSettingsEvaluationDate()</f>
        <v>43489</v>
      </c>
      <c r="G4" s="4" t="s">
        <v>15</v>
      </c>
      <c r="H4" s="16">
        <v>0.15</v>
      </c>
    </row>
    <row r="5" spans="1:8" x14ac:dyDescent="0.2">
      <c r="A5" s="4" t="s">
        <v>5</v>
      </c>
      <c r="B5" s="43" t="s">
        <v>0</v>
      </c>
      <c r="D5" s="4" t="s">
        <v>15</v>
      </c>
      <c r="E5" s="16">
        <v>0.15</v>
      </c>
      <c r="G5" s="4" t="s">
        <v>5</v>
      </c>
      <c r="H5" s="43" t="s">
        <v>17</v>
      </c>
    </row>
    <row r="6" spans="1:8" x14ac:dyDescent="0.2">
      <c r="A6" s="4" t="s">
        <v>6</v>
      </c>
      <c r="B6" s="9">
        <v>4.3999999999999997E-2</v>
      </c>
      <c r="D6" s="4" t="s">
        <v>7</v>
      </c>
      <c r="E6" s="8"/>
      <c r="G6" s="4" t="s">
        <v>7</v>
      </c>
      <c r="H6" s="8"/>
    </row>
    <row r="7" spans="1:8" x14ac:dyDescent="0.2">
      <c r="A7" s="4" t="s">
        <v>7</v>
      </c>
      <c r="B7" s="8"/>
      <c r="D7" s="4" t="s">
        <v>10</v>
      </c>
      <c r="E7" s="8"/>
      <c r="G7" s="4" t="s">
        <v>10</v>
      </c>
      <c r="H7" s="8"/>
    </row>
    <row r="8" spans="1:8" ht="10.8" thickBot="1" x14ac:dyDescent="0.25">
      <c r="A8" s="4" t="s">
        <v>8</v>
      </c>
      <c r="B8" s="43" t="s">
        <v>1</v>
      </c>
      <c r="D8" s="5" t="s">
        <v>11</v>
      </c>
      <c r="E8" s="10"/>
      <c r="G8" s="5" t="s">
        <v>11</v>
      </c>
      <c r="H8" s="10"/>
    </row>
    <row r="9" spans="1:8" x14ac:dyDescent="0.2">
      <c r="A9" s="4" t="s">
        <v>9</v>
      </c>
      <c r="B9" s="43" t="s">
        <v>2</v>
      </c>
    </row>
    <row r="10" spans="1:8" x14ac:dyDescent="0.2">
      <c r="A10" s="4" t="s">
        <v>10</v>
      </c>
      <c r="B10" s="8"/>
    </row>
    <row r="11" spans="1:8" ht="10.8" thickBot="1" x14ac:dyDescent="0.25">
      <c r="A11" s="5" t="s">
        <v>11</v>
      </c>
      <c r="B11" s="10"/>
    </row>
    <row r="19" spans="1:1" x14ac:dyDescent="0.2">
      <c r="A19" s="42"/>
    </row>
  </sheetData>
  <phoneticPr fontId="0" type="noConversion"/>
  <dataValidations disablePrompts="1" count="4">
    <dataValidation type="list" allowBlank="1" showInputMessage="1" showErrorMessage="1" sqref="H5 B5" xr:uid="{00000000-0002-0000-0000-000000000000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6 E6 B7" xr:uid="{00000000-0002-0000-00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8" xr:uid="{00000000-0002-0000-0000-000002000000}">
      <formula1>"Simple,Compounded,Continuous,SimpleThenCompounded"</formula1>
    </dataValidation>
    <dataValidation type="list" allowBlank="1" showInputMessage="1" showErrorMessage="1" sqref="B9" xr:uid="{00000000-0002-0000-0000-000003000000}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5"/>
  <sheetViews>
    <sheetView workbookViewId="0">
      <selection activeCell="B3" sqref="B3"/>
    </sheetView>
  </sheetViews>
  <sheetFormatPr defaultRowHeight="10.199999999999999" x14ac:dyDescent="0.2"/>
  <cols>
    <col min="1" max="1" width="23" bestFit="1" customWidth="1"/>
    <col min="2" max="2" width="23.28515625" bestFit="1" customWidth="1"/>
    <col min="3" max="3" width="10.140625" bestFit="1" customWidth="1"/>
    <col min="5" max="5" width="23" bestFit="1" customWidth="1"/>
    <col min="6" max="6" width="80.85546875" bestFit="1" customWidth="1"/>
  </cols>
  <sheetData>
    <row r="1" spans="1:2" x14ac:dyDescent="0.2">
      <c r="A1" s="3" t="s">
        <v>5</v>
      </c>
      <c r="B1" s="44" t="s">
        <v>17</v>
      </c>
    </row>
    <row r="2" spans="1:2" x14ac:dyDescent="0.2">
      <c r="A2" s="4" t="s">
        <v>35</v>
      </c>
      <c r="B2" s="15">
        <f>_xll.qlCalendarAdvance(Calendar,_xll.qlCalendarAdjust(Calendar,SwaptionExpiry,"f"),"2d")</f>
        <v>43858</v>
      </c>
    </row>
    <row r="3" spans="1:2" ht="10.8" thickBot="1" x14ac:dyDescent="0.25">
      <c r="A3" s="5" t="s">
        <v>36</v>
      </c>
      <c r="B3" s="29">
        <f>_xll.qlCalendarAdvance(Calendar,B2,"10Y","Unadjusted")</f>
        <v>47511</v>
      </c>
    </row>
    <row r="4" spans="1:2" ht="10.8" thickBot="1" x14ac:dyDescent="0.25"/>
    <row r="5" spans="1:2" x14ac:dyDescent="0.2">
      <c r="A5" s="3" t="s">
        <v>44</v>
      </c>
      <c r="B5" s="11" t="str">
        <f>_xll.qlSchedule(B7,B8,B9,B10,B11,B12,B13,B14,B15,B16,B17,B18,B19)</f>
        <v>obj_0000a#0000</v>
      </c>
    </row>
    <row r="6" spans="1:2" ht="10.8" thickBot="1" x14ac:dyDescent="0.25">
      <c r="A6" s="5" t="s">
        <v>13</v>
      </c>
      <c r="B6" s="12" t="str">
        <f>_xll.ohRangeRetrieveError(B5)</f>
        <v/>
      </c>
    </row>
    <row r="7" spans="1:2" x14ac:dyDescent="0.2">
      <c r="A7" s="3" t="s">
        <v>3</v>
      </c>
      <c r="B7" s="6"/>
    </row>
    <row r="8" spans="1:2" x14ac:dyDescent="0.2">
      <c r="A8" s="4" t="s">
        <v>35</v>
      </c>
      <c r="B8" s="15">
        <f>EffectiveDate</f>
        <v>43858</v>
      </c>
    </row>
    <row r="9" spans="1:2" x14ac:dyDescent="0.2">
      <c r="A9" s="4" t="s">
        <v>36</v>
      </c>
      <c r="B9" s="15">
        <f>TerminationDate</f>
        <v>47511</v>
      </c>
    </row>
    <row r="10" spans="1:2" x14ac:dyDescent="0.2">
      <c r="A10" s="4" t="s">
        <v>37</v>
      </c>
      <c r="B10" s="8" t="s">
        <v>32</v>
      </c>
    </row>
    <row r="11" spans="1:2" x14ac:dyDescent="0.2">
      <c r="A11" s="4" t="s">
        <v>5</v>
      </c>
      <c r="B11" s="8" t="s">
        <v>17</v>
      </c>
    </row>
    <row r="12" spans="1:2" x14ac:dyDescent="0.2">
      <c r="A12" s="4" t="s">
        <v>38</v>
      </c>
      <c r="B12" s="8" t="s">
        <v>46</v>
      </c>
    </row>
    <row r="13" spans="1:2" x14ac:dyDescent="0.2">
      <c r="A13" s="4" t="s">
        <v>39</v>
      </c>
      <c r="B13" s="8" t="s">
        <v>46</v>
      </c>
    </row>
    <row r="14" spans="1:2" x14ac:dyDescent="0.2">
      <c r="A14" s="4" t="s">
        <v>40</v>
      </c>
      <c r="B14" s="8" t="s">
        <v>34</v>
      </c>
    </row>
    <row r="15" spans="1:2" x14ac:dyDescent="0.2">
      <c r="A15" s="4" t="s">
        <v>41</v>
      </c>
      <c r="B15" s="8"/>
    </row>
    <row r="16" spans="1:2" x14ac:dyDescent="0.2">
      <c r="A16" s="4" t="s">
        <v>42</v>
      </c>
      <c r="B16" s="15"/>
    </row>
    <row r="17" spans="1:2" x14ac:dyDescent="0.2">
      <c r="A17" s="4" t="s">
        <v>43</v>
      </c>
      <c r="B17" s="15"/>
    </row>
    <row r="18" spans="1:2" x14ac:dyDescent="0.2">
      <c r="A18" s="4" t="s">
        <v>10</v>
      </c>
      <c r="B18" s="8"/>
    </row>
    <row r="19" spans="1:2" ht="10.8" thickBot="1" x14ac:dyDescent="0.25">
      <c r="A19" s="5" t="s">
        <v>11</v>
      </c>
      <c r="B19" s="10"/>
    </row>
    <row r="20" spans="1:2" ht="10.8" thickBot="1" x14ac:dyDescent="0.25"/>
    <row r="21" spans="1:2" x14ac:dyDescent="0.2">
      <c r="A21" s="3" t="s">
        <v>44</v>
      </c>
      <c r="B21" s="11" t="str">
        <f>_xll.qlSchedule(B23,B24,B25,B26,B27,B28,B29,B30,B31,B32,B33,B34,B35)</f>
        <v>obj_0000b#0000</v>
      </c>
    </row>
    <row r="22" spans="1:2" ht="10.8" thickBot="1" x14ac:dyDescent="0.25">
      <c r="A22" s="5" t="s">
        <v>13</v>
      </c>
      <c r="B22" s="12" t="str">
        <f>_xll.ohRangeRetrieveError(B21)</f>
        <v/>
      </c>
    </row>
    <row r="23" spans="1:2" x14ac:dyDescent="0.2">
      <c r="A23" s="3" t="s">
        <v>3</v>
      </c>
      <c r="B23" s="6"/>
    </row>
    <row r="24" spans="1:2" x14ac:dyDescent="0.2">
      <c r="A24" s="4" t="s">
        <v>35</v>
      </c>
      <c r="B24" s="15">
        <f>EffectiveDate</f>
        <v>43858</v>
      </c>
    </row>
    <row r="25" spans="1:2" x14ac:dyDescent="0.2">
      <c r="A25" s="4" t="s">
        <v>36</v>
      </c>
      <c r="B25" s="15">
        <f>TerminationDate</f>
        <v>47511</v>
      </c>
    </row>
    <row r="26" spans="1:2" x14ac:dyDescent="0.2">
      <c r="A26" s="4" t="s">
        <v>37</v>
      </c>
      <c r="B26" s="8" t="s">
        <v>45</v>
      </c>
    </row>
    <row r="27" spans="1:2" x14ac:dyDescent="0.2">
      <c r="A27" s="4" t="s">
        <v>5</v>
      </c>
      <c r="B27" s="8" t="s">
        <v>17</v>
      </c>
    </row>
    <row r="28" spans="1:2" x14ac:dyDescent="0.2">
      <c r="A28" s="4" t="s">
        <v>38</v>
      </c>
      <c r="B28" s="8" t="s">
        <v>46</v>
      </c>
    </row>
    <row r="29" spans="1:2" x14ac:dyDescent="0.2">
      <c r="A29" s="4" t="s">
        <v>39</v>
      </c>
      <c r="B29" s="8" t="s">
        <v>46</v>
      </c>
    </row>
    <row r="30" spans="1:2" x14ac:dyDescent="0.2">
      <c r="A30" s="4" t="s">
        <v>40</v>
      </c>
      <c r="B30" s="8" t="s">
        <v>34</v>
      </c>
    </row>
    <row r="31" spans="1:2" x14ac:dyDescent="0.2">
      <c r="A31" s="4" t="s">
        <v>41</v>
      </c>
      <c r="B31" s="8"/>
    </row>
    <row r="32" spans="1:2" x14ac:dyDescent="0.2">
      <c r="A32" s="4" t="s">
        <v>42</v>
      </c>
      <c r="B32" s="15"/>
    </row>
    <row r="33" spans="1:2" x14ac:dyDescent="0.2">
      <c r="A33" s="4" t="s">
        <v>43</v>
      </c>
      <c r="B33" s="15"/>
    </row>
    <row r="34" spans="1:2" x14ac:dyDescent="0.2">
      <c r="A34" s="4" t="s">
        <v>10</v>
      </c>
      <c r="B34" s="8"/>
    </row>
    <row r="35" spans="1:2" ht="10.8" thickBot="1" x14ac:dyDescent="0.25">
      <c r="A35" s="5" t="s">
        <v>11</v>
      </c>
      <c r="B35" s="10"/>
    </row>
  </sheetData>
  <phoneticPr fontId="0" type="noConversion"/>
  <dataValidations count="2">
    <dataValidation type="list" allowBlank="1" showInputMessage="1" showErrorMessage="1" sqref="B11 B27 B1" xr:uid="{00000000-0002-0000-0100-000000000000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12:B13 B28:B29" xr:uid="{00000000-0002-0000-0100-000001000000}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2"/>
  <sheetViews>
    <sheetView workbookViewId="0">
      <selection activeCell="B1" sqref="B1"/>
    </sheetView>
  </sheetViews>
  <sheetFormatPr defaultRowHeight="10.199999999999999" x14ac:dyDescent="0.2"/>
  <cols>
    <col min="1" max="1" width="23.7109375" bestFit="1" customWidth="1"/>
    <col min="2" max="2" width="26.28515625" bestFit="1" customWidth="1"/>
  </cols>
  <sheetData>
    <row r="1" spans="1:2" x14ac:dyDescent="0.2">
      <c r="A1" s="3" t="s">
        <v>76</v>
      </c>
      <c r="B1" s="11" t="str">
        <f>_xll.qlDiscountingSwapEngine(B3,B4,B5,B6)</f>
        <v>obj_00004#0000</v>
      </c>
    </row>
    <row r="2" spans="1:2" ht="10.8" thickBot="1" x14ac:dyDescent="0.25">
      <c r="A2" s="5" t="s">
        <v>13</v>
      </c>
      <c r="B2" s="12" t="str">
        <f>_xll.ohRangeRetrieveError(B1)</f>
        <v/>
      </c>
    </row>
    <row r="3" spans="1:2" x14ac:dyDescent="0.2">
      <c r="A3" s="3" t="s">
        <v>3</v>
      </c>
      <c r="B3" s="6"/>
    </row>
    <row r="4" spans="1:2" x14ac:dyDescent="0.2">
      <c r="A4" s="4" t="s">
        <v>47</v>
      </c>
      <c r="B4" s="8" t="str">
        <f>TermStructures!$B$1</f>
        <v>obj_00002#0000</v>
      </c>
    </row>
    <row r="5" spans="1:2" x14ac:dyDescent="0.2">
      <c r="A5" s="4" t="s">
        <v>10</v>
      </c>
      <c r="B5" s="8"/>
    </row>
    <row r="6" spans="1:2" ht="10.8" thickBot="1" x14ac:dyDescent="0.25">
      <c r="A6" s="5" t="s">
        <v>11</v>
      </c>
      <c r="B6" s="10"/>
    </row>
    <row r="7" spans="1:2" ht="10.8" thickBot="1" x14ac:dyDescent="0.25"/>
    <row r="8" spans="1:2" x14ac:dyDescent="0.2">
      <c r="A8" s="3" t="s">
        <v>72</v>
      </c>
      <c r="B8" s="11" t="str">
        <f>_xll.qlBlackCapFloorEngine(B10,B11,B12,B13,B14)</f>
        <v>obj_00006#0000</v>
      </c>
    </row>
    <row r="9" spans="1:2" ht="10.8" thickBot="1" x14ac:dyDescent="0.25">
      <c r="A9" s="5" t="s">
        <v>13</v>
      </c>
      <c r="B9" s="12" t="str">
        <f>_xll.ohRangeRetrieveError(B8)</f>
        <v/>
      </c>
    </row>
    <row r="10" spans="1:2" x14ac:dyDescent="0.2">
      <c r="A10" s="3" t="s">
        <v>3</v>
      </c>
      <c r="B10" s="6"/>
    </row>
    <row r="11" spans="1:2" x14ac:dyDescent="0.2">
      <c r="A11" s="4" t="s">
        <v>47</v>
      </c>
      <c r="B11" s="8" t="str">
        <f>TermStructures!$B$1</f>
        <v>obj_00002#0000</v>
      </c>
    </row>
    <row r="12" spans="1:2" x14ac:dyDescent="0.2">
      <c r="A12" s="4" t="s">
        <v>71</v>
      </c>
      <c r="B12" s="8" t="str">
        <f>TermStructures!$H$1</f>
        <v>obj_00003#0000</v>
      </c>
    </row>
    <row r="13" spans="1:2" x14ac:dyDescent="0.2">
      <c r="A13" s="4" t="s">
        <v>10</v>
      </c>
      <c r="B13" s="8"/>
    </row>
    <row r="14" spans="1:2" ht="10.8" thickBot="1" x14ac:dyDescent="0.25">
      <c r="A14" s="5" t="s">
        <v>11</v>
      </c>
      <c r="B14" s="10"/>
    </row>
    <row r="15" spans="1:2" ht="10.8" thickBot="1" x14ac:dyDescent="0.25"/>
    <row r="16" spans="1:2" x14ac:dyDescent="0.2">
      <c r="A16" s="3" t="s">
        <v>74</v>
      </c>
      <c r="B16" s="11" t="str">
        <f>_xll.qlBlackSwaptionEngine(B18,B19,B20,B21,B22)</f>
        <v>obj_00005#0000</v>
      </c>
    </row>
    <row r="17" spans="1:2" ht="10.8" thickBot="1" x14ac:dyDescent="0.25">
      <c r="A17" s="5" t="s">
        <v>13</v>
      </c>
      <c r="B17" s="12" t="str">
        <f>_xll.ohRangeRetrieveError(B16)</f>
        <v/>
      </c>
    </row>
    <row r="18" spans="1:2" x14ac:dyDescent="0.2">
      <c r="A18" s="3" t="s">
        <v>3</v>
      </c>
      <c r="B18" s="6"/>
    </row>
    <row r="19" spans="1:2" x14ac:dyDescent="0.2">
      <c r="A19" s="4" t="s">
        <v>47</v>
      </c>
      <c r="B19" s="8" t="str">
        <f>TermStructures!$B$1</f>
        <v>obj_00002#0000</v>
      </c>
    </row>
    <row r="20" spans="1:2" x14ac:dyDescent="0.2">
      <c r="A20" s="4" t="s">
        <v>73</v>
      </c>
      <c r="B20" s="8" t="str">
        <f>TermStructures!$E$1</f>
        <v>obj_00001#0000</v>
      </c>
    </row>
    <row r="21" spans="1:2" x14ac:dyDescent="0.2">
      <c r="A21" s="4" t="s">
        <v>10</v>
      </c>
      <c r="B21" s="8"/>
    </row>
    <row r="22" spans="1:2" ht="10.8" thickBot="1" x14ac:dyDescent="0.25">
      <c r="A22" s="5" t="s">
        <v>11</v>
      </c>
      <c r="B22" s="1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5"/>
  <sheetViews>
    <sheetView workbookViewId="0">
      <selection activeCell="B15" sqref="B15"/>
    </sheetView>
  </sheetViews>
  <sheetFormatPr defaultRowHeight="10.199999999999999" x14ac:dyDescent="0.2"/>
  <cols>
    <col min="1" max="1" width="13.7109375" bestFit="1" customWidth="1"/>
    <col min="2" max="2" width="22.140625" bestFit="1" customWidth="1"/>
    <col min="3" max="3" width="10.85546875" customWidth="1"/>
    <col min="4" max="4" width="23" bestFit="1" customWidth="1"/>
    <col min="5" max="5" width="18.140625" bestFit="1" customWidth="1"/>
    <col min="6" max="6" width="14.7109375" bestFit="1" customWidth="1"/>
    <col min="7" max="7" width="4.140625" customWidth="1"/>
    <col min="8" max="8" width="14.7109375" bestFit="1" customWidth="1"/>
    <col min="9" max="9" width="12.140625" bestFit="1" customWidth="1"/>
  </cols>
  <sheetData>
    <row r="1" spans="1:9" x14ac:dyDescent="0.2">
      <c r="A1" s="3" t="s">
        <v>48</v>
      </c>
      <c r="B1" s="11" t="str">
        <f>_xll.qlEuribor(B3,B4,B5,B6,B7)</f>
        <v>obj_00009#0000</v>
      </c>
      <c r="D1" s="3" t="s">
        <v>31</v>
      </c>
      <c r="E1" s="11" t="str">
        <f>_xll.qlVanillaSwap(E3,E4,E5,E6,E7,E8,E9,E10,E11,E12,E13,E14)</f>
        <v>obj_0000e#0000</v>
      </c>
      <c r="H1" t="s">
        <v>75</v>
      </c>
      <c r="I1" t="b">
        <f>_xll.qlInstrumentSetPricingEngine(E1,PricingEngines!$B$1)</f>
        <v>1</v>
      </c>
    </row>
    <row r="2" spans="1:9" ht="10.8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-37678.051078459364</v>
      </c>
    </row>
    <row r="3" spans="1:9" x14ac:dyDescent="0.2">
      <c r="A3" s="3" t="s">
        <v>3</v>
      </c>
      <c r="B3" s="6"/>
      <c r="D3" s="3" t="s">
        <v>3</v>
      </c>
      <c r="E3" s="6"/>
      <c r="H3" t="s">
        <v>77</v>
      </c>
      <c r="I3" s="28">
        <f>_xll.qlVanillaSwapFairRate($E$1,$I$1)</f>
        <v>4.5021100886513739E-2</v>
      </c>
    </row>
    <row r="4" spans="1:9" x14ac:dyDescent="0.2">
      <c r="A4" s="4" t="s">
        <v>37</v>
      </c>
      <c r="B4" s="8" t="str">
        <f>DateCalc!B26</f>
        <v>6M</v>
      </c>
      <c r="D4" s="4" t="s">
        <v>22</v>
      </c>
      <c r="E4" s="8" t="s">
        <v>18</v>
      </c>
      <c r="H4" t="s">
        <v>95</v>
      </c>
      <c r="I4" s="28">
        <f>_xll.qlVanillaSwapFairSpread($E$1,$I$1)</f>
        <v>4.8525477152209454E-3</v>
      </c>
    </row>
    <row r="5" spans="1:9" x14ac:dyDescent="0.2">
      <c r="A5" s="4" t="s">
        <v>47</v>
      </c>
      <c r="B5" s="8" t="str">
        <f>TermStructures!B1</f>
        <v>obj_00002#0000</v>
      </c>
      <c r="D5" s="4" t="s">
        <v>23</v>
      </c>
      <c r="E5" s="26">
        <f>Nominal</f>
        <v>1000000</v>
      </c>
    </row>
    <row r="6" spans="1:9" x14ac:dyDescent="0.2">
      <c r="A6" s="4" t="s">
        <v>10</v>
      </c>
      <c r="B6" s="8"/>
      <c r="D6" s="4" t="s">
        <v>24</v>
      </c>
      <c r="E6" s="8" t="str">
        <f>DateCalc!$B$5</f>
        <v>obj_0000a#0000</v>
      </c>
    </row>
    <row r="7" spans="1:9" ht="10.8" thickBot="1" x14ac:dyDescent="0.25">
      <c r="A7" s="5" t="s">
        <v>11</v>
      </c>
      <c r="B7" s="10"/>
      <c r="D7" s="4" t="s">
        <v>25</v>
      </c>
      <c r="E7" s="9">
        <f>B32</f>
        <v>0.05</v>
      </c>
    </row>
    <row r="8" spans="1:9" ht="10.8" thickBot="1" x14ac:dyDescent="0.25">
      <c r="D8" s="4" t="s">
        <v>26</v>
      </c>
      <c r="E8" s="8" t="str">
        <f>B33</f>
        <v>30/360 (Bond Basis)</v>
      </c>
    </row>
    <row r="9" spans="1:9" x14ac:dyDescent="0.2">
      <c r="A9" s="3" t="s">
        <v>62</v>
      </c>
      <c r="B9" s="11" t="str">
        <f>_xll.qlIborLeg(B11,B12,B13,B14,B15,B16,B17,B18,B19,B20,B21,B22,B23,B24)</f>
        <v>obj_0000c#0000</v>
      </c>
      <c r="D9" s="4" t="s">
        <v>27</v>
      </c>
      <c r="E9" s="8" t="str">
        <f>DateCalc!B21</f>
        <v>obj_0000b#0000</v>
      </c>
    </row>
    <row r="10" spans="1:9" ht="10.8" thickBot="1" x14ac:dyDescent="0.25">
      <c r="A10" s="5" t="s">
        <v>13</v>
      </c>
      <c r="B10" s="12" t="str">
        <f>_xll.ohRangeRetrieveError(B9)</f>
        <v/>
      </c>
      <c r="D10" s="4" t="s">
        <v>28</v>
      </c>
      <c r="E10" s="8" t="str">
        <f>B1</f>
        <v>obj_00009#0000</v>
      </c>
    </row>
    <row r="11" spans="1:9" x14ac:dyDescent="0.2">
      <c r="A11" s="3" t="s">
        <v>3</v>
      </c>
      <c r="B11" s="6"/>
      <c r="D11" s="4" t="s">
        <v>29</v>
      </c>
      <c r="E11" s="9">
        <f>B21</f>
        <v>0</v>
      </c>
    </row>
    <row r="12" spans="1:9" x14ac:dyDescent="0.2">
      <c r="A12" s="4" t="s">
        <v>54</v>
      </c>
      <c r="B12" s="8" t="s">
        <v>33</v>
      </c>
      <c r="D12" s="4" t="s">
        <v>30</v>
      </c>
      <c r="E12" s="8" t="str">
        <f>B17</f>
        <v>Actual/360</v>
      </c>
    </row>
    <row r="13" spans="1:9" x14ac:dyDescent="0.2">
      <c r="A13" s="4" t="s">
        <v>55</v>
      </c>
      <c r="B13" s="26">
        <v>1000000</v>
      </c>
      <c r="D13" s="4" t="s">
        <v>10</v>
      </c>
      <c r="E13" s="8"/>
    </row>
    <row r="14" spans="1:9" ht="10.8" thickBot="1" x14ac:dyDescent="0.25">
      <c r="A14" s="4" t="s">
        <v>19</v>
      </c>
      <c r="B14" s="8" t="str">
        <f>DateCalc!B21</f>
        <v>obj_0000b#0000</v>
      </c>
      <c r="D14" s="5" t="s">
        <v>11</v>
      </c>
      <c r="E14" s="10"/>
    </row>
    <row r="15" spans="1:9" ht="10.8" thickBot="1" x14ac:dyDescent="0.25">
      <c r="A15" s="4" t="s">
        <v>56</v>
      </c>
      <c r="B15" s="8"/>
    </row>
    <row r="16" spans="1:9" x14ac:dyDescent="0.2">
      <c r="A16" s="4" t="s">
        <v>57</v>
      </c>
      <c r="B16" s="8"/>
      <c r="D16" s="3" t="s">
        <v>67</v>
      </c>
      <c r="E16" s="11" t="str">
        <f>_xll.qlSwap(E18,E19:F19,E20:F20,E21,E22)</f>
        <v>obj_00014#0000</v>
      </c>
      <c r="H16" t="s">
        <v>75</v>
      </c>
      <c r="I16" t="b">
        <f>_xll.qlInstrumentSetPricingEngine(E16,PricingEngines!$B$1)</f>
        <v>1</v>
      </c>
    </row>
    <row r="17" spans="1:9" ht="10.8" thickBot="1" x14ac:dyDescent="0.25">
      <c r="A17" s="4" t="s">
        <v>7</v>
      </c>
      <c r="B17" s="8" t="s">
        <v>21</v>
      </c>
      <c r="D17" s="5" t="s">
        <v>13</v>
      </c>
      <c r="E17" s="12" t="str">
        <f>_xll.ohRangeRetrieveError(E16)</f>
        <v/>
      </c>
      <c r="H17" t="s">
        <v>70</v>
      </c>
      <c r="I17" s="27">
        <f>_xll.qlInstrumentNPV(E16,I16)</f>
        <v>-37678.051078459364</v>
      </c>
    </row>
    <row r="18" spans="1:9" ht="10.8" thickBot="1" x14ac:dyDescent="0.25">
      <c r="A18" s="4" t="s">
        <v>58</v>
      </c>
      <c r="B18" s="9"/>
      <c r="D18" s="23" t="s">
        <v>3</v>
      </c>
      <c r="E18" s="20"/>
      <c r="I18" s="28"/>
    </row>
    <row r="19" spans="1:9" x14ac:dyDescent="0.2">
      <c r="A19" s="4" t="s">
        <v>59</v>
      </c>
      <c r="B19" s="8"/>
      <c r="D19" s="24" t="s">
        <v>66</v>
      </c>
      <c r="E19" s="17" t="str">
        <f>B26</f>
        <v>obj_0000d#0000</v>
      </c>
      <c r="F19" s="18" t="str">
        <f>B9</f>
        <v>obj_0000c#0000</v>
      </c>
    </row>
    <row r="20" spans="1:9" ht="10.8" thickBot="1" x14ac:dyDescent="0.25">
      <c r="A20" s="4" t="s">
        <v>28</v>
      </c>
      <c r="B20" s="8" t="str">
        <f>B1</f>
        <v>obj_00009#0000</v>
      </c>
      <c r="D20" s="24" t="s">
        <v>18</v>
      </c>
      <c r="E20" s="17" t="b">
        <v>1</v>
      </c>
      <c r="F20" s="19" t="b">
        <v>0</v>
      </c>
    </row>
    <row r="21" spans="1:9" x14ac:dyDescent="0.2">
      <c r="A21" s="4" t="s">
        <v>60</v>
      </c>
      <c r="B21" s="9"/>
      <c r="D21" s="24" t="s">
        <v>10</v>
      </c>
      <c r="E21" s="21"/>
    </row>
    <row r="22" spans="1:9" ht="10.8" thickBot="1" x14ac:dyDescent="0.25">
      <c r="A22" s="4" t="s">
        <v>61</v>
      </c>
      <c r="B22" s="9"/>
      <c r="D22" s="25" t="s">
        <v>11</v>
      </c>
      <c r="E22" s="22"/>
    </row>
    <row r="23" spans="1:9" x14ac:dyDescent="0.2">
      <c r="A23" s="4" t="s">
        <v>10</v>
      </c>
      <c r="B23" s="8"/>
    </row>
    <row r="24" spans="1:9" ht="10.8" thickBot="1" x14ac:dyDescent="0.25">
      <c r="A24" s="5" t="s">
        <v>11</v>
      </c>
      <c r="B24" s="10"/>
    </row>
    <row r="25" spans="1:9" ht="10.8" thickBot="1" x14ac:dyDescent="0.25"/>
    <row r="26" spans="1:9" x14ac:dyDescent="0.2">
      <c r="A26" s="3" t="s">
        <v>65</v>
      </c>
      <c r="B26" s="11" t="str">
        <f>_xll.qlFixedRateLeg(B28,B29,B30,B31,B32,B33,B34,B35)</f>
        <v>obj_0000d#0000</v>
      </c>
    </row>
    <row r="27" spans="1:9" ht="10.8" thickBot="1" x14ac:dyDescent="0.25">
      <c r="A27" s="5" t="s">
        <v>13</v>
      </c>
      <c r="B27" s="12" t="str">
        <f>_xll.ohRangeRetrieveError(B26)</f>
        <v/>
      </c>
    </row>
    <row r="28" spans="1:9" x14ac:dyDescent="0.2">
      <c r="A28" s="3" t="s">
        <v>3</v>
      </c>
      <c r="B28" s="6"/>
    </row>
    <row r="29" spans="1:9" x14ac:dyDescent="0.2">
      <c r="A29" s="4" t="s">
        <v>54</v>
      </c>
      <c r="B29" s="8" t="s">
        <v>33</v>
      </c>
    </row>
    <row r="30" spans="1:9" x14ac:dyDescent="0.2">
      <c r="A30" s="4" t="s">
        <v>55</v>
      </c>
      <c r="B30" s="26">
        <f>Nominal</f>
        <v>1000000</v>
      </c>
    </row>
    <row r="31" spans="1:9" x14ac:dyDescent="0.2">
      <c r="A31" s="4" t="s">
        <v>19</v>
      </c>
      <c r="B31" s="8" t="str">
        <f>DateCalc!$B$5</f>
        <v>obj_0000a#0000</v>
      </c>
    </row>
    <row r="32" spans="1:9" x14ac:dyDescent="0.2">
      <c r="A32" s="4" t="s">
        <v>64</v>
      </c>
      <c r="B32" s="9">
        <v>0.05</v>
      </c>
    </row>
    <row r="33" spans="1:2" x14ac:dyDescent="0.2">
      <c r="A33" s="4" t="s">
        <v>7</v>
      </c>
      <c r="B33" s="8" t="s">
        <v>20</v>
      </c>
    </row>
    <row r="34" spans="1:2" x14ac:dyDescent="0.2">
      <c r="A34" s="4" t="s">
        <v>10</v>
      </c>
      <c r="B34" s="8"/>
    </row>
    <row r="35" spans="1:2" ht="10.8" thickBot="1" x14ac:dyDescent="0.25">
      <c r="A35" s="5" t="s">
        <v>11</v>
      </c>
      <c r="B35" s="10"/>
    </row>
  </sheetData>
  <phoneticPr fontId="0" type="noConversion"/>
  <dataValidations count="3">
    <dataValidation type="list" allowBlank="1" showInputMessage="1" showErrorMessage="1" sqref="E4" xr:uid="{00000000-0002-0000-0300-000000000000}">
      <formula1>"Payer,Receiver"</formula1>
    </dataValidation>
    <dataValidation type="list" allowBlank="1" showInputMessage="1" showErrorMessage="1" sqref="E8 E12 B33 B17" xr:uid="{00000000-0002-0000-03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29 B12" xr:uid="{00000000-0002-0000-0300-000002000000}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7"/>
  <sheetViews>
    <sheetView workbookViewId="0">
      <selection activeCell="E14" sqref="E14"/>
    </sheetView>
  </sheetViews>
  <sheetFormatPr defaultRowHeight="10.199999999999999" x14ac:dyDescent="0.2"/>
  <cols>
    <col min="1" max="1" width="11.7109375" bestFit="1" customWidth="1"/>
    <col min="2" max="2" width="14.7109375" bestFit="1" customWidth="1"/>
    <col min="3" max="3" width="6.28515625" customWidth="1"/>
    <col min="4" max="4" width="14.7109375" bestFit="1" customWidth="1"/>
    <col min="5" max="5" width="10.42578125" bestFit="1" customWidth="1"/>
  </cols>
  <sheetData>
    <row r="1" spans="1:5" x14ac:dyDescent="0.2">
      <c r="A1" s="3" t="s">
        <v>53</v>
      </c>
      <c r="B1" s="11" t="str">
        <f>_xll.qlCapFloor(B3,B4,B5,B6,B7,B8)</f>
        <v>obj_00012#0000</v>
      </c>
      <c r="D1" t="s">
        <v>75</v>
      </c>
      <c r="E1" t="b">
        <f>_xll.qlInstrumentSetPricingEngine(B1,PricingEngines!$B$8)</f>
        <v>1</v>
      </c>
    </row>
    <row r="2" spans="1:5" ht="10.8" thickBot="1" x14ac:dyDescent="0.25">
      <c r="A2" s="5" t="s">
        <v>13</v>
      </c>
      <c r="B2" s="12" t="str">
        <f>_xll.ohRangeRetrieveError(B1)</f>
        <v/>
      </c>
      <c r="D2" t="s">
        <v>70</v>
      </c>
      <c r="E2" s="27">
        <f>_xll.qlInstrumentNPV(B1,E1)</f>
        <v>29877.281147543676</v>
      </c>
    </row>
    <row r="3" spans="1:5" x14ac:dyDescent="0.2">
      <c r="A3" s="3" t="s">
        <v>3</v>
      </c>
      <c r="B3" s="6"/>
      <c r="D3" t="s">
        <v>69</v>
      </c>
      <c r="E3" s="2">
        <f>_xll.qlCapFloorAtmRate(B1,TermStructures!$B$1)</f>
        <v>4.3878583450672061E-2</v>
      </c>
    </row>
    <row r="4" spans="1:5" x14ac:dyDescent="0.2">
      <c r="A4" s="4" t="s">
        <v>50</v>
      </c>
      <c r="B4" s="8" t="s">
        <v>63</v>
      </c>
      <c r="D4" t="s">
        <v>68</v>
      </c>
      <c r="E4" s="14">
        <f>_xll.qlCapFloorImpliedVolatility(B1,E2,TermStructures!$B$1,0.000001,100)</f>
        <v>2.0000000500000001</v>
      </c>
    </row>
    <row r="5" spans="1:5" x14ac:dyDescent="0.2">
      <c r="A5" s="4" t="s">
        <v>51</v>
      </c>
      <c r="B5" s="8" t="str">
        <f>Swaps!B9</f>
        <v>obj_0000c#0000</v>
      </c>
    </row>
    <row r="6" spans="1:5" x14ac:dyDescent="0.2">
      <c r="A6" s="4" t="s">
        <v>52</v>
      </c>
      <c r="B6" s="9">
        <v>0.04</v>
      </c>
    </row>
    <row r="7" spans="1:5" x14ac:dyDescent="0.2">
      <c r="A7" s="4" t="s">
        <v>10</v>
      </c>
      <c r="B7" s="8"/>
    </row>
    <row r="8" spans="1:5" ht="10.8" thickBot="1" x14ac:dyDescent="0.25">
      <c r="A8" s="5" t="s">
        <v>11</v>
      </c>
      <c r="B8" s="10"/>
    </row>
    <row r="9" spans="1:5" ht="10.8" thickBot="1" x14ac:dyDescent="0.25"/>
    <row r="10" spans="1:5" x14ac:dyDescent="0.2">
      <c r="A10" s="3" t="s">
        <v>53</v>
      </c>
      <c r="B10" s="11" t="str">
        <f>_xll.qlCapFloor(B12,B13,B14,B15,B16,B17)</f>
        <v>obj_00011#0000</v>
      </c>
      <c r="D10" t="s">
        <v>75</v>
      </c>
      <c r="E10" t="b">
        <f>_xll.qlInstrumentSetPricingEngine(B10,PricingEngines!$B$8)</f>
        <v>1</v>
      </c>
    </row>
    <row r="11" spans="1:5" ht="10.8" thickBot="1" x14ac:dyDescent="0.25">
      <c r="A11" s="5" t="s">
        <v>13</v>
      </c>
      <c r="B11" s="12" t="str">
        <f>_xll.ohRangeRetrieveError(B10)</f>
        <v/>
      </c>
      <c r="D11" t="s">
        <v>70</v>
      </c>
      <c r="E11" s="27">
        <f>_xll.qlInstrumentNPV(B10,E10)</f>
        <v>59992.89750884207</v>
      </c>
    </row>
    <row r="12" spans="1:5" x14ac:dyDescent="0.2">
      <c r="A12" s="3" t="s">
        <v>3</v>
      </c>
      <c r="B12" s="6"/>
      <c r="D12" t="s">
        <v>69</v>
      </c>
      <c r="E12" s="2">
        <f>_xll.qlCapFloorAtmRate(B10,TermStructures!$B$1)</f>
        <v>4.3878583450672061E-2</v>
      </c>
    </row>
    <row r="13" spans="1:5" x14ac:dyDescent="0.2">
      <c r="A13" s="4" t="s">
        <v>50</v>
      </c>
      <c r="B13" s="8" t="s">
        <v>49</v>
      </c>
      <c r="D13" t="s">
        <v>68</v>
      </c>
      <c r="E13" s="14">
        <f>_xll.qlCapFloorImpliedVolatility(B10,E11,TermStructures!$B$1,0.000001,100)</f>
        <v>2.0000000500000001</v>
      </c>
    </row>
    <row r="14" spans="1:5" x14ac:dyDescent="0.2">
      <c r="A14" s="4" t="s">
        <v>51</v>
      </c>
      <c r="B14" s="8" t="str">
        <f>Swaps!B9</f>
        <v>obj_0000c#0000</v>
      </c>
    </row>
    <row r="15" spans="1:5" x14ac:dyDescent="0.2">
      <c r="A15" s="4" t="s">
        <v>52</v>
      </c>
      <c r="B15" s="9">
        <v>0.04</v>
      </c>
    </row>
    <row r="16" spans="1:5" x14ac:dyDescent="0.2">
      <c r="A16" s="4" t="s">
        <v>10</v>
      </c>
      <c r="B16" s="8"/>
    </row>
    <row r="17" spans="1:2" ht="10.8" thickBot="1" x14ac:dyDescent="0.25">
      <c r="A17" s="5" t="s">
        <v>11</v>
      </c>
      <c r="B17" s="10"/>
    </row>
  </sheetData>
  <phoneticPr fontId="0" type="noConversion"/>
  <dataValidations count="1">
    <dataValidation type="list" allowBlank="1" showInputMessage="1" showErrorMessage="1" sqref="B13 B4" xr:uid="{00000000-0002-0000-0400-000000000000}">
      <formula1>"Cap,Floor"</formula1>
    </dataValidation>
  </dataValidation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5"/>
  <sheetViews>
    <sheetView tabSelected="1" workbookViewId="0">
      <selection activeCell="B5" sqref="B5"/>
    </sheetView>
  </sheetViews>
  <sheetFormatPr defaultRowHeight="10.199999999999999" x14ac:dyDescent="0.2"/>
  <cols>
    <col min="1" max="1" width="18" bestFit="1" customWidth="1"/>
    <col min="2" max="2" width="14.7109375" bestFit="1" customWidth="1"/>
    <col min="4" max="4" width="14.7109375" bestFit="1" customWidth="1"/>
    <col min="5" max="5" width="9.42578125" bestFit="1" customWidth="1"/>
  </cols>
  <sheetData>
    <row r="1" spans="1:6" x14ac:dyDescent="0.2">
      <c r="A1" s="3" t="s">
        <v>83</v>
      </c>
      <c r="B1" s="11" t="str">
        <f>_xll.qlEuropeanExercise(B3,B4,B5,B6)</f>
        <v>obj_00000#0000</v>
      </c>
    </row>
    <row r="2" spans="1:6" ht="10.8" thickBot="1" x14ac:dyDescent="0.25">
      <c r="A2" s="5" t="s">
        <v>13</v>
      </c>
      <c r="B2" s="12" t="str">
        <f>_xll.ohRangeRetrieveError(B1)</f>
        <v/>
      </c>
    </row>
    <row r="3" spans="1:6" x14ac:dyDescent="0.2">
      <c r="A3" s="3" t="s">
        <v>3</v>
      </c>
      <c r="B3" s="6"/>
    </row>
    <row r="4" spans="1:6" x14ac:dyDescent="0.2">
      <c r="A4" s="4" t="s">
        <v>82</v>
      </c>
      <c r="B4" s="15" t="s">
        <v>32</v>
      </c>
    </row>
    <row r="5" spans="1:6" x14ac:dyDescent="0.2">
      <c r="A5" s="4" t="s">
        <v>10</v>
      </c>
      <c r="B5" s="8"/>
    </row>
    <row r="6" spans="1:6" ht="10.8" thickBot="1" x14ac:dyDescent="0.25">
      <c r="A6" s="5" t="s">
        <v>11</v>
      </c>
      <c r="B6" s="10"/>
    </row>
    <row r="7" spans="1:6" ht="10.8" thickBot="1" x14ac:dyDescent="0.25"/>
    <row r="8" spans="1:6" x14ac:dyDescent="0.2">
      <c r="A8" s="3" t="s">
        <v>81</v>
      </c>
      <c r="B8" s="11" t="str">
        <f>_xll.qlSwaption(B10,B11,B12,B13,B14,B15)</f>
        <v>obj_00010#0000</v>
      </c>
      <c r="D8" t="s">
        <v>75</v>
      </c>
      <c r="E8" t="b">
        <f>_xll.qlInstrumentSetPricingEngine(B8,PricingEngines!$B$16)</f>
        <v>1</v>
      </c>
    </row>
    <row r="9" spans="1:6" ht="10.8" thickBot="1" x14ac:dyDescent="0.25">
      <c r="A9" s="5" t="s">
        <v>13</v>
      </c>
      <c r="B9" s="12" t="str">
        <f>_xll.ohRangeRetrieveError(B8)</f>
        <v/>
      </c>
      <c r="D9" t="s">
        <v>70</v>
      </c>
      <c r="E9" s="27">
        <f>_xll.qlInstrumentNPV(B8,E8)</f>
        <v>7692.187316560342</v>
      </c>
      <c r="F9" t="str">
        <f>_xll.ohRangeRetrieveError(E9)</f>
        <v/>
      </c>
    </row>
    <row r="10" spans="1:6" x14ac:dyDescent="0.2">
      <c r="A10" s="3" t="s">
        <v>3</v>
      </c>
      <c r="B10" s="6"/>
      <c r="D10" t="s">
        <v>68</v>
      </c>
      <c r="E10" s="14">
        <f>_xll.qlSwaptionImpliedVolatility(B8,E9,TermStructures!$B$1,0.000001,100)</f>
        <v>2.0000000500000001</v>
      </c>
    </row>
    <row r="11" spans="1:6" x14ac:dyDescent="0.2">
      <c r="A11" s="4" t="s">
        <v>31</v>
      </c>
      <c r="B11" s="8" t="str">
        <f>Swaps!E1</f>
        <v>obj_0000e#0000</v>
      </c>
    </row>
    <row r="12" spans="1:6" x14ac:dyDescent="0.2">
      <c r="A12" s="4" t="s">
        <v>79</v>
      </c>
      <c r="B12" s="8" t="str">
        <f>B1</f>
        <v>obj_00000#0000</v>
      </c>
    </row>
    <row r="13" spans="1:6" x14ac:dyDescent="0.2">
      <c r="A13" s="4" t="s">
        <v>80</v>
      </c>
      <c r="B13" s="8" t="s">
        <v>78</v>
      </c>
    </row>
    <row r="14" spans="1:6" x14ac:dyDescent="0.2">
      <c r="A14" s="4" t="s">
        <v>10</v>
      </c>
      <c r="B14" s="8"/>
    </row>
    <row r="15" spans="1:6" ht="10.8" thickBot="1" x14ac:dyDescent="0.25">
      <c r="A15" s="5" t="s">
        <v>11</v>
      </c>
      <c r="B15" s="10"/>
    </row>
  </sheetData>
  <phoneticPr fontId="0" type="noConversion"/>
  <dataValidations disablePrompts="1" count="1">
    <dataValidation type="list" allowBlank="1" showInputMessage="1" showErrorMessage="1" sqref="B13" xr:uid="{00000000-0002-0000-0500-000000000000}">
      <formula1>"Physical,Cash"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7"/>
  <sheetViews>
    <sheetView workbookViewId="0">
      <selection activeCell="B14" sqref="B14"/>
    </sheetView>
  </sheetViews>
  <sheetFormatPr defaultRowHeight="10.199999999999999" x14ac:dyDescent="0.2"/>
  <cols>
    <col min="1" max="1" width="23.140625" bestFit="1" customWidth="1"/>
    <col min="2" max="2" width="29.28515625" bestFit="1" customWidth="1"/>
    <col min="4" max="4" width="11.28515625" bestFit="1" customWidth="1"/>
    <col min="5" max="6" width="14.7109375" bestFit="1" customWidth="1"/>
    <col min="7" max="7" width="5.7109375" customWidth="1"/>
    <col min="8" max="8" width="14.7109375" bestFit="1" customWidth="1"/>
    <col min="9" max="9" width="11.140625" bestFit="1" customWidth="1"/>
  </cols>
  <sheetData>
    <row r="1" spans="1:9" x14ac:dyDescent="0.2">
      <c r="A1" s="3" t="s">
        <v>87</v>
      </c>
      <c r="B1" s="11" t="str">
        <f>_xll.qlEuriborSwapIsdaFixA(B3,B4,B5,B6,B7,B8)</f>
        <v>obj_00008#0000</v>
      </c>
      <c r="D1" s="3" t="s">
        <v>67</v>
      </c>
      <c r="E1" s="11" t="str">
        <f>_xll.qlSwap(E3,E4:F4,E5:F5,E6,E7)</f>
        <v>obj_00013#0000</v>
      </c>
      <c r="H1" t="s">
        <v>75</v>
      </c>
      <c r="I1" t="b">
        <f>_xll.qlInstrumentSetPricingEngine(E1,PricingEngines!$B$1,B37)</f>
        <v>1</v>
      </c>
    </row>
    <row r="2" spans="1:9" ht="10.8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-12956.187453549297</v>
      </c>
    </row>
    <row r="3" spans="1:9" ht="10.8" thickBot="1" x14ac:dyDescent="0.25">
      <c r="A3" s="3" t="s">
        <v>3</v>
      </c>
      <c r="B3" s="6"/>
      <c r="D3" s="23" t="s">
        <v>3</v>
      </c>
      <c r="E3" s="20"/>
      <c r="I3" s="28"/>
    </row>
    <row r="4" spans="1:9" x14ac:dyDescent="0.2">
      <c r="A4" s="4" t="s">
        <v>37</v>
      </c>
      <c r="B4" s="8" t="s">
        <v>86</v>
      </c>
      <c r="D4" s="24" t="s">
        <v>66</v>
      </c>
      <c r="E4" s="17" t="str">
        <f>B20</f>
        <v>obj_0000f#0000</v>
      </c>
      <c r="F4" s="18" t="str">
        <f>Swaps!B9</f>
        <v>obj_0000c#0000</v>
      </c>
    </row>
    <row r="5" spans="1:9" ht="10.8" thickBot="1" x14ac:dyDescent="0.25">
      <c r="A5" s="4" t="s">
        <v>98</v>
      </c>
      <c r="B5" s="8" t="str">
        <f>TermStructures!B1</f>
        <v>obj_00002#0000</v>
      </c>
      <c r="D5" s="24" t="s">
        <v>18</v>
      </c>
      <c r="E5" s="17" t="b">
        <v>1</v>
      </c>
      <c r="F5" s="19" t="b">
        <v>0</v>
      </c>
    </row>
    <row r="6" spans="1:9" x14ac:dyDescent="0.2">
      <c r="A6" s="4" t="s">
        <v>97</v>
      </c>
      <c r="B6" s="8" t="str">
        <f>TermStructures!B1</f>
        <v>obj_00002#0000</v>
      </c>
      <c r="D6" s="24" t="s">
        <v>10</v>
      </c>
      <c r="E6" s="21"/>
    </row>
    <row r="7" spans="1:9" ht="10.8" thickBot="1" x14ac:dyDescent="0.25">
      <c r="A7" s="4" t="s">
        <v>10</v>
      </c>
      <c r="B7" s="8"/>
      <c r="D7" s="25" t="s">
        <v>11</v>
      </c>
      <c r="E7" s="22"/>
    </row>
    <row r="8" spans="1:9" ht="10.8" thickBot="1" x14ac:dyDescent="0.25">
      <c r="A8" s="5" t="s">
        <v>11</v>
      </c>
      <c r="B8" s="10"/>
    </row>
    <row r="9" spans="1:9" ht="10.8" thickBot="1" x14ac:dyDescent="0.25"/>
    <row r="10" spans="1:9" x14ac:dyDescent="0.2">
      <c r="A10" s="3" t="s">
        <v>93</v>
      </c>
      <c r="B10" s="11" t="str">
        <f>_xll.qlCmsCouponPricer(B12,B13,B14,B15,B16,B17,B18)</f>
        <v>obj_00007#0000</v>
      </c>
    </row>
    <row r="11" spans="1:9" ht="10.8" thickBot="1" x14ac:dyDescent="0.25">
      <c r="A11" s="5" t="s">
        <v>13</v>
      </c>
      <c r="B11" s="12" t="str">
        <f>_xll.ohRangeRetrieveError(B10)</f>
        <v/>
      </c>
    </row>
    <row r="12" spans="1:9" x14ac:dyDescent="0.2">
      <c r="A12" s="3" t="s">
        <v>3</v>
      </c>
      <c r="B12" s="6"/>
    </row>
    <row r="13" spans="1:9" x14ac:dyDescent="0.2">
      <c r="A13" s="4" t="s">
        <v>15</v>
      </c>
      <c r="B13" s="8" t="str">
        <f>TermStructures!E1</f>
        <v>obj_00001#0000</v>
      </c>
    </row>
    <row r="14" spans="1:9" x14ac:dyDescent="0.2">
      <c r="A14" s="4" t="s">
        <v>90</v>
      </c>
      <c r="B14" s="8" t="s">
        <v>88</v>
      </c>
    </row>
    <row r="15" spans="1:9" x14ac:dyDescent="0.2">
      <c r="A15" s="4" t="s">
        <v>91</v>
      </c>
      <c r="B15" s="8" t="s">
        <v>89</v>
      </c>
    </row>
    <row r="16" spans="1:9" x14ac:dyDescent="0.2">
      <c r="A16" s="4" t="s">
        <v>92</v>
      </c>
      <c r="B16" s="8">
        <v>0.1</v>
      </c>
    </row>
    <row r="17" spans="1:2" x14ac:dyDescent="0.2">
      <c r="A17" s="4" t="s">
        <v>10</v>
      </c>
      <c r="B17" s="8"/>
    </row>
    <row r="18" spans="1:2" ht="10.8" thickBot="1" x14ac:dyDescent="0.25">
      <c r="A18" s="5" t="s">
        <v>11</v>
      </c>
      <c r="B18" s="10"/>
    </row>
    <row r="19" spans="1:2" ht="10.8" thickBot="1" x14ac:dyDescent="0.25"/>
    <row r="20" spans="1:2" x14ac:dyDescent="0.2">
      <c r="A20" s="3" t="s">
        <v>85</v>
      </c>
      <c r="B20" s="11" t="str">
        <f>_xll.qlCmsLeg(B22,B23,B24,B25,B26,B27,B28,B29,B30,B31,B32,B33,B34,B35)</f>
        <v>obj_0000f#0000</v>
      </c>
    </row>
    <row r="21" spans="1:2" ht="10.8" thickBot="1" x14ac:dyDescent="0.25">
      <c r="A21" s="5" t="s">
        <v>13</v>
      </c>
      <c r="B21" s="12" t="str">
        <f>_xll.ohRangeRetrieveError(B20)</f>
        <v/>
      </c>
    </row>
    <row r="22" spans="1:2" x14ac:dyDescent="0.2">
      <c r="A22" s="3" t="s">
        <v>3</v>
      </c>
      <c r="B22" s="6"/>
    </row>
    <row r="23" spans="1:2" x14ac:dyDescent="0.2">
      <c r="A23" s="4" t="s">
        <v>54</v>
      </c>
      <c r="B23" s="8" t="s">
        <v>33</v>
      </c>
    </row>
    <row r="24" spans="1:2" x14ac:dyDescent="0.2">
      <c r="A24" s="4" t="s">
        <v>55</v>
      </c>
      <c r="B24" s="8">
        <f>Nominal</f>
        <v>1000000</v>
      </c>
    </row>
    <row r="25" spans="1:2" x14ac:dyDescent="0.2">
      <c r="A25" s="4" t="s">
        <v>19</v>
      </c>
      <c r="B25" s="8" t="str">
        <f>DateCalc!B5</f>
        <v>obj_0000a#0000</v>
      </c>
    </row>
    <row r="26" spans="1:2" x14ac:dyDescent="0.2">
      <c r="A26" s="4" t="s">
        <v>56</v>
      </c>
      <c r="B26" s="8"/>
    </row>
    <row r="27" spans="1:2" x14ac:dyDescent="0.2">
      <c r="A27" s="4" t="s">
        <v>57</v>
      </c>
      <c r="B27" s="8"/>
    </row>
    <row r="28" spans="1:2" x14ac:dyDescent="0.2">
      <c r="A28" s="4" t="s">
        <v>7</v>
      </c>
      <c r="B28" s="8" t="s">
        <v>21</v>
      </c>
    </row>
    <row r="29" spans="1:2" x14ac:dyDescent="0.2">
      <c r="A29" s="4" t="s">
        <v>58</v>
      </c>
      <c r="B29" s="9"/>
    </row>
    <row r="30" spans="1:2" x14ac:dyDescent="0.2">
      <c r="A30" s="4" t="s">
        <v>59</v>
      </c>
      <c r="B30" s="8"/>
    </row>
    <row r="31" spans="1:2" x14ac:dyDescent="0.2">
      <c r="A31" s="4" t="s">
        <v>84</v>
      </c>
      <c r="B31" s="8" t="str">
        <f>B1</f>
        <v>obj_00008#0000</v>
      </c>
    </row>
    <row r="32" spans="1:2" x14ac:dyDescent="0.2">
      <c r="A32" s="4" t="s">
        <v>60</v>
      </c>
      <c r="B32" s="9"/>
    </row>
    <row r="33" spans="1:2" x14ac:dyDescent="0.2">
      <c r="A33" s="4" t="s">
        <v>61</v>
      </c>
      <c r="B33" s="9"/>
    </row>
    <row r="34" spans="1:2" x14ac:dyDescent="0.2">
      <c r="A34" s="4" t="s">
        <v>10</v>
      </c>
      <c r="B34" s="8"/>
    </row>
    <row r="35" spans="1:2" ht="10.8" thickBot="1" x14ac:dyDescent="0.25">
      <c r="A35" s="5" t="s">
        <v>11</v>
      </c>
      <c r="B35" s="10"/>
    </row>
    <row r="37" spans="1:2" x14ac:dyDescent="0.2">
      <c r="A37" t="s">
        <v>94</v>
      </c>
      <c r="B37" t="b">
        <f>_xll.qlLegSetCouponPricers(B20,B10)</f>
        <v>1</v>
      </c>
    </row>
  </sheetData>
  <phoneticPr fontId="0" type="noConversion"/>
  <dataValidations count="4">
    <dataValidation type="list" allowBlank="1" showInputMessage="1" showErrorMessage="1" sqref="B23" xr:uid="{00000000-0002-0000-0600-000000000000}">
      <formula1>"Following,Modified Following,Preceding,Modified Preceding,Unadjusted"</formula1>
    </dataValidation>
    <dataValidation type="list" allowBlank="1" showInputMessage="1" showErrorMessage="1" sqref="B28" xr:uid="{00000000-0002-0000-0600-000001000000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5" xr:uid="{00000000-0002-0000-0600-000002000000}">
      <formula1>"Standard, ExactYield, ParallelShifts, NonParallelShifts"</formula1>
    </dataValidation>
    <dataValidation type="list" allowBlank="1" showInputMessage="1" showErrorMessage="1" sqref="B14" xr:uid="{00000000-0002-0000-0600-000003000000}">
      <formula1>"ConundrumByBlack,ConundrumByNumericalIntegration"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5"/>
  <sheetViews>
    <sheetView workbookViewId="0"/>
  </sheetViews>
  <sheetFormatPr defaultRowHeight="10.199999999999999" x14ac:dyDescent="0.2"/>
  <cols>
    <col min="1" max="1" width="16.42578125" bestFit="1" customWidth="1"/>
    <col min="2" max="2" width="10.140625" bestFit="1" customWidth="1"/>
    <col min="3" max="3" width="12.7109375" bestFit="1" customWidth="1"/>
    <col min="4" max="5" width="16.42578125" bestFit="1" customWidth="1"/>
    <col min="6" max="6" width="7.42578125" bestFit="1" customWidth="1"/>
    <col min="7" max="7" width="5.42578125" bestFit="1" customWidth="1"/>
    <col min="8" max="9" width="5.85546875" bestFit="1" customWidth="1"/>
    <col min="10" max="10" width="18" bestFit="1" customWidth="1"/>
    <col min="11" max="11" width="7.42578125" bestFit="1" customWidth="1"/>
    <col min="12" max="12" width="8.28515625" bestFit="1" customWidth="1"/>
    <col min="13" max="13" width="5.140625" bestFit="1" customWidth="1"/>
    <col min="14" max="14" width="7.42578125" bestFit="1" customWidth="1"/>
    <col min="15" max="16" width="5.85546875" bestFit="1" customWidth="1"/>
    <col min="17" max="17" width="7" bestFit="1" customWidth="1"/>
    <col min="18" max="18" width="5.140625" bestFit="1" customWidth="1"/>
    <col min="19" max="19" width="9.140625" bestFit="1" customWidth="1"/>
    <col min="20" max="20" width="8.85546875" bestFit="1" customWidth="1"/>
    <col min="21" max="21" width="5.140625" bestFit="1" customWidth="1"/>
  </cols>
  <sheetData>
    <row r="1" spans="1:40" ht="30.6" x14ac:dyDescent="0.2">
      <c r="A1" s="33" t="str">
        <f t="array" ref="A1:U24">_xll.qlSwapLegAnalysis(Swaps!E1,0)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ht="20.399999999999999" x14ac:dyDescent="0.2">
      <c r="A2" s="34">
        <v>44224</v>
      </c>
      <c r="B2" s="35">
        <v>50000.000000000044</v>
      </c>
      <c r="C2" s="35">
        <v>1000000</v>
      </c>
      <c r="D2" s="41">
        <v>43858</v>
      </c>
      <c r="E2" s="41">
        <v>44224</v>
      </c>
      <c r="F2" s="36">
        <v>360</v>
      </c>
      <c r="G2" s="37" t="str">
        <v>#N/A</v>
      </c>
      <c r="H2" s="36" t="str">
        <v>#N/A</v>
      </c>
      <c r="I2" s="41" t="str">
        <v>#N/A</v>
      </c>
      <c r="J2" s="36" t="str">
        <v>30/360 (Bond Basis)</v>
      </c>
      <c r="K2" s="38">
        <v>1</v>
      </c>
      <c r="L2" s="39">
        <v>0.05</v>
      </c>
      <c r="M2" s="39" t="str">
        <v>#N/A</v>
      </c>
      <c r="N2" s="40" t="str">
        <v>#N/A</v>
      </c>
      <c r="O2" s="39" t="str">
        <v>#N/A</v>
      </c>
      <c r="P2" s="39" t="str">
        <v>#N/A</v>
      </c>
      <c r="Q2" s="39" t="str">
        <v>#N/A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20.399999999999999" x14ac:dyDescent="0.2">
      <c r="A3" s="34">
        <v>44589</v>
      </c>
      <c r="B3" s="35">
        <v>50000.000000000044</v>
      </c>
      <c r="C3" s="35">
        <v>1000000</v>
      </c>
      <c r="D3" s="41">
        <v>44224</v>
      </c>
      <c r="E3" s="41">
        <v>44589</v>
      </c>
      <c r="F3" s="36">
        <v>360</v>
      </c>
      <c r="G3" s="37" t="str">
        <v>#N/A</v>
      </c>
      <c r="H3" s="36" t="str">
        <v>#N/A</v>
      </c>
      <c r="I3" s="41" t="str">
        <v>#N/A</v>
      </c>
      <c r="J3" s="36" t="str">
        <v>30/360 (Bond Basis)</v>
      </c>
      <c r="K3" s="38">
        <v>1</v>
      </c>
      <c r="L3" s="39">
        <v>0.05</v>
      </c>
      <c r="M3" s="39" t="str">
        <v>#N/A</v>
      </c>
      <c r="N3" s="40" t="str">
        <v>#N/A</v>
      </c>
      <c r="O3" s="39" t="str">
        <v>#N/A</v>
      </c>
      <c r="P3" s="39" t="str">
        <v>#N/A</v>
      </c>
      <c r="Q3" s="39" t="str">
        <v>#N/A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20.399999999999999" x14ac:dyDescent="0.2">
      <c r="A4" s="34">
        <v>44956</v>
      </c>
      <c r="B4" s="35">
        <v>50277.777777777868</v>
      </c>
      <c r="C4" s="35">
        <v>1000000</v>
      </c>
      <c r="D4" s="41">
        <v>44589</v>
      </c>
      <c r="E4" s="41">
        <v>44956</v>
      </c>
      <c r="F4" s="36">
        <v>362</v>
      </c>
      <c r="G4" s="37" t="str">
        <v>#N/A</v>
      </c>
      <c r="H4" s="36" t="str">
        <v>#N/A</v>
      </c>
      <c r="I4" s="41" t="str">
        <v>#N/A</v>
      </c>
      <c r="J4" s="36" t="str">
        <v>30/360 (Bond Basis)</v>
      </c>
      <c r="K4" s="38">
        <v>1.0055555555555555</v>
      </c>
      <c r="L4" s="39">
        <v>0.05</v>
      </c>
      <c r="M4" s="39" t="str">
        <v>#N/A</v>
      </c>
      <c r="N4" s="40" t="str">
        <v>#N/A</v>
      </c>
      <c r="O4" s="39" t="str">
        <v>#N/A</v>
      </c>
      <c r="P4" s="39" t="str">
        <v>#N/A</v>
      </c>
      <c r="Q4" s="39" t="str">
        <v>#N/A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ht="20.399999999999999" x14ac:dyDescent="0.2">
      <c r="A5" s="34">
        <v>45320</v>
      </c>
      <c r="B5" s="35">
        <v>49861.111111111131</v>
      </c>
      <c r="C5" s="35">
        <v>1000000</v>
      </c>
      <c r="D5" s="41">
        <v>44956</v>
      </c>
      <c r="E5" s="41">
        <v>45320</v>
      </c>
      <c r="F5" s="36">
        <v>359</v>
      </c>
      <c r="G5" s="37" t="str">
        <v>#N/A</v>
      </c>
      <c r="H5" s="36" t="str">
        <v>#N/A</v>
      </c>
      <c r="I5" s="41" t="str">
        <v>#N/A</v>
      </c>
      <c r="J5" s="36" t="str">
        <v>30/360 (Bond Basis)</v>
      </c>
      <c r="K5" s="38">
        <v>0.99722222222222223</v>
      </c>
      <c r="L5" s="39">
        <v>0.05</v>
      </c>
      <c r="M5" s="39" t="str">
        <v>#N/A</v>
      </c>
      <c r="N5" s="40" t="str">
        <v>#N/A</v>
      </c>
      <c r="O5" s="39" t="str">
        <v>#N/A</v>
      </c>
      <c r="P5" s="39" t="str">
        <v>#N/A</v>
      </c>
      <c r="Q5" s="39" t="str">
        <v>#N/A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ht="20.399999999999999" x14ac:dyDescent="0.2">
      <c r="A6" s="34">
        <v>45685</v>
      </c>
      <c r="B6" s="35">
        <v>49861.111111111131</v>
      </c>
      <c r="C6" s="35">
        <v>1000000</v>
      </c>
      <c r="D6" s="41">
        <v>45320</v>
      </c>
      <c r="E6" s="41">
        <v>45685</v>
      </c>
      <c r="F6" s="36">
        <v>359</v>
      </c>
      <c r="G6" s="37" t="str">
        <v>#N/A</v>
      </c>
      <c r="H6" s="36" t="str">
        <v>#N/A</v>
      </c>
      <c r="I6" s="41" t="str">
        <v>#N/A</v>
      </c>
      <c r="J6" s="36" t="str">
        <v>30/360 (Bond Basis)</v>
      </c>
      <c r="K6" s="38">
        <v>0.99722222222222223</v>
      </c>
      <c r="L6" s="39">
        <v>0.05</v>
      </c>
      <c r="M6" s="39" t="str">
        <v>#N/A</v>
      </c>
      <c r="N6" s="40" t="str">
        <v>#N/A</v>
      </c>
      <c r="O6" s="39" t="str">
        <v>#N/A</v>
      </c>
      <c r="P6" s="39" t="str">
        <v>#N/A</v>
      </c>
      <c r="Q6" s="39" t="str">
        <v>#N/A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ht="20.399999999999999" x14ac:dyDescent="0.2">
      <c r="A7" s="34">
        <v>46050</v>
      </c>
      <c r="B7" s="35">
        <v>50000.000000000044</v>
      </c>
      <c r="C7" s="35">
        <v>1000000</v>
      </c>
      <c r="D7" s="41">
        <v>45685</v>
      </c>
      <c r="E7" s="41">
        <v>46050</v>
      </c>
      <c r="F7" s="36">
        <v>360</v>
      </c>
      <c r="G7" s="37" t="str">
        <v>#N/A</v>
      </c>
      <c r="H7" s="36" t="str">
        <v>#N/A</v>
      </c>
      <c r="I7" s="41" t="str">
        <v>#N/A</v>
      </c>
      <c r="J7" s="36" t="str">
        <v>30/360 (Bond Basis)</v>
      </c>
      <c r="K7" s="38">
        <v>1</v>
      </c>
      <c r="L7" s="39">
        <v>0.05</v>
      </c>
      <c r="M7" s="39" t="str">
        <v>#N/A</v>
      </c>
      <c r="N7" s="40" t="str">
        <v>#N/A</v>
      </c>
      <c r="O7" s="39" t="str">
        <v>#N/A</v>
      </c>
      <c r="P7" s="39" t="str">
        <v>#N/A</v>
      </c>
      <c r="Q7" s="39" t="str">
        <v>#N/A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ht="20.399999999999999" x14ac:dyDescent="0.2">
      <c r="A8" s="34">
        <v>46415</v>
      </c>
      <c r="B8" s="35">
        <v>50000.000000000044</v>
      </c>
      <c r="C8" s="35">
        <v>1000000</v>
      </c>
      <c r="D8" s="41">
        <v>46050</v>
      </c>
      <c r="E8" s="41">
        <v>46415</v>
      </c>
      <c r="F8" s="36">
        <v>360</v>
      </c>
      <c r="G8" s="37" t="str">
        <v>#N/A</v>
      </c>
      <c r="H8" s="36" t="str">
        <v>#N/A</v>
      </c>
      <c r="I8" s="41" t="str">
        <v>#N/A</v>
      </c>
      <c r="J8" s="36" t="str">
        <v>30/360 (Bond Basis)</v>
      </c>
      <c r="K8" s="38">
        <v>1</v>
      </c>
      <c r="L8" s="39">
        <v>0.05</v>
      </c>
      <c r="M8" s="39" t="str">
        <v>#N/A</v>
      </c>
      <c r="N8" s="40" t="str">
        <v>#N/A</v>
      </c>
      <c r="O8" s="39" t="str">
        <v>#N/A</v>
      </c>
      <c r="P8" s="39" t="str">
        <v>#N/A</v>
      </c>
      <c r="Q8" s="39" t="str">
        <v>#N/A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ht="20.399999999999999" x14ac:dyDescent="0.2">
      <c r="A9" s="34">
        <v>46780</v>
      </c>
      <c r="B9" s="35">
        <v>50000.000000000044</v>
      </c>
      <c r="C9" s="35">
        <v>1000000</v>
      </c>
      <c r="D9" s="41">
        <v>46415</v>
      </c>
      <c r="E9" s="41">
        <v>46780</v>
      </c>
      <c r="F9" s="36">
        <v>360</v>
      </c>
      <c r="G9" s="37" t="str">
        <v>#N/A</v>
      </c>
      <c r="H9" s="36" t="str">
        <v>#N/A</v>
      </c>
      <c r="I9" s="41" t="str">
        <v>#N/A</v>
      </c>
      <c r="J9" s="36" t="str">
        <v>30/360 (Bond Basis)</v>
      </c>
      <c r="K9" s="38">
        <v>1</v>
      </c>
      <c r="L9" s="39">
        <v>0.05</v>
      </c>
      <c r="M9" s="39" t="str">
        <v>#N/A</v>
      </c>
      <c r="N9" s="40" t="str">
        <v>#N/A</v>
      </c>
      <c r="O9" s="39" t="str">
        <v>#N/A</v>
      </c>
      <c r="P9" s="39" t="str">
        <v>#N/A</v>
      </c>
      <c r="Q9" s="39" t="str">
        <v>#N/A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ht="20.399999999999999" x14ac:dyDescent="0.2">
      <c r="A10" s="34">
        <v>47147</v>
      </c>
      <c r="B10" s="35">
        <v>50138.888888888956</v>
      </c>
      <c r="C10" s="35">
        <v>1000000</v>
      </c>
      <c r="D10" s="41">
        <v>46780</v>
      </c>
      <c r="E10" s="41">
        <v>47147</v>
      </c>
      <c r="F10" s="36">
        <v>361</v>
      </c>
      <c r="G10" s="37" t="str">
        <v>#N/A</v>
      </c>
      <c r="H10" s="36" t="str">
        <v>#N/A</v>
      </c>
      <c r="I10" s="41" t="str">
        <v>#N/A</v>
      </c>
      <c r="J10" s="36" t="str">
        <v>30/360 (Bond Basis)</v>
      </c>
      <c r="K10" s="38">
        <v>1.0027777777777778</v>
      </c>
      <c r="L10" s="39">
        <v>0.05</v>
      </c>
      <c r="M10" s="39" t="str">
        <v>#N/A</v>
      </c>
      <c r="N10" s="40" t="str">
        <v>#N/A</v>
      </c>
      <c r="O10" s="39" t="str">
        <v>#N/A</v>
      </c>
      <c r="P10" s="39" t="str">
        <v>#N/A</v>
      </c>
      <c r="Q10" s="39" t="str">
        <v>#N/A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ht="20.399999999999999" x14ac:dyDescent="0.2">
      <c r="A11" s="34">
        <v>47511</v>
      </c>
      <c r="B11" s="35">
        <v>49861.111111111131</v>
      </c>
      <c r="C11" s="35">
        <v>1000000</v>
      </c>
      <c r="D11" s="41">
        <v>47147</v>
      </c>
      <c r="E11" s="41">
        <v>47511</v>
      </c>
      <c r="F11" s="36">
        <v>359</v>
      </c>
      <c r="G11" s="37" t="str">
        <v>#N/A</v>
      </c>
      <c r="H11" s="36" t="str">
        <v>#N/A</v>
      </c>
      <c r="I11" s="41" t="str">
        <v>#N/A</v>
      </c>
      <c r="J11" s="36" t="str">
        <v>30/360 (Bond Basis)</v>
      </c>
      <c r="K11" s="38">
        <v>0.99722222222222223</v>
      </c>
      <c r="L11" s="39">
        <v>0.05</v>
      </c>
      <c r="M11" s="39" t="str">
        <v>#N/A</v>
      </c>
      <c r="N11" s="40" t="str">
        <v>#N/A</v>
      </c>
      <c r="O11" s="39" t="str">
        <v>#N/A</v>
      </c>
      <c r="P11" s="39" t="str">
        <v>#N/A</v>
      </c>
      <c r="Q11" s="39" t="str">
        <v>#N/A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24"/>
  <sheetViews>
    <sheetView workbookViewId="0"/>
  </sheetViews>
  <sheetFormatPr defaultRowHeight="10.199999999999999" x14ac:dyDescent="0.2"/>
  <cols>
    <col min="1" max="1" width="16.42578125" bestFit="1" customWidth="1"/>
    <col min="2" max="2" width="10.140625" bestFit="1" customWidth="1"/>
    <col min="3" max="3" width="12.7109375" bestFit="1" customWidth="1"/>
    <col min="4" max="5" width="16.42578125" bestFit="1" customWidth="1"/>
    <col min="6" max="6" width="7.42578125" bestFit="1" customWidth="1"/>
    <col min="7" max="7" width="40.140625" bestFit="1" customWidth="1"/>
    <col min="8" max="8" width="5.85546875" bestFit="1" customWidth="1"/>
    <col min="9" max="9" width="16.7109375" bestFit="1" customWidth="1"/>
    <col min="10" max="10" width="9.85546875" bestFit="1" customWidth="1"/>
    <col min="11" max="11" width="7.42578125" bestFit="1" customWidth="1"/>
    <col min="12" max="12" width="8.28515625" bestFit="1" customWidth="1"/>
    <col min="13" max="13" width="5.140625" bestFit="1" customWidth="1"/>
    <col min="14" max="14" width="7.42578125" bestFit="1" customWidth="1"/>
    <col min="15" max="17" width="8.28515625" bestFit="1" customWidth="1"/>
    <col min="18" max="18" width="5.140625" bestFit="1" customWidth="1"/>
    <col min="19" max="19" width="9.140625" bestFit="1" customWidth="1"/>
    <col min="20" max="20" width="8.85546875" bestFit="1" customWidth="1"/>
    <col min="21" max="21" width="5.140625" bestFit="1" customWidth="1"/>
  </cols>
  <sheetData>
    <row r="1" spans="1:21" ht="30.6" x14ac:dyDescent="0.2">
      <c r="A1" s="33" t="str">
        <f t="array" ref="A1:U24">_xll.qlSwapLegAnalysis(CMS!E1,0)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21" ht="20.399999999999999" x14ac:dyDescent="0.2">
      <c r="A2" s="34">
        <v>44224</v>
      </c>
      <c r="B2" s="35">
        <v>45964.859681008398</v>
      </c>
      <c r="C2" s="35">
        <v>1000000</v>
      </c>
      <c r="D2" s="41">
        <v>43858</v>
      </c>
      <c r="E2" s="41">
        <v>44224</v>
      </c>
      <c r="F2" s="36">
        <v>366</v>
      </c>
      <c r="G2" s="37" t="str">
        <v>EuriborSwapIsdaFixA10Y 30/360 (Bond Basis)</v>
      </c>
      <c r="H2" s="36">
        <v>2</v>
      </c>
      <c r="I2" s="41">
        <v>43854</v>
      </c>
      <c r="J2" s="36" t="str">
        <v>Actual/360</v>
      </c>
      <c r="K2" s="38">
        <v>1.0166666666666666</v>
      </c>
      <c r="L2" s="39">
        <v>4.5211337391155806E-2</v>
      </c>
      <c r="M2" s="39" t="str">
        <v>#N/A</v>
      </c>
      <c r="N2" s="40">
        <v>1</v>
      </c>
      <c r="O2" s="39">
        <v>4.5021100886513767E-2</v>
      </c>
      <c r="P2" s="39">
        <v>1.9023650464203984E-4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</row>
    <row r="3" spans="1:21" ht="20.399999999999999" x14ac:dyDescent="0.2">
      <c r="A3" s="34">
        <v>44589</v>
      </c>
      <c r="B3" s="35">
        <v>46023.556490581825</v>
      </c>
      <c r="C3" s="35">
        <v>1000000</v>
      </c>
      <c r="D3" s="41">
        <v>44224</v>
      </c>
      <c r="E3" s="41">
        <v>44589</v>
      </c>
      <c r="F3" s="36">
        <v>365</v>
      </c>
      <c r="G3" s="37" t="str">
        <v>EuriborSwapIsdaFixA10Y 30/360 (Bond Basis)</v>
      </c>
      <c r="H3" s="36">
        <v>2</v>
      </c>
      <c r="I3" s="41">
        <v>44222</v>
      </c>
      <c r="J3" s="36" t="str">
        <v>Actual/360</v>
      </c>
      <c r="K3" s="38">
        <v>1.0138888888888888</v>
      </c>
      <c r="L3" s="39">
        <v>4.5393096812628653E-2</v>
      </c>
      <c r="M3" s="39" t="str">
        <v>#N/A</v>
      </c>
      <c r="N3" s="40">
        <v>1</v>
      </c>
      <c r="O3" s="39">
        <v>4.5006923395240671E-2</v>
      </c>
      <c r="P3" s="39">
        <v>3.8617341738798189E-4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</row>
    <row r="4" spans="1:21" ht="20.399999999999999" x14ac:dyDescent="0.2">
      <c r="A4" s="34">
        <v>44956</v>
      </c>
      <c r="B4" s="35">
        <v>46478.496264358801</v>
      </c>
      <c r="C4" s="35">
        <v>1000000</v>
      </c>
      <c r="D4" s="41">
        <v>44589</v>
      </c>
      <c r="E4" s="41">
        <v>44956</v>
      </c>
      <c r="F4" s="36">
        <v>367</v>
      </c>
      <c r="G4" s="37" t="str">
        <v>EuriborSwapIsdaFixA10Y 30/360 (Bond Basis)</v>
      </c>
      <c r="H4" s="36">
        <v>2</v>
      </c>
      <c r="I4" s="41">
        <v>44587</v>
      </c>
      <c r="J4" s="36" t="str">
        <v>Actual/360</v>
      </c>
      <c r="K4" s="38">
        <v>1.0194444444444444</v>
      </c>
      <c r="L4" s="39">
        <v>4.5591985436428256E-2</v>
      </c>
      <c r="M4" s="39" t="str">
        <v>#N/A</v>
      </c>
      <c r="N4" s="40">
        <v>1</v>
      </c>
      <c r="O4" s="39">
        <v>4.5008029175311381E-2</v>
      </c>
      <c r="P4" s="39">
        <v>5.8395626111687471E-4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</row>
    <row r="5" spans="1:21" ht="20.399999999999999" x14ac:dyDescent="0.2">
      <c r="A5" s="34">
        <v>45320</v>
      </c>
      <c r="B5" s="35">
        <v>46316.034762055271</v>
      </c>
      <c r="C5" s="35">
        <v>1000000</v>
      </c>
      <c r="D5" s="41">
        <v>44956</v>
      </c>
      <c r="E5" s="41">
        <v>45320</v>
      </c>
      <c r="F5" s="36">
        <v>364</v>
      </c>
      <c r="G5" s="37" t="str">
        <v>EuriborSwapIsdaFixA10Y 30/360 (Bond Basis)</v>
      </c>
      <c r="H5" s="36">
        <v>2</v>
      </c>
      <c r="I5" s="41">
        <v>44952</v>
      </c>
      <c r="J5" s="36" t="str">
        <v>Actual/360</v>
      </c>
      <c r="K5" s="38">
        <v>1.0111111111111111</v>
      </c>
      <c r="L5" s="39">
        <v>4.5807067347087636E-2</v>
      </c>
      <c r="M5" s="39" t="str">
        <v>#N/A</v>
      </c>
      <c r="N5" s="40">
        <v>1</v>
      </c>
      <c r="O5" s="39">
        <v>4.5017527985410921E-2</v>
      </c>
      <c r="P5" s="39">
        <v>7.8953936167671518E-4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</row>
    <row r="6" spans="1:21" ht="20.399999999999999" x14ac:dyDescent="0.2">
      <c r="A6" s="34">
        <v>45685</v>
      </c>
      <c r="B6" s="35">
        <v>46634.111577323143</v>
      </c>
      <c r="C6" s="35">
        <v>1000000</v>
      </c>
      <c r="D6" s="41">
        <v>45320</v>
      </c>
      <c r="E6" s="41">
        <v>45685</v>
      </c>
      <c r="F6" s="36">
        <v>365</v>
      </c>
      <c r="G6" s="37" t="str">
        <v>EuriborSwapIsdaFixA10Y 30/360 (Bond Basis)</v>
      </c>
      <c r="H6" s="36">
        <v>2</v>
      </c>
      <c r="I6" s="41">
        <v>45316</v>
      </c>
      <c r="J6" s="36" t="str">
        <v>Actual/360</v>
      </c>
      <c r="K6" s="38">
        <v>1.0138888888888888</v>
      </c>
      <c r="L6" s="39">
        <v>4.5995288131058451E-2</v>
      </c>
      <c r="M6" s="39" t="str">
        <v>#N/A</v>
      </c>
      <c r="N6" s="40">
        <v>1</v>
      </c>
      <c r="O6" s="39">
        <v>4.4998335106035847E-2</v>
      </c>
      <c r="P6" s="39">
        <v>9.9695302502260386E-4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</row>
    <row r="7" spans="1:21" ht="20.399999999999999" x14ac:dyDescent="0.2">
      <c r="A7" s="34">
        <v>46050</v>
      </c>
      <c r="B7" s="35">
        <v>46857.042463408805</v>
      </c>
      <c r="C7" s="35">
        <v>1000000</v>
      </c>
      <c r="D7" s="41">
        <v>45685</v>
      </c>
      <c r="E7" s="41">
        <v>46050</v>
      </c>
      <c r="F7" s="36">
        <v>365</v>
      </c>
      <c r="G7" s="37" t="str">
        <v>EuriborSwapIsdaFixA10Y 30/360 (Bond Basis)</v>
      </c>
      <c r="H7" s="36">
        <v>2</v>
      </c>
      <c r="I7" s="41">
        <v>45681</v>
      </c>
      <c r="J7" s="36" t="str">
        <v>Actual/360</v>
      </c>
      <c r="K7" s="38">
        <v>1.0138888888888888</v>
      </c>
      <c r="L7" s="39">
        <v>4.6215165169389512E-2</v>
      </c>
      <c r="M7" s="39" t="str">
        <v>#N/A</v>
      </c>
      <c r="N7" s="40">
        <v>1</v>
      </c>
      <c r="O7" s="39">
        <v>4.5006994120837612E-2</v>
      </c>
      <c r="P7" s="39">
        <v>1.2081710485518996E-3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</row>
    <row r="8" spans="1:21" ht="20.399999999999999" x14ac:dyDescent="0.2">
      <c r="A8" s="34">
        <v>46415</v>
      </c>
      <c r="B8" s="35">
        <v>47078.920154865678</v>
      </c>
      <c r="C8" s="35">
        <v>1000000</v>
      </c>
      <c r="D8" s="41">
        <v>46050</v>
      </c>
      <c r="E8" s="41">
        <v>46415</v>
      </c>
      <c r="F8" s="36">
        <v>365</v>
      </c>
      <c r="G8" s="37" t="str">
        <v>EuriborSwapIsdaFixA10Y 30/360 (Bond Basis)</v>
      </c>
      <c r="H8" s="36">
        <v>2</v>
      </c>
      <c r="I8" s="41">
        <v>46048</v>
      </c>
      <c r="J8" s="36" t="str">
        <v>Actual/360</v>
      </c>
      <c r="K8" s="38">
        <v>1.0138888888888888</v>
      </c>
      <c r="L8" s="39">
        <v>4.6434003440415469E-2</v>
      </c>
      <c r="M8" s="39" t="str">
        <v>#N/A</v>
      </c>
      <c r="N8" s="40">
        <v>1</v>
      </c>
      <c r="O8" s="39">
        <v>4.5008026308675252E-2</v>
      </c>
      <c r="P8" s="39">
        <v>1.4259771317402178E-3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</row>
    <row r="9" spans="1:21" ht="20.399999999999999" x14ac:dyDescent="0.2">
      <c r="A9" s="34">
        <v>46780</v>
      </c>
      <c r="B9" s="35">
        <v>47316.068054612435</v>
      </c>
      <c r="C9" s="35">
        <v>1000000</v>
      </c>
      <c r="D9" s="41">
        <v>46415</v>
      </c>
      <c r="E9" s="41">
        <v>46780</v>
      </c>
      <c r="F9" s="36">
        <v>365</v>
      </c>
      <c r="G9" s="37" t="str">
        <v>EuriborSwapIsdaFixA10Y 30/360 (Bond Basis)</v>
      </c>
      <c r="H9" s="36">
        <v>2</v>
      </c>
      <c r="I9" s="41">
        <v>46413</v>
      </c>
      <c r="J9" s="36" t="str">
        <v>Actual/360</v>
      </c>
      <c r="K9" s="38">
        <v>1.0138888888888888</v>
      </c>
      <c r="L9" s="39">
        <v>4.6667902738795827E-2</v>
      </c>
      <c r="M9" s="39" t="str">
        <v>#N/A</v>
      </c>
      <c r="N9" s="40">
        <v>1</v>
      </c>
      <c r="O9" s="39">
        <v>4.5019432844782201E-2</v>
      </c>
      <c r="P9" s="39">
        <v>1.6484698940136266E-3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</row>
    <row r="10" spans="1:21" ht="20.399999999999999" x14ac:dyDescent="0.2">
      <c r="A10" s="34">
        <v>47147</v>
      </c>
      <c r="B10" s="35">
        <v>47806.184560883565</v>
      </c>
      <c r="C10" s="35">
        <v>1000000</v>
      </c>
      <c r="D10" s="41">
        <v>46780</v>
      </c>
      <c r="E10" s="41">
        <v>47147</v>
      </c>
      <c r="F10" s="36">
        <v>367</v>
      </c>
      <c r="G10" s="37" t="str">
        <v>EuriborSwapIsdaFixA10Y 30/360 (Bond Basis)</v>
      </c>
      <c r="H10" s="36">
        <v>2</v>
      </c>
      <c r="I10" s="41">
        <v>46778</v>
      </c>
      <c r="J10" s="36" t="str">
        <v>Actual/360</v>
      </c>
      <c r="K10" s="38">
        <v>1.0194444444444444</v>
      </c>
      <c r="L10" s="39">
        <v>4.6894349977978429E-2</v>
      </c>
      <c r="M10" s="39" t="str">
        <v>#N/A</v>
      </c>
      <c r="N10" s="40">
        <v>1</v>
      </c>
      <c r="O10" s="39">
        <v>4.5021102135241485E-2</v>
      </c>
      <c r="P10" s="39">
        <v>1.8732478427369442E-3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</row>
    <row r="11" spans="1:21" ht="20.399999999999999" x14ac:dyDescent="0.2">
      <c r="A11" s="34">
        <v>47511</v>
      </c>
      <c r="B11" s="35">
        <v>47625.767926565561</v>
      </c>
      <c r="C11" s="35">
        <v>1000000</v>
      </c>
      <c r="D11" s="41">
        <v>47147</v>
      </c>
      <c r="E11" s="41">
        <v>47511</v>
      </c>
      <c r="F11" s="36">
        <v>364</v>
      </c>
      <c r="G11" s="37" t="str">
        <v>EuriborSwapIsdaFixA10Y 30/360 (Bond Basis)</v>
      </c>
      <c r="H11" s="36">
        <v>2</v>
      </c>
      <c r="I11" s="41">
        <v>47143</v>
      </c>
      <c r="J11" s="36" t="str">
        <v>Actual/360</v>
      </c>
      <c r="K11" s="38">
        <v>1.0111111111111111</v>
      </c>
      <c r="L11" s="39">
        <v>4.7102407839460445E-2</v>
      </c>
      <c r="M11" s="39" t="str">
        <v>#N/A</v>
      </c>
      <c r="N11" s="40">
        <v>1</v>
      </c>
      <c r="O11" s="39">
        <v>4.4994407888799812E-2</v>
      </c>
      <c r="P11" s="39">
        <v>2.1079999506606328E-3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</row>
    <row r="12" spans="1:21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</row>
    <row r="13" spans="1:21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</row>
    <row r="14" spans="1:21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</row>
    <row r="15" spans="1:21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</row>
    <row r="16" spans="1:21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</row>
    <row r="17" spans="1:21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</row>
    <row r="18" spans="1:21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</row>
    <row r="19" spans="1:21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</row>
    <row r="20" spans="1:21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</row>
    <row r="21" spans="1:21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</row>
    <row r="22" spans="1:21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</row>
    <row r="23" spans="1:21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</row>
    <row r="24" spans="1:21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5"/>
  <sheetViews>
    <sheetView workbookViewId="0"/>
  </sheetViews>
  <sheetFormatPr defaultRowHeight="10.199999999999999" x14ac:dyDescent="0.2"/>
  <cols>
    <col min="1" max="1" width="16.42578125" bestFit="1" customWidth="1"/>
    <col min="2" max="2" width="10.140625" bestFit="1" customWidth="1"/>
    <col min="3" max="3" width="12.7109375" bestFit="1" customWidth="1"/>
    <col min="4" max="5" width="16.42578125" bestFit="1" customWidth="1"/>
    <col min="6" max="6" width="7.42578125" bestFit="1" customWidth="1"/>
    <col min="7" max="7" width="18.7109375" bestFit="1" customWidth="1"/>
    <col min="8" max="8" width="5.85546875" bestFit="1" customWidth="1"/>
    <col min="9" max="9" width="16.7109375" bestFit="1" customWidth="1"/>
    <col min="10" max="10" width="9.85546875" bestFit="1" customWidth="1"/>
    <col min="11" max="11" width="7.42578125" bestFit="1" customWidth="1"/>
    <col min="12" max="12" width="8.28515625" bestFit="1" customWidth="1"/>
    <col min="13" max="13" width="5.140625" bestFit="1" customWidth="1"/>
    <col min="14" max="14" width="7.42578125" bestFit="1" customWidth="1"/>
    <col min="15" max="17" width="8.28515625" bestFit="1" customWidth="1"/>
    <col min="18" max="18" width="5.140625" bestFit="1" customWidth="1"/>
    <col min="19" max="19" width="9.140625" bestFit="1" customWidth="1"/>
    <col min="20" max="20" width="8.85546875" bestFit="1" customWidth="1"/>
    <col min="21" max="21" width="5.140625" bestFit="1" customWidth="1"/>
  </cols>
  <sheetData>
    <row r="1" spans="1:40" ht="30.6" x14ac:dyDescent="0.2">
      <c r="A1" s="33" t="str">
        <f t="array" ref="A1:U24">_xll.qlSwapLegAnalysis(Swaps!E1,1)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ht="20.399999999999999" x14ac:dyDescent="0.2">
      <c r="A2" s="34">
        <v>44040</v>
      </c>
      <c r="B2" s="35">
        <v>22182.171633423619</v>
      </c>
      <c r="C2" s="35">
        <v>1000000</v>
      </c>
      <c r="D2" s="41">
        <v>43858</v>
      </c>
      <c r="E2" s="41">
        <v>44040</v>
      </c>
      <c r="F2" s="36">
        <v>182</v>
      </c>
      <c r="G2" s="37" t="str">
        <v>Euribor6M Actual/360</v>
      </c>
      <c r="H2" s="36">
        <v>2</v>
      </c>
      <c r="I2" s="41">
        <v>43854</v>
      </c>
      <c r="J2" s="36" t="str">
        <v>Actual/360</v>
      </c>
      <c r="K2" s="38">
        <v>0.50555555555555554</v>
      </c>
      <c r="L2" s="39">
        <v>4.3876823011167604E-2</v>
      </c>
      <c r="M2" s="39" t="str">
        <v>#N/A</v>
      </c>
      <c r="N2" s="40">
        <v>1</v>
      </c>
      <c r="O2" s="39">
        <v>4.3876823011167604E-2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20.399999999999999" x14ac:dyDescent="0.2">
      <c r="A3" s="34">
        <v>44224</v>
      </c>
      <c r="B3" s="35">
        <v>22428.645264951807</v>
      </c>
      <c r="C3" s="35">
        <v>1000000</v>
      </c>
      <c r="D3" s="41">
        <v>44040</v>
      </c>
      <c r="E3" s="41">
        <v>44224</v>
      </c>
      <c r="F3" s="36">
        <v>184</v>
      </c>
      <c r="G3" s="37" t="str">
        <v>Euribor6M Actual/360</v>
      </c>
      <c r="H3" s="36">
        <v>2</v>
      </c>
      <c r="I3" s="41">
        <v>44036</v>
      </c>
      <c r="J3" s="36" t="str">
        <v>Actual/360</v>
      </c>
      <c r="K3" s="38">
        <v>0.51111111111111107</v>
      </c>
      <c r="L3" s="39">
        <v>4.3882132040123104E-2</v>
      </c>
      <c r="M3" s="39" t="str">
        <v>#N/A</v>
      </c>
      <c r="N3" s="40">
        <v>1</v>
      </c>
      <c r="O3" s="39">
        <v>4.3882132040123104E-2</v>
      </c>
      <c r="P3" s="39">
        <v>0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20.399999999999999" x14ac:dyDescent="0.2">
      <c r="A4" s="34">
        <v>44405</v>
      </c>
      <c r="B4" s="35">
        <v>22058.957099786225</v>
      </c>
      <c r="C4" s="35">
        <v>1000000</v>
      </c>
      <c r="D4" s="41">
        <v>44224</v>
      </c>
      <c r="E4" s="41">
        <v>44405</v>
      </c>
      <c r="F4" s="36">
        <v>181</v>
      </c>
      <c r="G4" s="37" t="str">
        <v>Euribor6M Actual/360</v>
      </c>
      <c r="H4" s="36">
        <v>2</v>
      </c>
      <c r="I4" s="41">
        <v>44222</v>
      </c>
      <c r="J4" s="36" t="str">
        <v>Actual/360</v>
      </c>
      <c r="K4" s="38">
        <v>0.50277777777777777</v>
      </c>
      <c r="L4" s="39">
        <v>4.3874168817254373E-2</v>
      </c>
      <c r="M4" s="39" t="str">
        <v>#N/A</v>
      </c>
      <c r="N4" s="40">
        <v>1</v>
      </c>
      <c r="O4" s="39">
        <v>4.3874168817254373E-2</v>
      </c>
      <c r="P4" s="39">
        <v>0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ht="20.399999999999999" x14ac:dyDescent="0.2">
      <c r="A5" s="34">
        <v>44589</v>
      </c>
      <c r="B5" s="35">
        <v>22428.645264951585</v>
      </c>
      <c r="C5" s="35">
        <v>1000000</v>
      </c>
      <c r="D5" s="41">
        <v>44405</v>
      </c>
      <c r="E5" s="41">
        <v>44589</v>
      </c>
      <c r="F5" s="36">
        <v>184</v>
      </c>
      <c r="G5" s="37" t="str">
        <v>Euribor6M Actual/360</v>
      </c>
      <c r="H5" s="36">
        <v>2</v>
      </c>
      <c r="I5" s="41">
        <v>44403</v>
      </c>
      <c r="J5" s="36" t="str">
        <v>Actual/360</v>
      </c>
      <c r="K5" s="38">
        <v>0.51111111111111107</v>
      </c>
      <c r="L5" s="39">
        <v>4.3882132040122673E-2</v>
      </c>
      <c r="M5" s="39" t="str">
        <v>#N/A</v>
      </c>
      <c r="N5" s="40">
        <v>1</v>
      </c>
      <c r="O5" s="39">
        <v>4.3882132040122673E-2</v>
      </c>
      <c r="P5" s="39">
        <v>0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ht="20.399999999999999" x14ac:dyDescent="0.2">
      <c r="A6" s="34">
        <v>44770</v>
      </c>
      <c r="B6" s="35">
        <v>22058.957099786225</v>
      </c>
      <c r="C6" s="35">
        <v>1000000</v>
      </c>
      <c r="D6" s="41">
        <v>44589</v>
      </c>
      <c r="E6" s="41">
        <v>44770</v>
      </c>
      <c r="F6" s="36">
        <v>181</v>
      </c>
      <c r="G6" s="37" t="str">
        <v>Euribor6M Actual/360</v>
      </c>
      <c r="H6" s="36">
        <v>2</v>
      </c>
      <c r="I6" s="41">
        <v>44587</v>
      </c>
      <c r="J6" s="36" t="str">
        <v>Actual/360</v>
      </c>
      <c r="K6" s="38">
        <v>0.50277777777777777</v>
      </c>
      <c r="L6" s="39">
        <v>4.3874168817254373E-2</v>
      </c>
      <c r="M6" s="39" t="str">
        <v>#N/A</v>
      </c>
      <c r="N6" s="40">
        <v>1</v>
      </c>
      <c r="O6" s="39">
        <v>4.3874168817254373E-2</v>
      </c>
      <c r="P6" s="39">
        <v>0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ht="20.399999999999999" x14ac:dyDescent="0.2">
      <c r="A7" s="34">
        <v>44956</v>
      </c>
      <c r="B7" s="35">
        <v>22675.178327423495</v>
      </c>
      <c r="C7" s="35">
        <v>1000000</v>
      </c>
      <c r="D7" s="41">
        <v>44770</v>
      </c>
      <c r="E7" s="41">
        <v>44956</v>
      </c>
      <c r="F7" s="36">
        <v>186</v>
      </c>
      <c r="G7" s="37" t="str">
        <v>Euribor6M Actual/360</v>
      </c>
      <c r="H7" s="36">
        <v>2</v>
      </c>
      <c r="I7" s="41">
        <v>44768</v>
      </c>
      <c r="J7" s="36" t="str">
        <v>Actual/360</v>
      </c>
      <c r="K7" s="38">
        <v>0.51666666666666672</v>
      </c>
      <c r="L7" s="39">
        <v>4.3887441924045471E-2</v>
      </c>
      <c r="M7" s="39" t="str">
        <v>#N/A</v>
      </c>
      <c r="N7" s="40">
        <v>1</v>
      </c>
      <c r="O7" s="39">
        <v>4.3887441924045471E-2</v>
      </c>
      <c r="P7" s="39">
        <v>0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ht="20.399999999999999" x14ac:dyDescent="0.2">
      <c r="A8" s="34">
        <v>45135</v>
      </c>
      <c r="B8" s="35">
        <v>21812.572587811774</v>
      </c>
      <c r="C8" s="35">
        <v>1000000</v>
      </c>
      <c r="D8" s="41">
        <v>44956</v>
      </c>
      <c r="E8" s="41">
        <v>45135</v>
      </c>
      <c r="F8" s="36">
        <v>179</v>
      </c>
      <c r="G8" s="37" t="str">
        <v>Euribor6M Actual/360</v>
      </c>
      <c r="H8" s="36">
        <v>2</v>
      </c>
      <c r="I8" s="41">
        <v>44952</v>
      </c>
      <c r="J8" s="36" t="str">
        <v>Actual/360</v>
      </c>
      <c r="K8" s="38">
        <v>0.49722222222222223</v>
      </c>
      <c r="L8" s="39">
        <v>4.3868861070459432E-2</v>
      </c>
      <c r="M8" s="39" t="str">
        <v>#N/A</v>
      </c>
      <c r="N8" s="40">
        <v>1</v>
      </c>
      <c r="O8" s="39">
        <v>4.3868861070459432E-2</v>
      </c>
      <c r="P8" s="39">
        <v>0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ht="20.399999999999999" x14ac:dyDescent="0.2">
      <c r="A9" s="34">
        <v>45320</v>
      </c>
      <c r="B9" s="35">
        <v>22551.904366423958</v>
      </c>
      <c r="C9" s="35">
        <v>1000000</v>
      </c>
      <c r="D9" s="41">
        <v>45135</v>
      </c>
      <c r="E9" s="41">
        <v>45320</v>
      </c>
      <c r="F9" s="36">
        <v>185</v>
      </c>
      <c r="G9" s="37" t="str">
        <v>Euribor6M Actual/360</v>
      </c>
      <c r="H9" s="36">
        <v>2</v>
      </c>
      <c r="I9" s="41">
        <v>45133</v>
      </c>
      <c r="J9" s="36" t="str">
        <v>Actual/360</v>
      </c>
      <c r="K9" s="38">
        <v>0.51388888888888884</v>
      </c>
      <c r="L9" s="39">
        <v>4.3884786875203384E-2</v>
      </c>
      <c r="M9" s="39" t="str">
        <v>#N/A</v>
      </c>
      <c r="N9" s="40">
        <v>1</v>
      </c>
      <c r="O9" s="39">
        <v>4.3884786875203384E-2</v>
      </c>
      <c r="P9" s="39">
        <v>0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ht="20.399999999999999" x14ac:dyDescent="0.2">
      <c r="A10" s="34">
        <v>45502</v>
      </c>
      <c r="B10" s="35">
        <v>22182.171633423841</v>
      </c>
      <c r="C10" s="35">
        <v>1000000</v>
      </c>
      <c r="D10" s="41">
        <v>45320</v>
      </c>
      <c r="E10" s="41">
        <v>45502</v>
      </c>
      <c r="F10" s="36">
        <v>182</v>
      </c>
      <c r="G10" s="37" t="str">
        <v>Euribor6M Actual/360</v>
      </c>
      <c r="H10" s="36">
        <v>2</v>
      </c>
      <c r="I10" s="41">
        <v>45316</v>
      </c>
      <c r="J10" s="36" t="str">
        <v>Actual/360</v>
      </c>
      <c r="K10" s="38">
        <v>0.50555555555555554</v>
      </c>
      <c r="L10" s="39">
        <v>4.3876823011168041E-2</v>
      </c>
      <c r="M10" s="39" t="str">
        <v>#N/A</v>
      </c>
      <c r="N10" s="40">
        <v>1</v>
      </c>
      <c r="O10" s="39">
        <v>4.3876823011168041E-2</v>
      </c>
      <c r="P10" s="39">
        <v>0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ht="20.399999999999999" x14ac:dyDescent="0.2">
      <c r="A11" s="34">
        <v>45685</v>
      </c>
      <c r="B11" s="35">
        <v>22305.401021215144</v>
      </c>
      <c r="C11" s="35">
        <v>1000000</v>
      </c>
      <c r="D11" s="41">
        <v>45502</v>
      </c>
      <c r="E11" s="41">
        <v>45685</v>
      </c>
      <c r="F11" s="36">
        <v>183</v>
      </c>
      <c r="G11" s="37" t="str">
        <v>Euribor6M Actual/360</v>
      </c>
      <c r="H11" s="36">
        <v>2</v>
      </c>
      <c r="I11" s="41">
        <v>45498</v>
      </c>
      <c r="J11" s="36" t="str">
        <v>Actual/360</v>
      </c>
      <c r="K11" s="38">
        <v>0.5083333333333333</v>
      </c>
      <c r="L11" s="39">
        <v>4.387947741878389E-2</v>
      </c>
      <c r="M11" s="39" t="str">
        <v>#N/A</v>
      </c>
      <c r="N11" s="40">
        <v>1</v>
      </c>
      <c r="O11" s="39">
        <v>4.387947741878389E-2</v>
      </c>
      <c r="P11" s="39">
        <v>0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ht="20.399999999999999" x14ac:dyDescent="0.2">
      <c r="A12" s="34">
        <v>45866</v>
      </c>
      <c r="B12" s="35">
        <v>22058.957099786225</v>
      </c>
      <c r="C12" s="35">
        <v>1000000</v>
      </c>
      <c r="D12" s="41">
        <v>45685</v>
      </c>
      <c r="E12" s="41">
        <v>45866</v>
      </c>
      <c r="F12" s="36">
        <v>181</v>
      </c>
      <c r="G12" s="37" t="str">
        <v>Euribor6M Actual/360</v>
      </c>
      <c r="H12" s="36">
        <v>2</v>
      </c>
      <c r="I12" s="41">
        <v>45681</v>
      </c>
      <c r="J12" s="36" t="str">
        <v>Actual/360</v>
      </c>
      <c r="K12" s="38">
        <v>0.50277777777777777</v>
      </c>
      <c r="L12" s="39">
        <v>4.3874168817254373E-2</v>
      </c>
      <c r="M12" s="39" t="str">
        <v>#N/A</v>
      </c>
      <c r="N12" s="40">
        <v>1</v>
      </c>
      <c r="O12" s="39">
        <v>4.3874168817254373E-2</v>
      </c>
      <c r="P12" s="39">
        <v>0</v>
      </c>
      <c r="Q12" s="39">
        <v>0</v>
      </c>
      <c r="R12" s="39" t="str">
        <v>#N/A</v>
      </c>
      <c r="S12" s="39" t="str">
        <v>#N/A</v>
      </c>
      <c r="T12" s="37" t="str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ht="20.399999999999999" x14ac:dyDescent="0.2">
      <c r="A13" s="34">
        <v>46050</v>
      </c>
      <c r="B13" s="35">
        <v>22428.645264951807</v>
      </c>
      <c r="C13" s="35">
        <v>1000000</v>
      </c>
      <c r="D13" s="41">
        <v>45866</v>
      </c>
      <c r="E13" s="41">
        <v>46050</v>
      </c>
      <c r="F13" s="36">
        <v>184</v>
      </c>
      <c r="G13" s="37" t="str">
        <v>Euribor6M Actual/360</v>
      </c>
      <c r="H13" s="36">
        <v>2</v>
      </c>
      <c r="I13" s="41">
        <v>45862</v>
      </c>
      <c r="J13" s="36" t="str">
        <v>Actual/360</v>
      </c>
      <c r="K13" s="38">
        <v>0.51111111111111107</v>
      </c>
      <c r="L13" s="39">
        <v>4.3882132040123104E-2</v>
      </c>
      <c r="M13" s="39" t="str">
        <v>#N/A</v>
      </c>
      <c r="N13" s="40">
        <v>1</v>
      </c>
      <c r="O13" s="39">
        <v>4.3882132040123104E-2</v>
      </c>
      <c r="P13" s="39">
        <v>0</v>
      </c>
      <c r="Q13" s="39">
        <v>0</v>
      </c>
      <c r="R13" s="39" t="str">
        <v>#N/A</v>
      </c>
      <c r="S13" s="39" t="str">
        <v>#N/A</v>
      </c>
      <c r="T13" s="37" t="str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ht="20.399999999999999" x14ac:dyDescent="0.2">
      <c r="A14" s="34">
        <v>46231</v>
      </c>
      <c r="B14" s="35">
        <v>22058.957099786225</v>
      </c>
      <c r="C14" s="35">
        <v>1000000</v>
      </c>
      <c r="D14" s="41">
        <v>46050</v>
      </c>
      <c r="E14" s="41">
        <v>46231</v>
      </c>
      <c r="F14" s="36">
        <v>181</v>
      </c>
      <c r="G14" s="37" t="str">
        <v>Euribor6M Actual/360</v>
      </c>
      <c r="H14" s="36">
        <v>2</v>
      </c>
      <c r="I14" s="41">
        <v>46048</v>
      </c>
      <c r="J14" s="36" t="str">
        <v>Actual/360</v>
      </c>
      <c r="K14" s="38">
        <v>0.50277777777777777</v>
      </c>
      <c r="L14" s="39">
        <v>4.3874168817254373E-2</v>
      </c>
      <c r="M14" s="39" t="str">
        <v>#N/A</v>
      </c>
      <c r="N14" s="40">
        <v>1</v>
      </c>
      <c r="O14" s="39">
        <v>4.3874168817254373E-2</v>
      </c>
      <c r="P14" s="39">
        <v>0</v>
      </c>
      <c r="Q14" s="39">
        <v>0</v>
      </c>
      <c r="R14" s="39" t="str">
        <v>#N/A</v>
      </c>
      <c r="S14" s="39" t="str">
        <v>#N/A</v>
      </c>
      <c r="T14" s="37" t="str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ht="20.399999999999999" x14ac:dyDescent="0.2">
      <c r="A15" s="34">
        <v>46415</v>
      </c>
      <c r="B15" s="35">
        <v>22428.645264951585</v>
      </c>
      <c r="C15" s="35">
        <v>1000000</v>
      </c>
      <c r="D15" s="41">
        <v>46231</v>
      </c>
      <c r="E15" s="41">
        <v>46415</v>
      </c>
      <c r="F15" s="36">
        <v>184</v>
      </c>
      <c r="G15" s="37" t="str">
        <v>Euribor6M Actual/360</v>
      </c>
      <c r="H15" s="36">
        <v>2</v>
      </c>
      <c r="I15" s="41">
        <v>46227</v>
      </c>
      <c r="J15" s="36" t="str">
        <v>Actual/360</v>
      </c>
      <c r="K15" s="38">
        <v>0.51111111111111107</v>
      </c>
      <c r="L15" s="39">
        <v>4.3882132040122673E-2</v>
      </c>
      <c r="M15" s="39" t="str">
        <v>#N/A</v>
      </c>
      <c r="N15" s="40">
        <v>1</v>
      </c>
      <c r="O15" s="39">
        <v>4.3882132040122673E-2</v>
      </c>
      <c r="P15" s="39">
        <v>0</v>
      </c>
      <c r="Q15" s="39">
        <v>0</v>
      </c>
      <c r="R15" s="39" t="str">
        <v>#N/A</v>
      </c>
      <c r="S15" s="39" t="str">
        <v>#N/A</v>
      </c>
      <c r="T15" s="37" t="str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ht="20.399999999999999" x14ac:dyDescent="0.2">
      <c r="A16" s="34">
        <v>46596</v>
      </c>
      <c r="B16" s="35">
        <v>22058.957099786003</v>
      </c>
      <c r="C16" s="35">
        <v>1000000</v>
      </c>
      <c r="D16" s="41">
        <v>46415</v>
      </c>
      <c r="E16" s="41">
        <v>46596</v>
      </c>
      <c r="F16" s="36">
        <v>181</v>
      </c>
      <c r="G16" s="37" t="str">
        <v>Euribor6M Actual/360</v>
      </c>
      <c r="H16" s="36">
        <v>2</v>
      </c>
      <c r="I16" s="41">
        <v>46413</v>
      </c>
      <c r="J16" s="36" t="str">
        <v>Actual/360</v>
      </c>
      <c r="K16" s="38">
        <v>0.50277777777777777</v>
      </c>
      <c r="L16" s="39">
        <v>4.3874168817253929E-2</v>
      </c>
      <c r="M16" s="39" t="str">
        <v>#N/A</v>
      </c>
      <c r="N16" s="40">
        <v>1</v>
      </c>
      <c r="O16" s="39">
        <v>4.3874168817253929E-2</v>
      </c>
      <c r="P16" s="39">
        <v>0</v>
      </c>
      <c r="Q16" s="39">
        <v>0</v>
      </c>
      <c r="R16" s="39" t="str">
        <v>#N/A</v>
      </c>
      <c r="S16" s="39" t="str">
        <v>#N/A</v>
      </c>
      <c r="T16" s="37" t="str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ht="20.399999999999999" x14ac:dyDescent="0.2">
      <c r="A17" s="34">
        <v>46780</v>
      </c>
      <c r="B17" s="35">
        <v>22428.645264951807</v>
      </c>
      <c r="C17" s="35">
        <v>1000000</v>
      </c>
      <c r="D17" s="41">
        <v>46596</v>
      </c>
      <c r="E17" s="41">
        <v>46780</v>
      </c>
      <c r="F17" s="36">
        <v>184</v>
      </c>
      <c r="G17" s="37" t="str">
        <v>Euribor6M Actual/360</v>
      </c>
      <c r="H17" s="36">
        <v>2</v>
      </c>
      <c r="I17" s="41">
        <v>46594</v>
      </c>
      <c r="J17" s="36" t="str">
        <v>Actual/360</v>
      </c>
      <c r="K17" s="38">
        <v>0.51111111111111107</v>
      </c>
      <c r="L17" s="39">
        <v>4.3882132040123104E-2</v>
      </c>
      <c r="M17" s="39" t="str">
        <v>#N/A</v>
      </c>
      <c r="N17" s="40">
        <v>1</v>
      </c>
      <c r="O17" s="39">
        <v>4.3882132040123104E-2</v>
      </c>
      <c r="P17" s="39">
        <v>0</v>
      </c>
      <c r="Q17" s="39">
        <v>0</v>
      </c>
      <c r="R17" s="39" t="str">
        <v>#N/A</v>
      </c>
      <c r="S17" s="39" t="str">
        <v>#N/A</v>
      </c>
      <c r="T17" s="37" t="str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ht="20.399999999999999" x14ac:dyDescent="0.2">
      <c r="A18" s="34">
        <v>46962</v>
      </c>
      <c r="B18" s="35">
        <v>22182.171633423619</v>
      </c>
      <c r="C18" s="35">
        <v>1000000</v>
      </c>
      <c r="D18" s="41">
        <v>46780</v>
      </c>
      <c r="E18" s="41">
        <v>46962</v>
      </c>
      <c r="F18" s="36">
        <v>182</v>
      </c>
      <c r="G18" s="37" t="str">
        <v>Euribor6M Actual/360</v>
      </c>
      <c r="H18" s="36">
        <v>2</v>
      </c>
      <c r="I18" s="41">
        <v>46778</v>
      </c>
      <c r="J18" s="36" t="str">
        <v>Actual/360</v>
      </c>
      <c r="K18" s="38">
        <v>0.50555555555555554</v>
      </c>
      <c r="L18" s="39">
        <v>4.3876823011167604E-2</v>
      </c>
      <c r="M18" s="39" t="str">
        <v>#N/A</v>
      </c>
      <c r="N18" s="40">
        <v>1</v>
      </c>
      <c r="O18" s="39">
        <v>4.3876823011167604E-2</v>
      </c>
      <c r="P18" s="39">
        <v>0</v>
      </c>
      <c r="Q18" s="39">
        <v>0</v>
      </c>
      <c r="R18" s="39" t="str">
        <v>#N/A</v>
      </c>
      <c r="S18" s="39" t="str">
        <v>#N/A</v>
      </c>
      <c r="T18" s="37" t="str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ht="20.399999999999999" x14ac:dyDescent="0.2">
      <c r="A19" s="34">
        <v>47147</v>
      </c>
      <c r="B19" s="35">
        <v>22551.904366423958</v>
      </c>
      <c r="C19" s="35">
        <v>1000000</v>
      </c>
      <c r="D19" s="41">
        <v>46962</v>
      </c>
      <c r="E19" s="41">
        <v>47147</v>
      </c>
      <c r="F19" s="36">
        <v>185</v>
      </c>
      <c r="G19" s="37" t="str">
        <v>Euribor6M Actual/360</v>
      </c>
      <c r="H19" s="36">
        <v>2</v>
      </c>
      <c r="I19" s="41">
        <v>46960</v>
      </c>
      <c r="J19" s="36" t="str">
        <v>Actual/360</v>
      </c>
      <c r="K19" s="38">
        <v>0.51388888888888884</v>
      </c>
      <c r="L19" s="39">
        <v>4.3884786875203384E-2</v>
      </c>
      <c r="M19" s="39" t="str">
        <v>#N/A</v>
      </c>
      <c r="N19" s="40">
        <v>1</v>
      </c>
      <c r="O19" s="39">
        <v>4.3884786875203384E-2</v>
      </c>
      <c r="P19" s="39">
        <v>0</v>
      </c>
      <c r="Q19" s="39">
        <v>0</v>
      </c>
      <c r="R19" s="39" t="str">
        <v>#N/A</v>
      </c>
      <c r="S19" s="39" t="str">
        <v>#N/A</v>
      </c>
      <c r="T19" s="37" t="str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ht="20.399999999999999" x14ac:dyDescent="0.2">
      <c r="A20" s="34">
        <v>47329</v>
      </c>
      <c r="B20" s="35">
        <v>22182.171633423619</v>
      </c>
      <c r="C20" s="35">
        <v>1000000</v>
      </c>
      <c r="D20" s="41">
        <v>47147</v>
      </c>
      <c r="E20" s="41">
        <v>47329</v>
      </c>
      <c r="F20" s="36">
        <v>182</v>
      </c>
      <c r="G20" s="37" t="str">
        <v>Euribor6M Actual/360</v>
      </c>
      <c r="H20" s="36">
        <v>2</v>
      </c>
      <c r="I20" s="41">
        <v>47143</v>
      </c>
      <c r="J20" s="36" t="str">
        <v>Actual/360</v>
      </c>
      <c r="K20" s="38">
        <v>0.50555555555555554</v>
      </c>
      <c r="L20" s="39">
        <v>4.3876823011167604E-2</v>
      </c>
      <c r="M20" s="39" t="str">
        <v>#N/A</v>
      </c>
      <c r="N20" s="40">
        <v>1</v>
      </c>
      <c r="O20" s="39">
        <v>4.3876823011167604E-2</v>
      </c>
      <c r="P20" s="39">
        <v>0</v>
      </c>
      <c r="Q20" s="39">
        <v>0</v>
      </c>
      <c r="R20" s="39" t="str">
        <v>#N/A</v>
      </c>
      <c r="S20" s="39" t="str">
        <v>#N/A</v>
      </c>
      <c r="T20" s="37" t="str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ht="20.399999999999999" x14ac:dyDescent="0.2">
      <c r="A21" s="34">
        <v>47511</v>
      </c>
      <c r="B21" s="35">
        <v>22182.171633423619</v>
      </c>
      <c r="C21" s="35">
        <v>1000000</v>
      </c>
      <c r="D21" s="41">
        <v>47329</v>
      </c>
      <c r="E21" s="41">
        <v>47511</v>
      </c>
      <c r="F21" s="36">
        <v>182</v>
      </c>
      <c r="G21" s="37" t="str">
        <v>Euribor6M Actual/360</v>
      </c>
      <c r="H21" s="36">
        <v>2</v>
      </c>
      <c r="I21" s="41">
        <v>47325</v>
      </c>
      <c r="J21" s="36" t="str">
        <v>Actual/360</v>
      </c>
      <c r="K21" s="38">
        <v>0.50555555555555554</v>
      </c>
      <c r="L21" s="39">
        <v>4.3876823011167604E-2</v>
      </c>
      <c r="M21" s="39" t="str">
        <v>#N/A</v>
      </c>
      <c r="N21" s="40">
        <v>1</v>
      </c>
      <c r="O21" s="39">
        <v>4.3876823011167604E-2</v>
      </c>
      <c r="P21" s="39">
        <v>0</v>
      </c>
      <c r="Q21" s="39">
        <v>0</v>
      </c>
      <c r="R21" s="39" t="str">
        <v>#N/A</v>
      </c>
      <c r="S21" s="39" t="str">
        <v>#N/A</v>
      </c>
      <c r="T21" s="37" t="str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TermStructures</vt:lpstr>
      <vt:lpstr>DateCalc</vt:lpstr>
      <vt:lpstr>PricingEngines</vt:lpstr>
      <vt:lpstr>Swaps</vt:lpstr>
      <vt:lpstr>CapFloor</vt:lpstr>
      <vt:lpstr>Swaption</vt:lpstr>
      <vt:lpstr>CMS</vt:lpstr>
      <vt:lpstr>FixedLegFlowAnalysis</vt:lpstr>
      <vt:lpstr>CmsLegFlowAnalysis</vt:lpstr>
      <vt:lpstr>FloatingLegFlowAnalysis</vt:lpstr>
      <vt:lpstr>Calendar</vt:lpstr>
      <vt:lpstr>EffectiveDate</vt:lpstr>
      <vt:lpstr>Nominal</vt:lpstr>
      <vt:lpstr>ReferenceDate</vt:lpstr>
      <vt:lpstr>SwaptionExpiry</vt:lpstr>
      <vt:lpstr>TerminationDate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Bojan</cp:lastModifiedBy>
  <dcterms:created xsi:type="dcterms:W3CDTF">2008-01-16T11:04:29Z</dcterms:created>
  <dcterms:modified xsi:type="dcterms:W3CDTF">2019-01-24T17:00:22Z</dcterms:modified>
</cp:coreProperties>
</file>