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shortcut-targets-by-id\1plIa0mi3uOlZiLGrxKO0lx_iQ4Nc08gZ\HSF Critical Minerals\Reporting\Article\Nature Sust Submission\"/>
    </mc:Choice>
  </mc:AlternateContent>
  <xr:revisionPtr revIDLastSave="0" documentId="13_ncr:1_{E196F481-B49F-4F66-922B-0B585382152A}" xr6:coauthVersionLast="47" xr6:coauthVersionMax="47" xr10:uidLastSave="{00000000-0000-0000-0000-000000000000}"/>
  <bookViews>
    <workbookView xWindow="-108" yWindow="-108" windowWidth="24792" windowHeight="14856" activeTab="1" xr2:uid="{37501F0F-0C5B-4013-A72D-0E77654DBE8F}"/>
  </bookViews>
  <sheets>
    <sheet name="Deposits" sheetId="1" r:id="rId1"/>
    <sheet name="References" sheetId="2" r:id="rId2"/>
    <sheet name="Metadata" sheetId="3" r:id="rId3"/>
    <sheet name="Conversion Factors" sheetId="4" r:id="rId4"/>
    <sheet name="Inflation" sheetId="5" r:id="rId5"/>
  </sheets>
  <definedNames>
    <definedName name="_xlnm._FilterDatabase" localSheetId="0" hidden="1">Deposits!$A$5:$BN$165</definedName>
    <definedName name="_xlnm._FilterDatabase" localSheetId="4" hidden="1">Inflation!$A$8:$D$53</definedName>
    <definedName name="_xlnm._FilterDatabase" localSheetId="1" hidden="1">References!$A$4:$F$197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5" i="1" l="1"/>
  <c r="S162" i="1"/>
  <c r="S161" i="1"/>
  <c r="S160" i="1"/>
  <c r="S159" i="1"/>
  <c r="S154" i="1"/>
  <c r="S152" i="1"/>
  <c r="S150" i="1"/>
  <c r="S148" i="1"/>
  <c r="S147" i="1"/>
  <c r="S146" i="1"/>
  <c r="S137" i="1"/>
  <c r="S135" i="1"/>
  <c r="S113" i="1"/>
  <c r="S111" i="1"/>
  <c r="S110" i="1"/>
  <c r="S109" i="1"/>
  <c r="S108" i="1"/>
  <c r="S107" i="1"/>
  <c r="S102" i="1"/>
  <c r="S91" i="1"/>
  <c r="S89" i="1"/>
  <c r="S87" i="1"/>
  <c r="S86" i="1"/>
  <c r="S83" i="1"/>
  <c r="S80" i="1"/>
  <c r="S77" i="1"/>
  <c r="S76" i="1"/>
  <c r="S67" i="1"/>
  <c r="S57" i="1"/>
  <c r="S56" i="1"/>
  <c r="S43" i="1"/>
  <c r="S24" i="1"/>
  <c r="S21" i="1"/>
  <c r="S7" i="1"/>
  <c r="C53" i="5" l="1"/>
  <c r="C52" i="5"/>
  <c r="C51" i="5"/>
  <c r="D53" i="5" s="1"/>
  <c r="C50" i="5"/>
  <c r="D50" i="5" s="1"/>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E11" i="4"/>
  <c r="I10" i="4"/>
  <c r="E10" i="4"/>
  <c r="I9" i="4" s="1"/>
  <c r="K9" i="4" s="1"/>
  <c r="L8" i="4" s="1"/>
  <c r="E9" i="4"/>
  <c r="E8" i="4"/>
  <c r="I8" i="4" s="1"/>
  <c r="K6" i="4" s="1"/>
  <c r="E7" i="4"/>
  <c r="I7" i="4" s="1"/>
  <c r="E6" i="4"/>
  <c r="D49" i="5" l="1"/>
  <c r="L10" i="4"/>
  <c r="M9" i="4" s="1"/>
  <c r="M6" i="4"/>
  <c r="D43" i="5"/>
  <c r="D20" i="5"/>
  <c r="D39" i="5"/>
  <c r="D13" i="5"/>
  <c r="D14" i="5"/>
  <c r="D15" i="5"/>
  <c r="D38" i="5"/>
  <c r="D40" i="5"/>
  <c r="D23" i="5"/>
  <c r="D32" i="5"/>
  <c r="D44" i="5"/>
  <c r="D21" i="5"/>
  <c r="D45" i="5"/>
  <c r="D10" i="5"/>
  <c r="D22" i="5"/>
  <c r="D29" i="5"/>
  <c r="D34" i="5"/>
  <c r="D18" i="5"/>
  <c r="D26" i="5"/>
  <c r="D33" i="5"/>
  <c r="D11" i="5"/>
  <c r="D19" i="5"/>
  <c r="D35" i="5"/>
  <c r="D12" i="5"/>
  <c r="D27" i="5"/>
  <c r="D42" i="5"/>
  <c r="D36" i="5"/>
  <c r="D52" i="5"/>
  <c r="D31" i="5"/>
  <c r="D41" i="5"/>
  <c r="D9" i="5"/>
  <c r="D16" i="5"/>
  <c r="D24" i="5"/>
  <c r="D46" i="5"/>
  <c r="D28" i="5"/>
  <c r="D37" i="5"/>
  <c r="D25" i="5"/>
  <c r="D47" i="5"/>
  <c r="D30" i="5"/>
  <c r="D17" i="5"/>
  <c r="D48" i="5"/>
  <c r="J6" i="4"/>
  <c r="J9" i="4" s="1"/>
  <c r="L7" i="4" s="1"/>
  <c r="L6" i="4"/>
  <c r="K10" i="4"/>
  <c r="M8" i="4" s="1"/>
  <c r="J8" i="4" l="1"/>
  <c r="J10" i="4"/>
  <c r="M7" i="4" s="1"/>
  <c r="AS61" i="1" l="1"/>
  <c r="AS14" i="1"/>
  <c r="AS6" i="1"/>
  <c r="AK164" i="1"/>
  <c r="AK130" i="1"/>
  <c r="AK129" i="1"/>
  <c r="AK126" i="1"/>
  <c r="AK29" i="1"/>
  <c r="AK19" i="1"/>
  <c r="AK18" i="1"/>
  <c r="AK16" i="1"/>
  <c r="AK9" i="1"/>
  <c r="AK6" i="1"/>
  <c r="W164" i="1"/>
  <c r="W158" i="1"/>
  <c r="W145" i="1"/>
  <c r="W136" i="1"/>
  <c r="W122" i="1"/>
  <c r="W117" i="1"/>
  <c r="W106" i="1"/>
  <c r="W100" i="1"/>
  <c r="W66" i="1"/>
  <c r="W64" i="1"/>
  <c r="W62" i="1"/>
  <c r="W59" i="1"/>
  <c r="W55" i="1"/>
  <c r="W50" i="1"/>
  <c r="W46" i="1"/>
  <c r="W40" i="1"/>
  <c r="W39" i="1"/>
  <c r="W38" i="1"/>
  <c r="W37" i="1"/>
  <c r="W32" i="1"/>
  <c r="W30" i="1"/>
  <c r="W27" i="1"/>
  <c r="W19" i="1"/>
  <c r="W14" i="1"/>
  <c r="W12" i="1"/>
  <c r="W9" i="1"/>
  <c r="S164" i="1"/>
  <c r="S163" i="1"/>
  <c r="S158" i="1"/>
  <c r="S156" i="1"/>
  <c r="S153" i="1"/>
  <c r="S151" i="1"/>
  <c r="S149" i="1"/>
  <c r="S145" i="1"/>
  <c r="S143" i="1"/>
  <c r="S139" i="1"/>
  <c r="S138" i="1"/>
  <c r="S136" i="1"/>
  <c r="S134" i="1"/>
  <c r="S132" i="1"/>
  <c r="S130" i="1"/>
  <c r="S129" i="1"/>
  <c r="S128" i="1"/>
  <c r="S127" i="1"/>
  <c r="S126" i="1"/>
  <c r="S125" i="1"/>
  <c r="S124" i="1"/>
  <c r="S122" i="1"/>
  <c r="S120" i="1"/>
  <c r="S117" i="1"/>
  <c r="S115" i="1"/>
  <c r="S114" i="1"/>
  <c r="S112" i="1"/>
  <c r="S106" i="1"/>
  <c r="S101" i="1"/>
  <c r="S100" i="1"/>
  <c r="S99" i="1"/>
  <c r="S98" i="1"/>
  <c r="S94" i="1"/>
  <c r="S93" i="1"/>
  <c r="S92" i="1"/>
  <c r="S90" i="1"/>
  <c r="S88" i="1"/>
  <c r="S85" i="1"/>
  <c r="S84" i="1"/>
  <c r="S81" i="1"/>
  <c r="S75" i="1"/>
  <c r="S73" i="1"/>
  <c r="S66" i="1"/>
  <c r="S63" i="1"/>
  <c r="S62" i="1"/>
  <c r="S59" i="1"/>
  <c r="S58" i="1"/>
  <c r="S55" i="1"/>
  <c r="S50" i="1"/>
  <c r="S46" i="1"/>
  <c r="S45" i="1"/>
  <c r="S42" i="1"/>
  <c r="S40" i="1"/>
  <c r="S39" i="1"/>
  <c r="S38" i="1"/>
  <c r="S37" i="1"/>
  <c r="S36" i="1"/>
  <c r="S33" i="1"/>
  <c r="S32" i="1"/>
  <c r="S31" i="1"/>
  <c r="S30" i="1"/>
  <c r="S29" i="1"/>
  <c r="S28" i="1"/>
  <c r="S27" i="1"/>
  <c r="S25" i="1"/>
  <c r="S20" i="1"/>
  <c r="S18" i="1"/>
  <c r="S16" i="1"/>
  <c r="S14" i="1"/>
  <c r="S13" i="1"/>
  <c r="S12" i="1"/>
  <c r="S10" i="1"/>
  <c r="S9" i="1"/>
  <c r="S8" i="1"/>
  <c r="AB153" i="1"/>
  <c r="AB143" i="1"/>
  <c r="AB126" i="1"/>
  <c r="AB124" i="1"/>
  <c r="AB117" i="1"/>
  <c r="AB93" i="1"/>
  <c r="AB90" i="1"/>
  <c r="AB88" i="1"/>
  <c r="AB85" i="1"/>
  <c r="AB83" i="1"/>
  <c r="AB73" i="1"/>
  <c r="AB66" i="1"/>
  <c r="AB42" i="1"/>
  <c r="AB36" i="1"/>
  <c r="AB33" i="1"/>
  <c r="AB28" i="1"/>
  <c r="AB20" i="1"/>
  <c r="AB18" i="1"/>
  <c r="AB14" i="1"/>
  <c r="AB9" i="1"/>
  <c r="AE25" i="1"/>
  <c r="AE22" i="1"/>
  <c r="AY157" i="1"/>
  <c r="AY140" i="1"/>
  <c r="AY126" i="1"/>
  <c r="AY121" i="1"/>
  <c r="AY106" i="1"/>
  <c r="AY104" i="1"/>
  <c r="AY100" i="1"/>
  <c r="AY99" i="1"/>
  <c r="AY98" i="1"/>
  <c r="AY93" i="1"/>
  <c r="AY90" i="1"/>
  <c r="AY88" i="1"/>
  <c r="AY82" i="1"/>
  <c r="AY72" i="1"/>
  <c r="AY68" i="1"/>
  <c r="AY61" i="1"/>
  <c r="AY52" i="1"/>
  <c r="AY33" i="1"/>
  <c r="AY28" i="1"/>
  <c r="AY20" i="1"/>
  <c r="AY18" i="1"/>
  <c r="AY16" i="1"/>
</calcChain>
</file>

<file path=xl/sharedStrings.xml><?xml version="1.0" encoding="utf-8"?>
<sst xmlns="http://schemas.openxmlformats.org/spreadsheetml/2006/main" count="4284" uniqueCount="1456">
  <si>
    <t>The list of deposits is not exhausitve, but reflects to our best of knowledge all lithium deposits worldwide as 2024.</t>
  </si>
  <si>
    <t>Country</t>
  </si>
  <si>
    <t>Deposit Name</t>
  </si>
  <si>
    <t>Resource Type</t>
  </si>
  <si>
    <t>Latitude</t>
  </si>
  <si>
    <t>Longitude</t>
  </si>
  <si>
    <t>Status</t>
  </si>
  <si>
    <t>Mine lifetime, years</t>
  </si>
  <si>
    <t>Reserve Proven; Probable</t>
  </si>
  <si>
    <t>Grade Proven;Probable</t>
  </si>
  <si>
    <t>USD/tonne LCE</t>
  </si>
  <si>
    <t>Bolivia</t>
  </si>
  <si>
    <t>Salar de Uyuni</t>
  </si>
  <si>
    <t>Brine</t>
  </si>
  <si>
    <t>Producing</t>
  </si>
  <si>
    <t>pg 1</t>
  </si>
  <si>
    <t>million Li tons</t>
  </si>
  <si>
    <t>Chile</t>
  </si>
  <si>
    <t>Salar de Atacama (Albemarle)</t>
  </si>
  <si>
    <t>Active</t>
  </si>
  <si>
    <t>tonnes Li metal/year</t>
  </si>
  <si>
    <t>pg 7</t>
  </si>
  <si>
    <t>mg/L</t>
  </si>
  <si>
    <t>pg 9</t>
  </si>
  <si>
    <t>(000s) metric tonnes Li</t>
  </si>
  <si>
    <t>323;324</t>
  </si>
  <si>
    <t>2190;1927</t>
  </si>
  <si>
    <t>717;642;131</t>
  </si>
  <si>
    <t>pg 8</t>
  </si>
  <si>
    <t>2211;1747;1593</t>
  </si>
  <si>
    <t>https://www.sec.gov/Archives/edgar/data/915913/000091591322000025/exhibit9631231202110-k.htm#i97a3787e661c4034b0ea200b575ea732_91</t>
  </si>
  <si>
    <t>LCE</t>
  </si>
  <si>
    <t>Operating costs,For year 2020, historic</t>
  </si>
  <si>
    <t>USDMillion</t>
  </si>
  <si>
    <t>total sustaining CAPEX</t>
  </si>
  <si>
    <t>Salar de Atacama (SQM)</t>
  </si>
  <si>
    <t>tonnes LCE/year</t>
  </si>
  <si>
    <t>Actual production right, for capex</t>
  </si>
  <si>
    <t>in production</t>
  </si>
  <si>
    <t>% Li grade</t>
  </si>
  <si>
    <t>pg 4</t>
  </si>
  <si>
    <t>0.22;0.14</t>
  </si>
  <si>
    <t>0.2;0.2</t>
  </si>
  <si>
    <t>5.4;2.8;2.6</t>
  </si>
  <si>
    <t>pg 2, Table 1-1</t>
  </si>
  <si>
    <t>0.2;0.16;0.13</t>
  </si>
  <si>
    <t>pg 8, table 1-4</t>
  </si>
  <si>
    <t>none</t>
  </si>
  <si>
    <t>Attributed based on revenue (sale qty*price) of Potassium vs Lithium products, as cost is shared. Use 2022 proportions. 70% is for Li carbonate and Li hydroxide</t>
  </si>
  <si>
    <t>pg 6</t>
  </si>
  <si>
    <t>capital cost, Attributed based on revenue (sale qty*price) of Potassium vs Lithium products, as cost is shared. Use 2022 proportions. 70% is for Li carbonate and Li hydroxide</t>
  </si>
  <si>
    <t>Reserves consider process losses in the production phases, if not it is estimated to be 0.71 Mt. It also considers production towrds 2030 ionly, so they may be greater. Others (Cabello, 2022) have estimated reserves from 1.3 to 9.2 million tons Li</t>
  </si>
  <si>
    <t>Argentina</t>
  </si>
  <si>
    <t xml:space="preserve">Cauchari </t>
  </si>
  <si>
    <t>https://miningdataonline.com/property/3036/Cauchari-Olaroz.aspx</t>
  </si>
  <si>
    <t>pg 16</t>
  </si>
  <si>
    <t>current</t>
  </si>
  <si>
    <t>Li metal tons</t>
  </si>
  <si>
    <t>96650; 586270</t>
  </si>
  <si>
    <t>616; 606</t>
  </si>
  <si>
    <t>pg 138</t>
  </si>
  <si>
    <t>Li tons</t>
  </si>
  <si>
    <t>667800;3061900;887300</t>
  </si>
  <si>
    <t>measured , indicated</t>
  </si>
  <si>
    <t>591;592;592</t>
  </si>
  <si>
    <t>pg 36</t>
  </si>
  <si>
    <t>OPEX</t>
  </si>
  <si>
    <t>pg 17, for the whole mine up to full production, Capex of 251K usd</t>
  </si>
  <si>
    <t>USD M</t>
  </si>
  <si>
    <t>United States</t>
  </si>
  <si>
    <t>Nevada</t>
  </si>
  <si>
    <t>Thacker Pass</t>
  </si>
  <si>
    <t>Volcano-Sedimentary</t>
  </si>
  <si>
    <t>Construction</t>
  </si>
  <si>
    <t>https://miningdataonline.com/property/3341/Thacker-Pass.aspx</t>
  </si>
  <si>
    <t>kt LCE per annum</t>
  </si>
  <si>
    <t>pg 13</t>
  </si>
  <si>
    <t>will begin in 2027</t>
  </si>
  <si>
    <t>ppm</t>
  </si>
  <si>
    <t>Mt (million) LCE</t>
  </si>
  <si>
    <t>3.3: 0.4</t>
  </si>
  <si>
    <t>3180;3010</t>
  </si>
  <si>
    <t>7;9.1;3</t>
  </si>
  <si>
    <t>pg 5</t>
  </si>
  <si>
    <t>2450;1850;1870</t>
  </si>
  <si>
    <t>pg 12, table 1-7</t>
  </si>
  <si>
    <t>Operating cost over life of mine</t>
  </si>
  <si>
    <t>pg 11, table 1-5</t>
  </si>
  <si>
    <t>USD Million</t>
  </si>
  <si>
    <t>Sustaining capital over LOM</t>
  </si>
  <si>
    <t>Salar de Olaroz (Allkem)</t>
  </si>
  <si>
    <t>expansion coming</t>
  </si>
  <si>
    <t>current and expansion towards 42.5 ktpa</t>
  </si>
  <si>
    <t>2.17;0.72;1.36</t>
  </si>
  <si>
    <t>pg 38, table 1-2</t>
  </si>
  <si>
    <t>659;592;609</t>
  </si>
  <si>
    <t>pg 45, table 1-5</t>
  </si>
  <si>
    <t>pg 44, table 1-3</t>
  </si>
  <si>
    <t>CAPEX, for stage 2 expansion</t>
  </si>
  <si>
    <t>DR Congo</t>
  </si>
  <si>
    <t>Manono-Kitotolo</t>
  </si>
  <si>
    <t>Hard Rock</t>
  </si>
  <si>
    <t>Permitting</t>
  </si>
  <si>
    <t>https://www.reuters.com/markets/commodities/chinas-zijin-gets-drc-licence-disputed-lithium-mine-2023-10-25/</t>
  </si>
  <si>
    <t>tonnes per year of Li2O</t>
  </si>
  <si>
    <t>6% Li2O</t>
  </si>
  <si>
    <t xml:space="preserve">pg 1 </t>
  </si>
  <si>
    <t>permitting</t>
  </si>
  <si>
    <t>Over 20</t>
  </si>
  <si>
    <t>% Li oxide</t>
  </si>
  <si>
    <t>pg 12</t>
  </si>
  <si>
    <t>Li Oxide (Mt)</t>
  </si>
  <si>
    <t>0.72;0.75</t>
  </si>
  <si>
    <t>1.62;1.54</t>
  </si>
  <si>
    <t>million tonnes Li Oxide</t>
  </si>
  <si>
    <t>107;162;131</t>
  </si>
  <si>
    <t>pg 11</t>
  </si>
  <si>
    <t>% Li2O</t>
  </si>
  <si>
    <t>1.68;1.63;1.66</t>
  </si>
  <si>
    <t>pg 6, table 4</t>
  </si>
  <si>
    <t>USD/tonne of SC6</t>
  </si>
  <si>
    <t>Spodumene Concentrate</t>
  </si>
  <si>
    <t>Operating cost, no royalty, 6% Li2O</t>
  </si>
  <si>
    <t>CAPEX</t>
  </si>
  <si>
    <t>McDermitt</t>
  </si>
  <si>
    <t>0;11.1;10.4</t>
  </si>
  <si>
    <t>indicated and inferred</t>
  </si>
  <si>
    <t>0;1420;1270</t>
  </si>
  <si>
    <t>China</t>
  </si>
  <si>
    <t>Qaidam Basin (All Projects)</t>
  </si>
  <si>
    <t>RFC Ambrian</t>
  </si>
  <si>
    <t xml:space="preserve"> Qaidam Basin includes Chaerhan Lake, East Taijinair, Qinghuai Yiliping, Qarhan Lake, West Taijinair, and Jintaier Lake</t>
  </si>
  <si>
    <t>Australia</t>
  </si>
  <si>
    <t>Greenbushes</t>
  </si>
  <si>
    <t>https://www.igo.com.au/site/operations/lithium-holdco-joint-venture</t>
  </si>
  <si>
    <t>million metric tonnes of Li2O</t>
  </si>
  <si>
    <t>based on mined ore, 9.5 Mtpa</t>
  </si>
  <si>
    <t>page 17</t>
  </si>
  <si>
    <t>in operation</t>
  </si>
  <si>
    <t>Mt (million) Li2O</t>
  </si>
  <si>
    <t>0.5;179.1</t>
  </si>
  <si>
    <t>3.2;2.0</t>
  </si>
  <si>
    <t>0.3;74.2;18.2</t>
  </si>
  <si>
    <t>page 12</t>
  </si>
  <si>
    <t>Central lobe and Tailing Storage Facility</t>
  </si>
  <si>
    <t>3.2;1.8;1</t>
  </si>
  <si>
    <t>pg 27</t>
  </si>
  <si>
    <t>USD2022/ t concentrate SC6</t>
  </si>
  <si>
    <t>A assumed to be australian dollar, conversion 2022: 0.6948 USD. 6% assumed for concentrate. Royalties not considered</t>
  </si>
  <si>
    <t>Salar de Maricunga</t>
  </si>
  <si>
    <t>Approved permits</t>
  </si>
  <si>
    <t>https://investingnews.com/maricunga-lithium-brine-project-status/</t>
  </si>
  <si>
    <t>pg 31</t>
  </si>
  <si>
    <t>in construction</t>
  </si>
  <si>
    <t>mg/L Li</t>
  </si>
  <si>
    <t>pg 30, table 1-5</t>
  </si>
  <si>
    <t>tonnes Li</t>
  </si>
  <si>
    <t>14000; 76000</t>
  </si>
  <si>
    <t>1024; 969</t>
  </si>
  <si>
    <t>154500;203500;0</t>
  </si>
  <si>
    <t>pg 29, table 1-3 and bottom of page</t>
  </si>
  <si>
    <t>measured+indicated</t>
  </si>
  <si>
    <t>968;939</t>
  </si>
  <si>
    <t>pg 44, table 1-8</t>
  </si>
  <si>
    <t>operating cost</t>
  </si>
  <si>
    <t>pg 43</t>
  </si>
  <si>
    <t>Capital expenditure</t>
  </si>
  <si>
    <t>TLC</t>
  </si>
  <si>
    <t>pg 2</t>
  </si>
  <si>
    <t>Mt. Holland/Earl Grey</t>
  </si>
  <si>
    <t>https://miningdataonline.com/property/3417/Mt.-Holland-Mine.aspx</t>
  </si>
  <si>
    <t>https://www.wesfarmers.com.au/docs/default-source/asx-announcements/kdr-registration-of-scheme-booklet.pdf?sfvrsn=13043ebb_0</t>
  </si>
  <si>
    <t>pg 36, 5.5% Li2O</t>
  </si>
  <si>
    <t>pg 56, case 1</t>
  </si>
  <si>
    <t>pg 32</t>
  </si>
  <si>
    <t>0.81 : 0.60</t>
  </si>
  <si>
    <t>1.5;1.5</t>
  </si>
  <si>
    <t>tonnes Li2O</t>
  </si>
  <si>
    <t>1042800;1611200;188700</t>
  </si>
  <si>
    <t>1.58;1.52;1.11</t>
  </si>
  <si>
    <t>pg 59, Table 4.2</t>
  </si>
  <si>
    <t>USD/t concentrate SC5.5</t>
  </si>
  <si>
    <t>4425 per ton LiOH refinery cost</t>
  </si>
  <si>
    <t>5.5% Li2O content, case 1</t>
  </si>
  <si>
    <t>pg 60, table 4.3</t>
  </si>
  <si>
    <t>Clayton Valley (Century)</t>
  </si>
  <si>
    <t>https://miningdataonline.com/property/3092/Clayton-Valley.aspx</t>
  </si>
  <si>
    <t>million kg LCE per year</t>
  </si>
  <si>
    <t>considered reoovery rate of 83%</t>
  </si>
  <si>
    <t>pg 20</t>
  </si>
  <si>
    <t>Feasibility study</t>
  </si>
  <si>
    <t>pg 16, Table 1-2</t>
  </si>
  <si>
    <t>million kg Li</t>
  </si>
  <si>
    <t>0; 240.9</t>
  </si>
  <si>
    <t>0; 1129</t>
  </si>
  <si>
    <t>0;1179.9;179.6</t>
  </si>
  <si>
    <t>pg 15, Table 1-1</t>
  </si>
  <si>
    <t>indicated + inferred, at 904.7;759.6</t>
  </si>
  <si>
    <t>0;904.7;759.6</t>
  </si>
  <si>
    <t>pg 19</t>
  </si>
  <si>
    <t>USD2020 million</t>
  </si>
  <si>
    <t>Pilgangoora</t>
  </si>
  <si>
    <t>dmt (metric tons) spodumene concentrate, assuming 6% Li2O concentrated</t>
  </si>
  <si>
    <t>pg 30</t>
  </si>
  <si>
    <t>active</t>
  </si>
  <si>
    <t>pg 34, Table 7, calculated</t>
  </si>
  <si>
    <t>million tonnes Li2O</t>
  </si>
  <si>
    <t>19.1;195.1</t>
  </si>
  <si>
    <t>1.32;1.18</t>
  </si>
  <si>
    <t>22.1,315.2,76.6</t>
  </si>
  <si>
    <t>pg 34, Table 5</t>
  </si>
  <si>
    <t>Calculated based on 1.15% Li2O</t>
  </si>
  <si>
    <t>1.34;1.15;1.07</t>
  </si>
  <si>
    <t>USD2022/ t spodumene at 5.3%</t>
  </si>
  <si>
    <t>assuming 6% content</t>
  </si>
  <si>
    <t>Salar del Rincon (Rio Tinto)</t>
  </si>
  <si>
    <t>ktpa LCE</t>
  </si>
  <si>
    <t>In progress?</t>
  </si>
  <si>
    <t>https://finance.yahoo.com/news/enirgi-group-announces-positive-results-180919697.html</t>
  </si>
  <si>
    <t>million tonnes LCE</t>
  </si>
  <si>
    <t>0;1.2</t>
  </si>
  <si>
    <t>1.1;2.4;4.8</t>
  </si>
  <si>
    <t>https://www.argentina.gob.ar/sites/default/files/portfolio_lithium_feb2023_1_0.pdf</t>
  </si>
  <si>
    <t>USD million</t>
  </si>
  <si>
    <t>Wodgina</t>
  </si>
  <si>
    <t>http://clients3.weblink.com.au/pdf/MIN/02037855.pdf</t>
  </si>
  <si>
    <t>spoudemen 6%</t>
  </si>
  <si>
    <t>active, it seems</t>
  </si>
  <si>
    <t>pg 19, Table 7, calculated</t>
  </si>
  <si>
    <t>0;152</t>
  </si>
  <si>
    <t>0;1.17</t>
  </si>
  <si>
    <t>0;197;62</t>
  </si>
  <si>
    <t>pg 2, Table 2 and 3</t>
  </si>
  <si>
    <t>indicated, inferred; Li grade 1.19</t>
  </si>
  <si>
    <t>0;1.18,1.19</t>
  </si>
  <si>
    <t>Canada</t>
  </si>
  <si>
    <t>Root</t>
  </si>
  <si>
    <t>https://wcsecure.weblink.com.au/pdf/GT1/02660649.pdf</t>
  </si>
  <si>
    <t>Lithium One</t>
  </si>
  <si>
    <t>0;0;12.6</t>
  </si>
  <si>
    <t>0;0;1.21</t>
  </si>
  <si>
    <t>Afghanistan</t>
  </si>
  <si>
    <t>Nuristan</t>
  </si>
  <si>
    <t>Centenario Ratones</t>
  </si>
  <si>
    <t>https://miningdataonline.com/property/2069/Centenario-Ratones.aspx</t>
  </si>
  <si>
    <t>kt LCE per year</t>
  </si>
  <si>
    <t>pg 84</t>
  </si>
  <si>
    <t>12180; 196620</t>
  </si>
  <si>
    <t>460; 436</t>
  </si>
  <si>
    <t>kt LCE</t>
  </si>
  <si>
    <t>2023;3226;4689</t>
  </si>
  <si>
    <t>As of 1 January 2021</t>
  </si>
  <si>
    <t>409;380;312</t>
  </si>
  <si>
    <t>https://www.eramet.com/wp-content/uploads/2023/04/2023-03-08-Eramet_Centenario_Investors-Presentation.pdf</t>
  </si>
  <si>
    <t>cash cost (ex-works), direct lithium extraction</t>
  </si>
  <si>
    <t>Zeus (Noram)</t>
  </si>
  <si>
    <t>Economic assessment</t>
  </si>
  <si>
    <t>https://miningdataonline.com/property/1137/Zeus.aspx</t>
  </si>
  <si>
    <t>On average</t>
  </si>
  <si>
    <t>pg 107</t>
  </si>
  <si>
    <t>99917;872162;204678</t>
  </si>
  <si>
    <t>pg 11, Zeus 2023</t>
  </si>
  <si>
    <t>400 ppm cut-off</t>
  </si>
  <si>
    <t>860;951;871</t>
  </si>
  <si>
    <t>pg 108</t>
  </si>
  <si>
    <t>Operating cost</t>
  </si>
  <si>
    <t>pg 100</t>
  </si>
  <si>
    <t>Salar de Cauchari (Allkem)</t>
  </si>
  <si>
    <t>Feasibility</t>
  </si>
  <si>
    <t>https://miningdataonline.com/property/3370/Cauchari.aspx</t>
  </si>
  <si>
    <t>Ramp in 4 years</t>
  </si>
  <si>
    <t>feasibility</t>
  </si>
  <si>
    <t>pg 30, table 1-3</t>
  </si>
  <si>
    <t>kt Li</t>
  </si>
  <si>
    <t>43;169</t>
  </si>
  <si>
    <t>571;485</t>
  </si>
  <si>
    <t>0.345;0.490;0.285</t>
  </si>
  <si>
    <t>pg 29, table 1-2</t>
  </si>
  <si>
    <t>527;452;473</t>
  </si>
  <si>
    <t>pg 36, table 1-6</t>
  </si>
  <si>
    <t>pg 35, table 1-4</t>
  </si>
  <si>
    <t>Salar del Hombre Muerto (Livent)</t>
  </si>
  <si>
    <t>First expansion to 40k, expasion 100kt by 2030</t>
  </si>
  <si>
    <t>pg 1-1</t>
  </si>
  <si>
    <t>pg 1-7</t>
  </si>
  <si>
    <t>153000;578000</t>
  </si>
  <si>
    <t>523000;805000;892000</t>
  </si>
  <si>
    <t>pg 1-5, and Table 11-2 for grade</t>
  </si>
  <si>
    <t>645;779;892</t>
  </si>
  <si>
    <t>pg 18-3</t>
  </si>
  <si>
    <t>Original is in USD/kg</t>
  </si>
  <si>
    <t>this appears as sal de vida project in many report</t>
  </si>
  <si>
    <t>Sal de Vida</t>
  </si>
  <si>
    <t>https://miningdataonline.com/property/3228/Sal-de-Vida.aspx</t>
  </si>
  <si>
    <t>tpa LCE</t>
  </si>
  <si>
    <t>pg 24; 45000 productin by ??</t>
  </si>
  <si>
    <t>Mt (million) Li</t>
  </si>
  <si>
    <t>0.084; 0.383</t>
  </si>
  <si>
    <t>799; 748</t>
  </si>
  <si>
    <t>https://www.goldmansachs.com/intelligence/pages/gs-research/direct-lithium-extraction/report.pdf</t>
  </si>
  <si>
    <t>0.66;0.56;0.12</t>
  </si>
  <si>
    <t>pg 29</t>
  </si>
  <si>
    <t>752;742;556</t>
  </si>
  <si>
    <t>pg 42</t>
  </si>
  <si>
    <t>US M</t>
  </si>
  <si>
    <t>capex</t>
  </si>
  <si>
    <t>Mariana</t>
  </si>
  <si>
    <t>https://miningdataonline.com/property/3462/Mariana.aspx</t>
  </si>
  <si>
    <t>tonnes LiCl/year</t>
  </si>
  <si>
    <t>pg 14</t>
  </si>
  <si>
    <t>https://www.argentina.gob.ar/sites/default/files/portfolio_lithium_2024.pptx.pdf</t>
  </si>
  <si>
    <t>Kathleen Valley</t>
  </si>
  <si>
    <t>https://miningdataonline.com/property/3252/Kathleen-Valley.aspx</t>
  </si>
  <si>
    <t>33581;883662</t>
  </si>
  <si>
    <t>1.3; 1.34</t>
  </si>
  <si>
    <t>0.26;1.53;0.35</t>
  </si>
  <si>
    <t>measured;indicated;inferred</t>
  </si>
  <si>
    <t>1.3;1.4;1.3</t>
  </si>
  <si>
    <t>Czech Republic</t>
  </si>
  <si>
    <t>Cinovec</t>
  </si>
  <si>
    <t>https://miningdataonline.com/property/1061/Cinovec.aspx</t>
  </si>
  <si>
    <t>ton Li2O / annum</t>
  </si>
  <si>
    <t>0.65;3.88;2.87</t>
  </si>
  <si>
    <t>For grade: https://www.europeanmet.com/wp-content/uploads/EMH-Cinovec-Resource-Estimation-AIM-131021.pdf</t>
  </si>
  <si>
    <t>0.48;0.44;0.39</t>
  </si>
  <si>
    <t>pg 22</t>
  </si>
  <si>
    <t>USD/tonne SC 6%</t>
  </si>
  <si>
    <t>3103 per ton LiOH refinery cost</t>
  </si>
  <si>
    <t>No credit</t>
  </si>
  <si>
    <t>Mexico</t>
  </si>
  <si>
    <t>Sonora</t>
  </si>
  <si>
    <t>https://miningdataonline.com/property/3218/Sonora.aspx</t>
  </si>
  <si>
    <t>tones LCE per year</t>
  </si>
  <si>
    <t>Current, it seems</t>
  </si>
  <si>
    <t>pg 103</t>
  </si>
  <si>
    <t>0;2083</t>
  </si>
  <si>
    <t>3224; 2516</t>
  </si>
  <si>
    <t>0;4463;2740</t>
  </si>
  <si>
    <t>0;3200;3200</t>
  </si>
  <si>
    <t>pg 104</t>
  </si>
  <si>
    <t>Pastos Grandes (Lithium Americas)</t>
  </si>
  <si>
    <t>https://miningdataonline.com/property/3194/Pastos-Grandes.aspx</t>
  </si>
  <si>
    <t>https://www.millenniallithium.com/_resources/factsheets/fact-sheet.pdf?v=0.468</t>
  </si>
  <si>
    <t>tpy LCE</t>
  </si>
  <si>
    <t>Permitting (do 2025)</t>
  </si>
  <si>
    <t>Li tonnes</t>
  </si>
  <si>
    <t>34000; 177000</t>
  </si>
  <si>
    <t>470; 431</t>
  </si>
  <si>
    <t>2.05;2.05;0.798</t>
  </si>
  <si>
    <t>Measured and indicated, but no detail, so I assumed 50/50</t>
  </si>
  <si>
    <t>Tres Quebradas</t>
  </si>
  <si>
    <t>https://miningdataonline.com/property/3429/3Q-(Tres-Quebradas).aspx</t>
  </si>
  <si>
    <t>2;2;3</t>
  </si>
  <si>
    <t>Measured+indicated=4, inferred=3</t>
  </si>
  <si>
    <t>cash operating costs, opex</t>
  </si>
  <si>
    <t>initial capital expenditure</t>
  </si>
  <si>
    <t>Serbia</t>
  </si>
  <si>
    <t>Jadar</t>
  </si>
  <si>
    <t>Suspended</t>
  </si>
  <si>
    <t>https://miningdataonline.com/property/1395/Jadar.aspx</t>
  </si>
  <si>
    <t>https://www.riotinto.com/-/media/Content/Documents/Invest/Reserves-and-resources/2021/RT-Jadar-reserves-resources-2021.pdf?rev=e1220b9671424ad9b275dd6bdd2ed480</t>
  </si>
  <si>
    <t>Revoked permits</t>
  </si>
  <si>
    <t>pg 2, Table B, calculated</t>
  </si>
  <si>
    <t>0; 16.6</t>
  </si>
  <si>
    <t>0; 1.81</t>
  </si>
  <si>
    <t>0;85.4; 58.1</t>
  </si>
  <si>
    <t>pg 2, Table A</t>
  </si>
  <si>
    <t>Indicated and inferred, %Li2o 1.80, calculated</t>
  </si>
  <si>
    <t>0;1.76;1.87</t>
  </si>
  <si>
    <t>Germany</t>
  </si>
  <si>
    <t>Upper Rhine Valley</t>
  </si>
  <si>
    <t>Other (Geothermal)</t>
  </si>
  <si>
    <t>Pilot plant</t>
  </si>
  <si>
    <t>https://v-er.eu/pilot-plants/</t>
  </si>
  <si>
    <t>tpa of Lithium Hydroxide monohydrate</t>
  </si>
  <si>
    <t>Over 30 years</t>
  </si>
  <si>
    <t>Rhine phase one web</t>
  </si>
  <si>
    <t>318;251</t>
  </si>
  <si>
    <t>2112;9137;16484</t>
  </si>
  <si>
    <t>181;178;172</t>
  </si>
  <si>
    <t>USD/tonne LHM (LiOH.H2O)</t>
  </si>
  <si>
    <t>LiOH</t>
  </si>
  <si>
    <t>conversion from euro to dollars</t>
  </si>
  <si>
    <t>Beaverhill</t>
  </si>
  <si>
    <t>Other (Oilfield)</t>
  </si>
  <si>
    <t>Salar del Hombre Muerto (POSCO)</t>
  </si>
  <si>
    <t>http://www.poscoargentina.com/</t>
  </si>
  <si>
    <t>Posco Holdings</t>
  </si>
  <si>
    <t>Both phases</t>
  </si>
  <si>
    <t>13517;0;0</t>
  </si>
  <si>
    <t>Assumed equal to reserves
OLD Ref: https://www.aspecthuntley.com.au/asxdata/20230405/pdf/02651733.pdf pg 27</t>
  </si>
  <si>
    <t>Arkansas</t>
  </si>
  <si>
    <t>Smackover LANXESS</t>
  </si>
  <si>
    <t>Utah</t>
  </si>
  <si>
    <t>Great Salt Lake</t>
  </si>
  <si>
    <t>tonne Li</t>
  </si>
  <si>
    <t>0;0;439389</t>
  </si>
  <si>
    <t>measured</t>
  </si>
  <si>
    <t>mg/L Li concentrate</t>
  </si>
  <si>
    <t>Fox Creek</t>
  </si>
  <si>
    <t>0;0;43415</t>
  </si>
  <si>
    <t>inferred</t>
  </si>
  <si>
    <t>mg/L Li concentration</t>
  </si>
  <si>
    <t>0;0;72</t>
  </si>
  <si>
    <t>Pozuelos-Pastos Grandes (Pluspetrol)</t>
  </si>
  <si>
    <t>https://miningdataonline.com/property/3461/Pozuelos-Pastos-Grandes.aspx</t>
  </si>
  <si>
    <t>https://www.miningnewsfeed.com/reports/PozuelosPastosGrandes_PEA_01172019.pdf</t>
  </si>
  <si>
    <t>ton Li</t>
  </si>
  <si>
    <t>348.09;143.335;176.36</t>
  </si>
  <si>
    <t>pg 14, for Pozuelos and Pastos Grandes concession</t>
  </si>
  <si>
    <t>467;544;501</t>
  </si>
  <si>
    <t>pg 17</t>
  </si>
  <si>
    <t>Mali</t>
  </si>
  <si>
    <t>Goulamina</t>
  </si>
  <si>
    <t>https://miningdataonline.com/property/4570/Goulamina.aspx</t>
  </si>
  <si>
    <t>ASX announcement</t>
  </si>
  <si>
    <t>tonnes of LI2O</t>
  </si>
  <si>
    <t>original is spodumene(2nd stage 831000), 6% Li2O concentration</t>
  </si>
  <si>
    <t>pg 3 and 4</t>
  </si>
  <si>
    <t>Over 21</t>
  </si>
  <si>
    <t>% Lithium oxide</t>
  </si>
  <si>
    <t>mt of Li2O</t>
  </si>
  <si>
    <t>125000; 660000</t>
  </si>
  <si>
    <t>1.55; 1.50</t>
  </si>
  <si>
    <t>million mt Li2O</t>
  </si>
  <si>
    <t>133;832;606</t>
  </si>
  <si>
    <t>measured, indicated and inferred at 1.45 %</t>
  </si>
  <si>
    <t>1.5;1.48;1.38</t>
  </si>
  <si>
    <t>pg 3</t>
  </si>
  <si>
    <t>original is spodudeme</t>
  </si>
  <si>
    <t>pg 3 and 12</t>
  </si>
  <si>
    <t>stage 2 is 70</t>
  </si>
  <si>
    <t>Hombre Muerto West (Galan)</t>
  </si>
  <si>
    <t>https://miningdataonline.com/property/772/Hombre-Muerto-West-(HMW).aspx</t>
  </si>
  <si>
    <t>Start at 2026, reach goal at 2028</t>
  </si>
  <si>
    <t>pg 15</t>
  </si>
  <si>
    <t>17.8;52.4</t>
  </si>
  <si>
    <t>901.6;886.9</t>
  </si>
  <si>
    <t>890;185;161</t>
  </si>
  <si>
    <t>873;904;887</t>
  </si>
  <si>
    <t>Steady state average cash cost of production, phase 1 5.37ktpa</t>
  </si>
  <si>
    <t>Initial capital cost, no contingency, phase 1 5.37ktpa</t>
  </si>
  <si>
    <t>North Carolina</t>
  </si>
  <si>
    <t>Kings Mountain/Bessemer City</t>
  </si>
  <si>
    <t>https://albemarlekingsmountain.com/storage/components/alb_fact_sheet_final_1.pdf</t>
  </si>
  <si>
    <t>development</t>
  </si>
  <si>
    <t>kt Li2O</t>
  </si>
  <si>
    <t>0;46816;42869</t>
  </si>
  <si>
    <t>indicated and inferred, 1.37% and 1.1%</t>
  </si>
  <si>
    <t>0;1.37;1.1</t>
  </si>
  <si>
    <t>Barraute</t>
  </si>
  <si>
    <t>La Corne(sayona)</t>
  </si>
  <si>
    <t>(spodumene conc. @ 6%)</t>
  </si>
  <si>
    <t>10.9;269.4</t>
  </si>
  <si>
    <t xml:space="preserve">0.92;0.96 </t>
  </si>
  <si>
    <t>ton Li2O</t>
  </si>
  <si>
    <t>14600;762200;304200</t>
  </si>
  <si>
    <t>measured;indicated;inferred % Li2O</t>
  </si>
  <si>
    <t>0.99,1.1,1.08</t>
  </si>
  <si>
    <t>pg 23</t>
  </si>
  <si>
    <t>USD/tonne SC  6%</t>
  </si>
  <si>
    <t>OPEX, assuming 6% Li2O</t>
  </si>
  <si>
    <t>pg 21, 22</t>
  </si>
  <si>
    <t>Initial CAPEX+Sustaining CAPEX), converted from $A to USD based on ratios of pg 3</t>
  </si>
  <si>
    <t>Yichun 414</t>
  </si>
  <si>
    <t>not indicated</t>
  </si>
  <si>
    <t>measured and indicated</t>
  </si>
  <si>
    <t>Zimbabwe</t>
  </si>
  <si>
    <t>Arcadia</t>
  </si>
  <si>
    <t>https://miningdataonline.com/property/3231/Arcadia.aspx</t>
  </si>
  <si>
    <t>ktpa Li2O</t>
  </si>
  <si>
    <t>(spodumene conc. @ 6%), technical petalite @4% and chemical petalite @4%</t>
  </si>
  <si>
    <t>pg 1, 7 and 9 for grades</t>
  </si>
  <si>
    <t>11.8;30.5</t>
  </si>
  <si>
    <t>1.25;1.17</t>
  </si>
  <si>
    <t>15.8;45.6;11.2</t>
  </si>
  <si>
    <t>1.12;1.06;0.99</t>
  </si>
  <si>
    <t>USD/ tonne SC 6%</t>
  </si>
  <si>
    <t>C1 Operating Cost, 6% assumed</t>
  </si>
  <si>
    <t>Capital Csts</t>
  </si>
  <si>
    <t>California</t>
  </si>
  <si>
    <t>Salton Sea (All)</t>
  </si>
  <si>
    <t>760;2600;3400</t>
  </si>
  <si>
    <t>198;198;198</t>
  </si>
  <si>
    <t>Brazil</t>
  </si>
  <si>
    <t>Grota de Cirilo ( Xuxa)</t>
  </si>
  <si>
    <t>https://miningdataonline.com/property/1255/Grota-do-Cirilo-Phase-1---Xuxa.aspx</t>
  </si>
  <si>
    <t>Phase 1: Xuxa @ 5.2%</t>
  </si>
  <si>
    <t>pg 48</t>
  </si>
  <si>
    <t>319.7;131.8</t>
  </si>
  <si>
    <t>1.55;1.54</t>
  </si>
  <si>
    <t>400.8;266.1;148.6</t>
  </si>
  <si>
    <t>pg 33</t>
  </si>
  <si>
    <t>1.59;1.49;1.58</t>
  </si>
  <si>
    <t>pg 48, table 1-18</t>
  </si>
  <si>
    <t>OPEX, using 5.2% Li2O</t>
  </si>
  <si>
    <t>pg 45</t>
  </si>
  <si>
    <t>Silver Peak</t>
  </si>
  <si>
    <t>Russia</t>
  </si>
  <si>
    <t>Kolmorzerskoe</t>
  </si>
  <si>
    <t>Kamativi</t>
  </si>
  <si>
    <t>https://miningdataonline.com/property/309/Grota-do-Cirilo-Phase-2---Barreiro.aspx</t>
  </si>
  <si>
    <t>James Bay</t>
  </si>
  <si>
    <t>Design</t>
  </si>
  <si>
    <t>https://jamesbay.allkem.co/en/project-2/</t>
  </si>
  <si>
    <t>kilo tonne per Annum of Li2O</t>
  </si>
  <si>
    <t>(spodumene conc. of  6% Li2O)</t>
  </si>
  <si>
    <t>Design phase, environmental declaration accepted</t>
  </si>
  <si>
    <t>('000)t Lthium oxide</t>
  </si>
  <si>
    <t>0 ; 483.7</t>
  </si>
  <si>
    <t>0 ; 1.3</t>
  </si>
  <si>
    <t>('000)t Litium oxide</t>
  </si>
  <si>
    <t>0;564.2;0</t>
  </si>
  <si>
    <t>indicated only</t>
  </si>
  <si>
    <t>0;1.4;0</t>
  </si>
  <si>
    <t>OPEX (from concentrate</t>
  </si>
  <si>
    <t>Whabouchi</t>
  </si>
  <si>
    <t>https://miningdataonline.com/property/1684/Whabouchi.aspx</t>
  </si>
  <si>
    <t>Mt (million) of Li2O</t>
  </si>
  <si>
    <t>Ethiopia</t>
  </si>
  <si>
    <t>Kenticha</t>
  </si>
  <si>
    <t>Smackover SWA</t>
  </si>
  <si>
    <t>Maine</t>
  </si>
  <si>
    <t>Plumbago North</t>
  </si>
  <si>
    <t>Hombre Muerto North (Lithium South)</t>
  </si>
  <si>
    <t>https://miningdataonline.com/property/4589/Hombre-Muerto-North-(HMN).aspx</t>
  </si>
  <si>
    <t>https://www.lithiumsouth.com/wp-content/uploads/HMN-Final-Report-190808.pdf</t>
  </si>
  <si>
    <t>https://www.lithiumsouth.com/projects/</t>
  </si>
  <si>
    <t>274800;22600;0</t>
  </si>
  <si>
    <t>746;712;0</t>
  </si>
  <si>
    <t>Rhyolite Ridge</t>
  </si>
  <si>
    <t>https://miningdataonline.com/property/4697/Rhyolite-Ridge.aspx</t>
  </si>
  <si>
    <t xml:space="preserve">tpa of Lithium Hydroxide </t>
  </si>
  <si>
    <t>pg 7, calculated</t>
  </si>
  <si>
    <t>29;31.3</t>
  </si>
  <si>
    <t>1899;1702</t>
  </si>
  <si>
    <t>39;88.9;19.5</t>
  </si>
  <si>
    <t>measured,indicated,inferred</t>
  </si>
  <si>
    <t>1700;1550;1600</t>
  </si>
  <si>
    <t>pg 38</t>
  </si>
  <si>
    <t>CAPEX direct cost</t>
  </si>
  <si>
    <t>Jiajika</t>
  </si>
  <si>
    <t>Diablillios/Sal de Los Angeles</t>
  </si>
  <si>
    <t>https://lithium-x.com/sal-de-los-angeles/</t>
  </si>
  <si>
    <t>development stage</t>
  </si>
  <si>
    <t>(1000) Li (t)</t>
  </si>
  <si>
    <t>0;0;930</t>
  </si>
  <si>
    <t>inferred only</t>
  </si>
  <si>
    <t>0;0;556</t>
  </si>
  <si>
    <t>PAK/Spark</t>
  </si>
  <si>
    <t>https://miningdataonline.com/property/3091/PAK.aspx</t>
  </si>
  <si>
    <t>Mt(million) Li2O</t>
  </si>
  <si>
    <t>0;22.1</t>
  </si>
  <si>
    <t>0;1.55</t>
  </si>
  <si>
    <t>28790;392559;459703</t>
  </si>
  <si>
    <t>pg 5,6, for PAK open pit and underground and SPARK open pit</t>
  </si>
  <si>
    <t>(measured;indicated;Inferred)PAK;(indicated;inferred)SPARK(2.14;2.04;2.18;1.52;1.34)%Li2O</t>
  </si>
  <si>
    <t>2.14;1.52;1.34</t>
  </si>
  <si>
    <t>CAPEX stage 1</t>
  </si>
  <si>
    <t>Kachi</t>
  </si>
  <si>
    <t>https://miningdataonline.com/property/1345/Kachi.aspx</t>
  </si>
  <si>
    <t>pg 58</t>
  </si>
  <si>
    <t>32100;85400</t>
  </si>
  <si>
    <t>257;245</t>
  </si>
  <si>
    <t>3;4.3;3.3</t>
  </si>
  <si>
    <t>pg 39</t>
  </si>
  <si>
    <t>measured, indicated and inferred</t>
  </si>
  <si>
    <t>pg 96</t>
  </si>
  <si>
    <t>pg 110</t>
  </si>
  <si>
    <t>CAPEX initial</t>
  </si>
  <si>
    <t>Peru</t>
  </si>
  <si>
    <t>Falchani</t>
  </si>
  <si>
    <t>Other (Volcanic Rock)</t>
  </si>
  <si>
    <t>https://miningdataonline.com/property/4542/Falchani.aspx</t>
  </si>
  <si>
    <t>https://plateauenergymetals.com/wp-content/uploads/2019/04/43-101-Falchani-Project-20190418_final.pdf</t>
  </si>
  <si>
    <t xml:space="preserve">0;0.96;3.75 </t>
  </si>
  <si>
    <t xml:space="preserve">indicated and inferred </t>
  </si>
  <si>
    <t>0;2954;2706</t>
  </si>
  <si>
    <t>Spain</t>
  </si>
  <si>
    <t>San Jose/Valdeflores</t>
  </si>
  <si>
    <t>https://miningdataonline.com/property/4503/San-Jose.aspx</t>
  </si>
  <si>
    <t>https://cdn-api.markitdigital.com/apiman-gateway/ASX/asx-research/1.0/file/2924-02341637-6A1020404?access_token=83ff96335c2d45a094df02a206a39ff4</t>
  </si>
  <si>
    <t>ktpa Lithium Hydroxide</t>
  </si>
  <si>
    <t>pg 7, see figure</t>
  </si>
  <si>
    <t>0;100</t>
  </si>
  <si>
    <t>0;0.17;0.14</t>
  </si>
  <si>
    <t>indicated and inferred (0.29;0.27)%Li</t>
  </si>
  <si>
    <t>0;0.63;0.59</t>
  </si>
  <si>
    <t>USD/tonne LiOH</t>
  </si>
  <si>
    <t>CAPEX Initial</t>
  </si>
  <si>
    <t>Ghana</t>
  </si>
  <si>
    <t>Ewoyaa</t>
  </si>
  <si>
    <t>https://miningdataonline.com/property/893/Ewoyaa.aspx</t>
  </si>
  <si>
    <t>tpa Li2O</t>
  </si>
  <si>
    <t>spoudeme, 6% assumed Li2O</t>
  </si>
  <si>
    <t>pg 8, calculated</t>
  </si>
  <si>
    <t>0; 25.6</t>
  </si>
  <si>
    <t>0; 1.22</t>
  </si>
  <si>
    <t>3.5; 24.5; 7.4</t>
  </si>
  <si>
    <t>1.37;1.25;1.116</t>
  </si>
  <si>
    <t>6% Li2O assumed, cash costs after secondary credits</t>
  </si>
  <si>
    <t>development cost</t>
  </si>
  <si>
    <t>Rose</t>
  </si>
  <si>
    <t>https://miningdataonline.com/property/1683/Rose-Project.aspx</t>
  </si>
  <si>
    <t>based on spoduemde and concentration</t>
  </si>
  <si>
    <t>% Lithium Oxide</t>
  </si>
  <si>
    <t>pg 4 Table 2</t>
  </si>
  <si>
    <t>(000)t Lithium Oxide</t>
  </si>
  <si>
    <t>0; 193.8</t>
  </si>
  <si>
    <t>0; 0.87</t>
  </si>
  <si>
    <t>0;284217;18595</t>
  </si>
  <si>
    <t>see Table 3</t>
  </si>
  <si>
    <t>Indicated and Inferred, calculated with %</t>
  </si>
  <si>
    <t>0;0.93;0.78</t>
  </si>
  <si>
    <t>pg 1 Table 5</t>
  </si>
  <si>
    <t>(6.16% assumed)</t>
  </si>
  <si>
    <t>pg 1 Table 4</t>
  </si>
  <si>
    <t>initial capital</t>
  </si>
  <si>
    <t>Namibia</t>
  </si>
  <si>
    <t>Karibib</t>
  </si>
  <si>
    <t>Restarting</t>
  </si>
  <si>
    <t>https://miningdataonline.com/property/3345/Karibib.aspx</t>
  </si>
  <si>
    <t>Carolina Lithium</t>
  </si>
  <si>
    <t>https://miningdataonline.com/property/4574/Carolina-Lithium.aspx</t>
  </si>
  <si>
    <t>https://piedmontlithium.com/piedmont-increases-mineral-resources-with-completion-of-phase-5-infill-drilling/</t>
  </si>
  <si>
    <t>Piedmont Lithium</t>
  </si>
  <si>
    <t>LiOH converted to Li2O, because they produce both LiOH and spodueme @6%</t>
  </si>
  <si>
    <t>Table 1, Integrated project</t>
  </si>
  <si>
    <t>0;13.9;14</t>
  </si>
  <si>
    <t>Table 13</t>
  </si>
  <si>
    <t>Indicated and inferred, at 1.16% and 1.06%</t>
  </si>
  <si>
    <t>0;1.16;1.06</t>
  </si>
  <si>
    <t>table 1</t>
  </si>
  <si>
    <t>$2371 from SC6 to LiOH, per ton</t>
  </si>
  <si>
    <t>Cost are for integrated project</t>
  </si>
  <si>
    <t>Table 1</t>
  </si>
  <si>
    <t>Capital cost, including contingency</t>
  </si>
  <si>
    <t>Mt. Marion</t>
  </si>
  <si>
    <t>https://minedocs.com/21/MtMarion_MR_update_10312018.pdf</t>
  </si>
  <si>
    <t>0;0.304;0.672</t>
  </si>
  <si>
    <t>(indicated and inferred) 1.34;1.38)% Li2O</t>
  </si>
  <si>
    <t>0;1.34;1.38</t>
  </si>
  <si>
    <t>Zavantinskoe</t>
  </si>
  <si>
    <t>Ulug-Tanzek</t>
  </si>
  <si>
    <t>Urikskoe</t>
  </si>
  <si>
    <t>Goltsovoe/Goltsovoya</t>
  </si>
  <si>
    <t>Polmostundrovskoe</t>
  </si>
  <si>
    <t>Yellowknife</t>
  </si>
  <si>
    <t>Candelas</t>
  </si>
  <si>
    <t>https://miningdataonline.com/property/1501/Candelas.aspx</t>
  </si>
  <si>
    <t>0;167;0</t>
  </si>
  <si>
    <t>pg 7, table 2</t>
  </si>
  <si>
    <t>indicated</t>
  </si>
  <si>
    <t>0;672;0</t>
  </si>
  <si>
    <t>cash production cost</t>
  </si>
  <si>
    <t>initial capital cost</t>
  </si>
  <si>
    <t>Uis</t>
  </si>
  <si>
    <t>https://polaris.brighterir.com/public/andrada_mining/news/rns/story/x4g8q3x</t>
  </si>
  <si>
    <t>147000;125000;315000</t>
  </si>
  <si>
    <t>0.72;0.73;0.73</t>
  </si>
  <si>
    <t>Zinnwald</t>
  </si>
  <si>
    <t>https://miningdataonline.com/property/4502/Zinnwald.aspx</t>
  </si>
  <si>
    <t>39;390;71</t>
  </si>
  <si>
    <t>pg 2,3</t>
  </si>
  <si>
    <t>0.736;0.461;0.461</t>
  </si>
  <si>
    <t>Authier/La Motte/Colombe</t>
  </si>
  <si>
    <t>https://miningdataonline.com/property/1682/Authier.aspx</t>
  </si>
  <si>
    <t>57.6;50.7</t>
  </si>
  <si>
    <t>0.93;1</t>
  </si>
  <si>
    <t>59200;83400;30000</t>
  </si>
  <si>
    <t>0.98;1.03;1</t>
  </si>
  <si>
    <t>Moblan</t>
  </si>
  <si>
    <t>0.07;0.08</t>
  </si>
  <si>
    <t>1.57;1.27</t>
  </si>
  <si>
    <t>0.2;0.09;0.05</t>
  </si>
  <si>
    <t>1.4;1.27;1.33</t>
  </si>
  <si>
    <t>Portugal</t>
  </si>
  <si>
    <t>Mina Do Barroso</t>
  </si>
  <si>
    <t>https://miningdataonline.com/property/4501/Mina-do-Barroso.aspx</t>
  </si>
  <si>
    <t>71600;119800;102000</t>
  </si>
  <si>
    <t>measured ;indicated ;inferred</t>
  </si>
  <si>
    <t>1.1;1.0;1.1</t>
  </si>
  <si>
    <t>Separation Rapids</t>
  </si>
  <si>
    <t>https://miningdataonline.com/property/305/Separation-Rapids.aspx</t>
  </si>
  <si>
    <t>On development</t>
  </si>
  <si>
    <t>Mt (million) Lithium Oxide</t>
  </si>
  <si>
    <t>4.28;5.8;2.81</t>
  </si>
  <si>
    <t>https://www.avalonadvancedmaterials.com/lithium-mining</t>
  </si>
  <si>
    <t>1.33;1.36;1.38</t>
  </si>
  <si>
    <t>Finland</t>
  </si>
  <si>
    <t>Ostrobothnia (All Projects)</t>
  </si>
  <si>
    <t>pg 148</t>
  </si>
  <si>
    <t>% Li</t>
  </si>
  <si>
    <t>pg xiv</t>
  </si>
  <si>
    <t>85.4;108.2</t>
  </si>
  <si>
    <t>0.5;0.4</t>
  </si>
  <si>
    <t>98.9; 194.3; 57.1</t>
  </si>
  <si>
    <t>0.5;0.5;0.4</t>
  </si>
  <si>
    <t>pg xviii</t>
  </si>
  <si>
    <t>USD/tonne SC 5.5%</t>
  </si>
  <si>
    <t>$2606 (2473*1.0538) USD/ton LiOH</t>
  </si>
  <si>
    <t>LOM, no royalties, converted from Eur to USD in 2022 (1 eur = 1.0538USD)</t>
  </si>
  <si>
    <t>pg xvi</t>
  </si>
  <si>
    <t>initial CAPEX</t>
  </si>
  <si>
    <t>Bougouni</t>
  </si>
  <si>
    <t>https://kodalminerals.com/wp-content/uploads/2020/08/KOD-Company-Update-26-May-2020-SBP-d2-1.pdf</t>
  </si>
  <si>
    <t>tonnes Li2O per annum</t>
  </si>
  <si>
    <t>tonnes of 6% spodumene conc. per annum</t>
  </si>
  <si>
    <t>over 8.5</t>
  </si>
  <si>
    <t>0;129;207.1</t>
  </si>
  <si>
    <t>indicated and inferred, grade 1.12 and 1.02</t>
  </si>
  <si>
    <t>0;1.12;1.02</t>
  </si>
  <si>
    <t>USD/tonne of concentrate 6%</t>
  </si>
  <si>
    <t>Stage 1, @6% Li2O assumed</t>
  </si>
  <si>
    <t>CAPEX, stage 1</t>
  </si>
  <si>
    <t>Bikita</t>
  </si>
  <si>
    <t>grade is 4-6% Li2O</t>
  </si>
  <si>
    <t>In production</t>
  </si>
  <si>
    <t>was not indicated @ 1.17%</t>
  </si>
  <si>
    <t>https://www.mining.com/web/sinomine-invests-200m-in-zimbabwe-lithium-project/</t>
  </si>
  <si>
    <t>Lijiagou</t>
  </si>
  <si>
    <t>Orlovka</t>
  </si>
  <si>
    <t>Salar del Rincon (Argosy)</t>
  </si>
  <si>
    <t>https://www.argosyminerals.com.au/rincon-lithium-project-argentina</t>
  </si>
  <si>
    <t>https://cdn-api.markitdigital.com/apiman-gateway/ASX/asx-research/1.0/file/2924-02336173-6A1018162?access_token=83ff96335c2d45a094df02a206a39ff4</t>
  </si>
  <si>
    <t>tonnes LCE</t>
  </si>
  <si>
    <t>Mt. Cattlin</t>
  </si>
  <si>
    <t>kt of Li2O</t>
  </si>
  <si>
    <t>6% Li2O assumption</t>
  </si>
  <si>
    <t>https://www.allkem.co/projects/mt-cattlin</t>
  </si>
  <si>
    <t>pg 196</t>
  </si>
  <si>
    <t>tonnes of Li2O</t>
  </si>
  <si>
    <t>1.4;82</t>
  </si>
  <si>
    <t>0.9;1.2</t>
  </si>
  <si>
    <t>2;134;17</t>
  </si>
  <si>
    <t>pg 193</t>
  </si>
  <si>
    <t>measured/indicated+stockpiled/inferred</t>
  </si>
  <si>
    <t>1;1.34;1.3</t>
  </si>
  <si>
    <t>pg 38, Table 1-14, 29.12 per ton of ore procesed using avg grade of reserve</t>
  </si>
  <si>
    <t>USD/ tonne SC 5.5%</t>
  </si>
  <si>
    <t xml:space="preserve">table 21-9 - total operating costs: only mining, transport and processing considered)
table 22-1: total revenue and avg. price to get total quantity
pg 103, spodumene production of 210,000 dmt per year @5.5%. </t>
  </si>
  <si>
    <t>pg 37, Table 1-11</t>
  </si>
  <si>
    <t>capital costs</t>
  </si>
  <si>
    <t>Thompson Brothers</t>
  </si>
  <si>
    <t>https://media.abnnewswire.net/media/en/docs/ASX-NVA-3A568265.pdf</t>
  </si>
  <si>
    <t>0;91190;19266</t>
  </si>
  <si>
    <t>0;1;0.98</t>
  </si>
  <si>
    <t>Buldania</t>
  </si>
  <si>
    <t>0;0.09;0.06</t>
  </si>
  <si>
    <t>0;1;1</t>
  </si>
  <si>
    <t>Austria</t>
  </si>
  <si>
    <t>Wolfsberg/Koralpe</t>
  </si>
  <si>
    <t>https://miningdataonline.com/property/3298/Wolfsberg.aspx</t>
  </si>
  <si>
    <t>https://europeanlithium.com/wp-content/uploads/2021/03/210201-European-Lithium-Presentation_Feb-2021FINAL.pdf</t>
  </si>
  <si>
    <t>t/a Lithium Hydroxide</t>
  </si>
  <si>
    <t>more than 10</t>
  </si>
  <si>
    <t>0.04;0.04;0.37</t>
  </si>
  <si>
    <t>1.2;1.08;0.78</t>
  </si>
  <si>
    <t>NPV CAPEX</t>
  </si>
  <si>
    <t>Dome North</t>
  </si>
  <si>
    <t>https://wcsecure.weblink.com.au/pdf/ESS/02380700.pdf</t>
  </si>
  <si>
    <t>0;70000;66000</t>
  </si>
  <si>
    <t>indicated;inferred</t>
  </si>
  <si>
    <t>0;1.3;1.11</t>
  </si>
  <si>
    <t>Seymour</t>
  </si>
  <si>
    <t>https://miningdataonline.com/property/1662/Seymour--Root.aspx</t>
  </si>
  <si>
    <t>0;0.07;0.03</t>
  </si>
  <si>
    <t>0;1.2;0.7</t>
  </si>
  <si>
    <t>Georgia Lake</t>
  </si>
  <si>
    <t>https://miningdataonline.com/property/3430/Georgia-Lake.aspx</t>
  </si>
  <si>
    <t>0.024;0.043;0.077</t>
  </si>
  <si>
    <t>pg 28</t>
  </si>
  <si>
    <t>1.04;0.99;1.16</t>
  </si>
  <si>
    <t>3561 per ton LiOH Refinery</t>
  </si>
  <si>
    <t>pg 207</t>
  </si>
  <si>
    <t>Arizona</t>
  </si>
  <si>
    <t>Big Sandy</t>
  </si>
  <si>
    <t>0;28400;31900</t>
  </si>
  <si>
    <t>indicated;inferred(1940;1780) Li grade ppm</t>
  </si>
  <si>
    <t>0;1940;1780</t>
  </si>
  <si>
    <t>Wekuso Lake</t>
  </si>
  <si>
    <t>Gods Lake</t>
  </si>
  <si>
    <t>Snow Lake</t>
  </si>
  <si>
    <t>Cachoeira</t>
  </si>
  <si>
    <t>Thor/Echo</t>
  </si>
  <si>
    <t>Tanco/Bernic Lake</t>
  </si>
  <si>
    <t>https://miningdataonline.com/property/977/Tanco-(Bernic-Lake).aspx</t>
  </si>
  <si>
    <t>Ningdu</t>
  </si>
  <si>
    <t>Finniss</t>
  </si>
  <si>
    <t>Producing &amp; suspended</t>
  </si>
  <si>
    <t>https://miningdataonline.com/property/4505/Finniss-(Grants).aspx</t>
  </si>
  <si>
    <t>https://wcsecure.weblink.com.au/pdf/CXO/02423943.pdf</t>
  </si>
  <si>
    <t>pg 10</t>
  </si>
  <si>
    <t>tonne Li2O</t>
  </si>
  <si>
    <t>52100;45800</t>
  </si>
  <si>
    <t>1.4;1.2</t>
  </si>
  <si>
    <t>29500;9000;4400</t>
  </si>
  <si>
    <t>1.5;1.5;1.35</t>
  </si>
  <si>
    <t>Colina</t>
  </si>
  <si>
    <t>https://www.investi.com.au/api/announcements/lrs/53db2b2b-23a.pdf</t>
  </si>
  <si>
    <t>0;25.1;135.2</t>
  </si>
  <si>
    <t>0;1.21;1.21</t>
  </si>
  <si>
    <t>Barroso</t>
  </si>
  <si>
    <t>Nama Creek</t>
  </si>
  <si>
    <t>Violet/Herb Lake</t>
  </si>
  <si>
    <t>Moose 2</t>
  </si>
  <si>
    <t>Raleigh Lake</t>
  </si>
  <si>
    <t>https://www.newsfilecorp.com/release/156717/International-Lithium-Announces-Maiden-Mineral-Resource-Estimate-at-The-Raleigh-Lake-Lithium-Project-Ontario-Canada</t>
  </si>
  <si>
    <t>321;6503;10500</t>
  </si>
  <si>
    <t>0.7;0.66;0.58</t>
  </si>
  <si>
    <t>Bald Hill</t>
  </si>
  <si>
    <t>https://minedocs.com/17/TawanaResources_Reserves_2018.pdf</t>
  </si>
  <si>
    <t>0;114100</t>
  </si>
  <si>
    <t>0;1.01</t>
  </si>
  <si>
    <t>0;147200;108000</t>
  </si>
  <si>
    <t>0;1.01;0.9</t>
  </si>
  <si>
    <t>Niemi Lake</t>
  </si>
  <si>
    <t>Mibra/Volta Grande</t>
  </si>
  <si>
    <t>34.21;180.49;43.49</t>
  </si>
  <si>
    <t>1.0;1.07;1.03</t>
  </si>
  <si>
    <t>Zulu</t>
  </si>
  <si>
    <t>https://markets.ft.com/data/announce/detail?dockey=1323-16356342-1GH45S7GPIKOCK0F5P5UMCL2KT#:~:text=The%20Board%20of%20Premier%20African,Mica%20and%20Spodumene%20flotation%20sections.</t>
  </si>
  <si>
    <t>https://www.premierafricanminerals.com/investors/corporate-presentation/download?path=210323_PREM_Presentation%2BJune%2B2021%2BNEW%2B003.pdf</t>
  </si>
  <si>
    <t>target production</t>
  </si>
  <si>
    <t>0;0;213195</t>
  </si>
  <si>
    <t>0;0;1.06</t>
  </si>
  <si>
    <t>Manna</t>
  </si>
  <si>
    <t>Mt (Million) Li2O</t>
  </si>
  <si>
    <t>0;0.19;0.14</t>
  </si>
  <si>
    <t>0;1.03;0.97</t>
  </si>
  <si>
    <t>Exploration</t>
  </si>
  <si>
    <t>https://www.argentina.gob.ar/economia/mineria/siacam/tablero-global-del-litio</t>
  </si>
  <si>
    <t>Sal de Puna</t>
  </si>
  <si>
    <t>0;0;106000</t>
  </si>
  <si>
    <t xml:space="preserve">0;0;460 </t>
  </si>
  <si>
    <t>Marble Bar</t>
  </si>
  <si>
    <t>0;0.04;0.14</t>
  </si>
  <si>
    <t>indicated ;inferred</t>
  </si>
  <si>
    <t>0;0.97;1.01</t>
  </si>
  <si>
    <t>Tanzania</t>
  </si>
  <si>
    <t>Titan</t>
  </si>
  <si>
    <t>Bonnie Claire</t>
  </si>
  <si>
    <t>Other (In Situ)</t>
  </si>
  <si>
    <t>https://miningdataonline.com/property/1797/Bonnie-Claire.aspx</t>
  </si>
  <si>
    <t>https://iconicminerals.com/wp-content/uploads/2021/10/Bonnie-Claire-PEA-Technical-Report-REV0.pdf</t>
  </si>
  <si>
    <t>Li million Kg</t>
  </si>
  <si>
    <t>0;0;3452</t>
  </si>
  <si>
    <t>0;0;1013</t>
  </si>
  <si>
    <t>pg 21-22</t>
  </si>
  <si>
    <t>Sepeda/Romano</t>
  </si>
  <si>
    <t>0;0;0.1</t>
  </si>
  <si>
    <t>0;0;1.0</t>
  </si>
  <si>
    <t>France</t>
  </si>
  <si>
    <t>Beauvoir</t>
  </si>
  <si>
    <t>tpa of Lithium Hydroxide</t>
  </si>
  <si>
    <t>characterization of deposit</t>
  </si>
  <si>
    <t>deposit characterization stage</t>
  </si>
  <si>
    <t>United Kingdom</t>
  </si>
  <si>
    <t>Trevalour</t>
  </si>
  <si>
    <t>https://cornishlithium.com/projects/lithium-in-hard-rock/trelavour/</t>
  </si>
  <si>
    <t>0;0.12;0</t>
  </si>
  <si>
    <t>0;0;0.24</t>
  </si>
  <si>
    <t>Clearwater</t>
  </si>
  <si>
    <t>https://miningdataonline.com/property/898/Clearwater.aspx</t>
  </si>
  <si>
    <t>pg 133</t>
  </si>
  <si>
    <t>0;0;2.2</t>
  </si>
  <si>
    <t>pg 93</t>
  </si>
  <si>
    <t>0;0;74.6</t>
  </si>
  <si>
    <t>pg 139</t>
  </si>
  <si>
    <t>Several operation costs</t>
  </si>
  <si>
    <t>CAD Million</t>
  </si>
  <si>
    <t>Rocky</t>
  </si>
  <si>
    <t>0;0;0.93</t>
  </si>
  <si>
    <t>pg 61</t>
  </si>
  <si>
    <t>0;0;52.9</t>
  </si>
  <si>
    <t>Exshaw</t>
  </si>
  <si>
    <t>0;0;3.9</t>
  </si>
  <si>
    <t>pg 66</t>
  </si>
  <si>
    <t>0;0;75</t>
  </si>
  <si>
    <t>Corvette</t>
  </si>
  <si>
    <t>0;0;1.55</t>
  </si>
  <si>
    <t>pg 26</t>
  </si>
  <si>
    <t>0;0;1.42</t>
  </si>
  <si>
    <t>Grota do Cirilo (Barreiro)</t>
  </si>
  <si>
    <t>Phase 2: Barreriro @ 5.2%</t>
  </si>
  <si>
    <t>pg 49</t>
  </si>
  <si>
    <t>576.8;153.1</t>
  </si>
  <si>
    <t>1.38;1.29</t>
  </si>
  <si>
    <t>653.5;203.9;131.5</t>
  </si>
  <si>
    <t>pg 34</t>
  </si>
  <si>
    <t>1.41;1.30;1.39</t>
  </si>
  <si>
    <t>pg 50, table 1-20</t>
  </si>
  <si>
    <t>pg 46</t>
  </si>
  <si>
    <t>Grota do Cirilo (NDC)</t>
  </si>
  <si>
    <t>92;765;129</t>
  </si>
  <si>
    <t>1.55;1.48;1.48</t>
  </si>
  <si>
    <t>Grota do Cirilo (Murial)</t>
  </si>
  <si>
    <t>120.8;35.7;17.5</t>
  </si>
  <si>
    <t>1.17;1.04;1.06</t>
  </si>
  <si>
    <t>Grota do Cirilo (Lavra)</t>
  </si>
  <si>
    <t>44.6;14.9;5.6</t>
  </si>
  <si>
    <t>pg 35</t>
  </si>
  <si>
    <t>1.16;0.93;0.87</t>
  </si>
  <si>
    <t>Paradox</t>
  </si>
  <si>
    <t>tpa of LCE</t>
  </si>
  <si>
    <t>for the first ten years of project life</t>
  </si>
  <si>
    <t>0;367;1138</t>
  </si>
  <si>
    <t>ppm Li</t>
  </si>
  <si>
    <t>0;123;109</t>
  </si>
  <si>
    <t>Green River</t>
  </si>
  <si>
    <t>started drilling 2024</t>
  </si>
  <si>
    <t>mean between min and max</t>
  </si>
  <si>
    <t>Praire</t>
  </si>
  <si>
    <t>https://www.arizonalithium.com/projects/prairie-lithium/</t>
  </si>
  <si>
    <t>0;850000;340000</t>
  </si>
  <si>
    <t>0;106;101</t>
  </si>
  <si>
    <t>Salar Las Parinas</t>
  </si>
  <si>
    <t>https://repositorio.sernageomin.cl/server/api/core/bitstreams/2cda3fe3-3054-41f8-932e-d2674617832f/content</t>
  </si>
  <si>
    <t>0;0;80</t>
  </si>
  <si>
    <t>pg 68, Table 11</t>
  </si>
  <si>
    <t>0;0;306</t>
  </si>
  <si>
    <t>Salar La Isla</t>
  </si>
  <si>
    <t>https://repositorio.sernageomin.cl/items/fe3e1824-add6-4aa3-a5c7-7dabd41e4f00/full</t>
  </si>
  <si>
    <t>0;0;853</t>
  </si>
  <si>
    <t>pg 72, Table 12</t>
  </si>
  <si>
    <t>0;0;841</t>
  </si>
  <si>
    <t>Salar de Aguilar</t>
  </si>
  <si>
    <t>https://repositorio.sernageomin.cl/items/46e40691-7500-40e7-baa4-3426aa5dc924</t>
  </si>
  <si>
    <t>0;0;282</t>
  </si>
  <si>
    <t>pg 71, Table 10</t>
  </si>
  <si>
    <t>0;0;284</t>
  </si>
  <si>
    <t>Salar de Pajonales</t>
  </si>
  <si>
    <t>https://repositorio.sernageomin.cl/items/5b677962-995d-454b-bb8d-d58c22d42cf5</t>
  </si>
  <si>
    <t>0;0;149</t>
  </si>
  <si>
    <t>pg 72, Table 8</t>
  </si>
  <si>
    <t>inferred, E3 scenario theoretical</t>
  </si>
  <si>
    <t>0;0;127</t>
  </si>
  <si>
    <t>Salar de Pedernales</t>
  </si>
  <si>
    <t>0;0;4.3</t>
  </si>
  <si>
    <t>0;0;500</t>
  </si>
  <si>
    <t>Salar de Cotacotani</t>
  </si>
  <si>
    <t>0;0;320</t>
  </si>
  <si>
    <t>0;0;73</t>
  </si>
  <si>
    <t>Salar de Surire</t>
  </si>
  <si>
    <t>0;0;1865</t>
  </si>
  <si>
    <t>0;0;253</t>
  </si>
  <si>
    <t>Salar de Tambo</t>
  </si>
  <si>
    <t>0;0;4672</t>
  </si>
  <si>
    <t>0;0;588</t>
  </si>
  <si>
    <t>Salar de Cancosa</t>
  </si>
  <si>
    <t>0;0;3561</t>
  </si>
  <si>
    <t>0;0;322</t>
  </si>
  <si>
    <t>Salar de Huasco</t>
  </si>
  <si>
    <t>0;0;750</t>
  </si>
  <si>
    <t>Salar de Ascotan</t>
  </si>
  <si>
    <t>0;0;516</t>
  </si>
  <si>
    <t>0;0;290</t>
  </si>
  <si>
    <t>McCombe</t>
  </si>
  <si>
    <t>0;0;4.5</t>
  </si>
  <si>
    <t>0;0;1.01</t>
  </si>
  <si>
    <t>Titan 2</t>
  </si>
  <si>
    <t>Laguna Verde</t>
  </si>
  <si>
    <t>Clean Tech Lithium</t>
  </si>
  <si>
    <t>0.5;0.6;0.7</t>
  </si>
  <si>
    <t>199;194;208</t>
  </si>
  <si>
    <t>capital cost</t>
  </si>
  <si>
    <t>Francisco Basin</t>
  </si>
  <si>
    <t>0;0.44;0.48</t>
  </si>
  <si>
    <t>0;221;195</t>
  </si>
  <si>
    <t>Fort Cady</t>
  </si>
  <si>
    <t>5 Advanced Materials</t>
  </si>
  <si>
    <t>appendices, calculated</t>
  </si>
  <si>
    <t>27.2;13.8</t>
  </si>
  <si>
    <t>379;343</t>
  </si>
  <si>
    <t>38.87;19.72;61.85</t>
  </si>
  <si>
    <t>379;343;322</t>
  </si>
  <si>
    <t>Zhabuye</t>
  </si>
  <si>
    <t>https://new.qq.com/rain/a/20210817A04NBR00</t>
  </si>
  <si>
    <t>Metric Tons Li2CO3</t>
  </si>
  <si>
    <t xml:space="preserve">1,636,800;150,800;571,900 </t>
  </si>
  <si>
    <t xml:space="preserve">https://finance.sina.com.cn/roll/2021-08-30/doc-iktzscyx1176834.shtml </t>
  </si>
  <si>
    <t>conversion 2023:1:7.2 CNY-USD</t>
  </si>
  <si>
    <t>https://m.bjnews.com.cn/detail/163067811814263.html</t>
  </si>
  <si>
    <t>conversion 2011 1:6.45</t>
  </si>
  <si>
    <t>Alvarroes</t>
  </si>
  <si>
    <t>Mt Li2O</t>
  </si>
  <si>
    <t>not specified</t>
  </si>
  <si>
    <t>nof specified</t>
  </si>
  <si>
    <t>Boardwalk</t>
  </si>
  <si>
    <t>tonnes LHM/year(lithium hydroxide monohydrate)</t>
  </si>
  <si>
    <t>pg 198</t>
  </si>
  <si>
    <t>tonnes of Li</t>
  </si>
  <si>
    <t>74000,1077000;0</t>
  </si>
  <si>
    <t>page 3 and 4</t>
  </si>
  <si>
    <t>71.6;68</t>
  </si>
  <si>
    <t>Sirmac</t>
  </si>
  <si>
    <t>1226.88;524;238.63</t>
  </si>
  <si>
    <t>measured:indicated;inferred</t>
  </si>
  <si>
    <t>0.639:0.647;0.487</t>
  </si>
  <si>
    <t>pg 156</t>
  </si>
  <si>
    <t>USD/ tonne mineralized pegmatite SC LI2O 6%</t>
  </si>
  <si>
    <t>operating cost, 2023 1 USD = 1.35 CAD. 6% spoudeme assumed</t>
  </si>
  <si>
    <t>Clayton Valley (Schlumberger)</t>
  </si>
  <si>
    <t>pg 19-1</t>
  </si>
  <si>
    <t>0;0;40900</t>
  </si>
  <si>
    <t>pg 1-9</t>
  </si>
  <si>
    <t>0;0;123</t>
  </si>
  <si>
    <t>pg 1-16</t>
  </si>
  <si>
    <t>pg 1-15</t>
  </si>
  <si>
    <t>capital investment</t>
  </si>
  <si>
    <t>Arizaro</t>
  </si>
  <si>
    <t>pg 2 (Arizaro investment )</t>
  </si>
  <si>
    <t>261,000;2,237,000;1,624,000</t>
  </si>
  <si>
    <t>pg 2 (Arizaro resource estimate)</t>
  </si>
  <si>
    <t>261;302;362</t>
  </si>
  <si>
    <t>C 57 Portugal (Sociedade Mineira de Pegmatites)</t>
  </si>
  <si>
    <t>Baishicun Huashan</t>
  </si>
  <si>
    <t>Lepidolite, lithium content converted to LCE at a grade of 0.96%.</t>
  </si>
  <si>
    <t>3098.89; 1408.41;0</t>
  </si>
  <si>
    <t>https://www.vzkoo.com/read/57b2fe8bea6edc1eee10fdf53f71c923.html</t>
  </si>
  <si>
    <t>conversion 2021: 1 USD= 6.45 CNY</t>
  </si>
  <si>
    <t>captial investment</t>
  </si>
  <si>
    <t>Dahongliu</t>
  </si>
  <si>
    <t>Phase 1 construction has a total annual production capacity of 75,000 tons, including 30,000 tons of lithium carbonate, 30,000 tons of lithium hydroxide, and 15,000 tons of lithium chloride.</t>
  </si>
  <si>
    <t>https://www.xinjiang.gov.cn/xinjiang/dzdt/202302/daca07b82a4a48dca247a1d6c8e31151.shtml</t>
  </si>
  <si>
    <t>Metric Tons of Li2O</t>
  </si>
  <si>
    <t>681,016;0;0</t>
  </si>
  <si>
    <t>https://www.thepaper.cn/newsDetail_forward_23885923</t>
  </si>
  <si>
    <t>Measured only</t>
  </si>
  <si>
    <t>captial investment, conversion 2019: 1:6.9</t>
  </si>
  <si>
    <t>Huaqiao Dagang</t>
  </si>
  <si>
    <t>Lepidolite ore, Li2O content: 0.51%</t>
  </si>
  <si>
    <t>2019.06-2050.12</t>
  </si>
  <si>
    <t>91919400;0;0</t>
  </si>
  <si>
    <t>Baishuidong</t>
  </si>
  <si>
    <t>Lepidolite ore, Li2O content: 0.35%</t>
  </si>
  <si>
    <t>19370;4100;8030</t>
  </si>
  <si>
    <t>pg 21</t>
  </si>
  <si>
    <t>0.33;0.36;0.38</t>
  </si>
  <si>
    <t>Shuinanduan</t>
  </si>
  <si>
    <t>Lepidolite ore, Li2O content: 0.37%</t>
  </si>
  <si>
    <t>http://bnr.yichun.gov.cn/ycszrzyj/tzgg4d/202306/56038a17b3f040da8190179b7fe5748e.shtml</t>
  </si>
  <si>
    <t>16416;51955;31982</t>
  </si>
  <si>
    <t>0.37;0.38;0.37</t>
  </si>
  <si>
    <t>DLE Extraction</t>
  </si>
  <si>
    <t>Yes</t>
  </si>
  <si>
    <t>US State</t>
  </si>
  <si>
    <t>Resource Detail</t>
  </si>
  <si>
    <t/>
  </si>
  <si>
    <t>pg 40 and https://www.allkem.co/projects/olaroz</t>
  </si>
  <si>
    <t>pg xi, NOTE: They reporte reserves and resources separetely</t>
  </si>
  <si>
    <t>No info</t>
  </si>
  <si>
    <t>Evaluation</t>
  </si>
  <si>
    <t>Status Detail</t>
  </si>
  <si>
    <t>Benchmark Mineral Intelligence</t>
  </si>
  <si>
    <t>https://repositorio.cepal.org/server/api/core/bitstreams/adbb16fd-48d0-4ba6-aab4-59561bfa0578/content</t>
  </si>
  <si>
    <t>RESOURCE DETAILS</t>
  </si>
  <si>
    <t>Reference Resource</t>
  </si>
  <si>
    <t>Resource Original</t>
  </si>
  <si>
    <t>Resource Original Units</t>
  </si>
  <si>
    <t>Resource Measured; Indicated; Inferred</t>
  </si>
  <si>
    <t>Reference Status</t>
  </si>
  <si>
    <t>Page Reference Resource</t>
  </si>
  <si>
    <t>Resource Notes</t>
  </si>
  <si>
    <t>Resource Grade Original</t>
  </si>
  <si>
    <t>Grade Measured; Indicated; Inferred</t>
  </si>
  <si>
    <t>RESERVE DETAILS</t>
  </si>
  <si>
    <t>Reserve Original</t>
  </si>
  <si>
    <t>Reference Reserve</t>
  </si>
  <si>
    <t>Page Reference Reserve</t>
  </si>
  <si>
    <t>Reserve Original unit</t>
  </si>
  <si>
    <t>Resource Grade Unit</t>
  </si>
  <si>
    <t>EXTRACTION COST DETAILS</t>
  </si>
  <si>
    <t>Reference Extraction Cost</t>
  </si>
  <si>
    <t>Page Reference Ext Cost</t>
  </si>
  <si>
    <t xml:space="preserve">pg 5 </t>
  </si>
  <si>
    <t>Extraction Cost Original</t>
  </si>
  <si>
    <t>Extraction Cost Original Unit</t>
  </si>
  <si>
    <t>Endproduct</t>
  </si>
  <si>
    <t>Grade Li2O Spodumene Concentrate</t>
  </si>
  <si>
    <t>Conversion Cost</t>
  </si>
  <si>
    <t>Extraction Cost Notes</t>
  </si>
  <si>
    <t>OPEX, CAD = 0.769 USD</t>
  </si>
  <si>
    <t>Reference Investment</t>
  </si>
  <si>
    <t>pg 21-4</t>
  </si>
  <si>
    <t>pg 21-2</t>
  </si>
  <si>
    <t>Page Reference Investment</t>
  </si>
  <si>
    <t>Investment Original Unit</t>
  </si>
  <si>
    <t>Investment Notes</t>
  </si>
  <si>
    <t>CONVERSION FACTORS</t>
  </si>
  <si>
    <t>Resource Li ktons</t>
  </si>
  <si>
    <t>Reserve Li ktons</t>
  </si>
  <si>
    <t>Project Capacity Li ktons</t>
  </si>
  <si>
    <t>Investment Original</t>
  </si>
  <si>
    <t>INVESTMENT DETAILS</t>
  </si>
  <si>
    <t>Project Capacity Original</t>
  </si>
  <si>
    <t>Project Capacity Original Units</t>
  </si>
  <si>
    <t>Reference Project Capacity</t>
  </si>
  <si>
    <t>Page Reference Project Capacity</t>
  </si>
  <si>
    <t>Deposit Notes/Comments</t>
  </si>
  <si>
    <t>Year Project Capacity</t>
  </si>
  <si>
    <t>Project Capacity Notes</t>
  </si>
  <si>
    <t>Conversion Project Capacity</t>
  </si>
  <si>
    <t>Conversion Reserve</t>
  </si>
  <si>
    <t>Conversion Resource</t>
  </si>
  <si>
    <t>Conversion Grade Reserve</t>
  </si>
  <si>
    <t>Conversion Grade Resource</t>
  </si>
  <si>
    <t>Inflation Adjusment 2022</t>
  </si>
  <si>
    <t>Grade %Li Reserve</t>
  </si>
  <si>
    <t>Grade %Li Resource</t>
  </si>
  <si>
    <t>PROJECT CAPACITY DETAILS (for invesment)</t>
  </si>
  <si>
    <t>Capacity 2025 Li ktons</t>
  </si>
  <si>
    <t>Capacity 2030 Li ktons</t>
  </si>
  <si>
    <t>MW: Molar Weight</t>
  </si>
  <si>
    <t>Atomic MW (grams per mol)</t>
  </si>
  <si>
    <t>MW</t>
  </si>
  <si>
    <t>Li</t>
  </si>
  <si>
    <t>CONVERSION TABLE</t>
  </si>
  <si>
    <t>Li2O</t>
  </si>
  <si>
    <t>Ni</t>
  </si>
  <si>
    <t>Lithium</t>
  </si>
  <si>
    <t>Mn</t>
  </si>
  <si>
    <t>Lithium Oxide</t>
  </si>
  <si>
    <t>Co</t>
  </si>
  <si>
    <t>Lithium Carbonate</t>
  </si>
  <si>
    <t>Al</t>
  </si>
  <si>
    <t>LiOH.H2O</t>
  </si>
  <si>
    <t>Lithium Hydroxide</t>
  </si>
  <si>
    <t>Fe</t>
  </si>
  <si>
    <t>LiCl</t>
  </si>
  <si>
    <t>Lithium Chloride</t>
  </si>
  <si>
    <t>P</t>
  </si>
  <si>
    <t>Ti</t>
  </si>
  <si>
    <t>O</t>
  </si>
  <si>
    <t>S</t>
  </si>
  <si>
    <t>C</t>
  </si>
  <si>
    <t>Si</t>
  </si>
  <si>
    <t>V</t>
  </si>
  <si>
    <t>H</t>
  </si>
  <si>
    <t>F</t>
  </si>
  <si>
    <t>Cl</t>
  </si>
  <si>
    <t>Element</t>
  </si>
  <si>
    <t>Product</t>
  </si>
  <si>
    <t>Conversion factors derived from chemical stoichiometry</t>
  </si>
  <si>
    <t>Source:</t>
  </si>
  <si>
    <t>https://www.imf.org/external/datamapper/PCPIPCH@WEO/OEMDC/ADVEC/WEOWORLD</t>
  </si>
  <si>
    <t>Date accessed</t>
  </si>
  <si>
    <t>For reference cost data years are from 2016 to 2024</t>
  </si>
  <si>
    <t>World Inflation</t>
  </si>
  <si>
    <t>Inflation rate, average consumer prices (Annual percent change)</t>
  </si>
  <si>
    <t>Year</t>
  </si>
  <si>
    <t>Inflation</t>
  </si>
  <si>
    <t>Multiplier</t>
  </si>
  <si>
    <t>Multiplier to 2022</t>
  </si>
  <si>
    <t>Metadata of Lithium_Database</t>
  </si>
  <si>
    <t>Not every deposit has all data columns available. We recorded as much data as possible for each deposit.</t>
  </si>
  <si>
    <t>Each row of the "Deposit" sheet is a Lithium deposit</t>
  </si>
  <si>
    <t>Variable</t>
  </si>
  <si>
    <t>Description</t>
  </si>
  <si>
    <t>Type</t>
  </si>
  <si>
    <t>Country where the deposit is located</t>
  </si>
  <si>
    <t>Text</t>
  </si>
  <si>
    <t>Location of deposit</t>
  </si>
  <si>
    <t>Number</t>
  </si>
  <si>
    <t>Unit for production. Original unit used as it appears in the reference.</t>
  </si>
  <si>
    <t>Additional notes on the production data</t>
  </si>
  <si>
    <t>Specific page in the reference where the production data is to be found</t>
  </si>
  <si>
    <t>Page or Table/Figure Number</t>
  </si>
  <si>
    <t>Indicates the year that the production will start</t>
  </si>
  <si>
    <t>Assumed life of mine used in the evaluation, in years</t>
  </si>
  <si>
    <t>Units for the reserve grade. Original unit used as it appears in the reference.</t>
  </si>
  <si>
    <t>Lower limit assumed of the grade to evaluate reserves. Same unit as grade reserve.</t>
  </si>
  <si>
    <t>Total lithium reserves as indicated in the reference. Original numbers (in formula) as appears in the reference</t>
  </si>
  <si>
    <t>Specific page in the reference where the reserve data is to be found</t>
  </si>
  <si>
    <t>Units for the total reserve. Original unit used as it appears in the reference.</t>
  </si>
  <si>
    <t>Total proven reserves and total probable reserves in the lithium deposit. Same units as the reserve.</t>
  </si>
  <si>
    <t>Numbers, separated by ";"</t>
  </si>
  <si>
    <t>Grade (or concentration) of lithium in the deposit proven and probable reserves.</t>
  </si>
  <si>
    <t>Total lithium Resources as indicated in the reference. Original numbers (in formula) as appears in the reference</t>
  </si>
  <si>
    <t>Units for the total Resource. Original unit used as it appears in the reference.</t>
  </si>
  <si>
    <t>Total resources separated by Measured, Indicated and Inferred. Same units as the resourcce.</t>
  </si>
  <si>
    <t>Specific page in the reference where the resource data is to be found</t>
  </si>
  <si>
    <t>Additional notes on the Resource data</t>
  </si>
  <si>
    <t>Units for the Resource grade. Original unit used as it appears in the reference.</t>
  </si>
  <si>
    <t>Grade (or concentration) of lithium in the deposit measured, indicated and inferred resources.</t>
  </si>
  <si>
    <t>Cost of extraction per ton of lithium, as evaluated by the project. Original numbers (in formula) as appears in the reference</t>
  </si>
  <si>
    <t>Specific page in the reference where the Extraction Cost data is to be found</t>
  </si>
  <si>
    <t>Units for the extraction costs. Original unit used as it appears in the reference.</t>
  </si>
  <si>
    <t>Capital cost for lithium projects, as evaluated by the project. Original numbers (in formula) as appears in the reference</t>
  </si>
  <si>
    <t>Specific page in the reference where the Investment Cost data is to be found</t>
  </si>
  <si>
    <t>Units for the investment costs. Original unit used as it appears in the reference.</t>
  </si>
  <si>
    <t>See Sheet "Conversion_Factors". Useful to normalize units from original to a common unit.</t>
  </si>
  <si>
    <t>Grade of the Reserve in the deposit, in % of Lithium content</t>
  </si>
  <si>
    <t>Grade of the Resource in the deposit, in % of Lithium content</t>
  </si>
  <si>
    <t>Grade (or concentration) of lithium in the deposit resources. Original numbers (in formula) as appears in the reference</t>
  </si>
  <si>
    <t>Grade (or concentration) of lithium in the deposit reserves. Original numbers (in formula) as appears in the reference</t>
  </si>
  <si>
    <t>Target capacity production. Original numbers (in formula) as appears in the reference</t>
  </si>
  <si>
    <t>Grade reserve</t>
  </si>
  <si>
    <t>Grade reserve original units</t>
  </si>
  <si>
    <t>Cut off Limit Grade</t>
  </si>
  <si>
    <t>State where the deposit is located, only valid for United States</t>
  </si>
  <si>
    <t>Type of Resource: Brine, Volcano-Sedimentary, Hard Rock</t>
  </si>
  <si>
    <t>Type of Resource with more detail: Brine, Volcano-Sedimentary, Hard Rock, Other (Geothermal), Other (Oilfield), Other (Volcanic Rock), Other (Waste Rock), Other (In Situ)</t>
  </si>
  <si>
    <t>Binary</t>
  </si>
  <si>
    <t>Does the deposit considers or has direct lithium extraction?</t>
  </si>
  <si>
    <t>Total resource size, in million metric tons of Li</t>
  </si>
  <si>
    <t>Total reserve size, in million metric tons of Li</t>
  </si>
  <si>
    <t>Status of the project (current)</t>
  </si>
  <si>
    <t>Additional detail on the status of the deposit</t>
  </si>
  <si>
    <t>Main reference for data of characteristics for the lithium deposit. If it is a number, look at the "References" sheet, which provides more information about the source</t>
  </si>
  <si>
    <t>Planned extraction capacity, in Li ktons, for 2025</t>
  </si>
  <si>
    <t>Planned extraction capacity, in Li ktons, for 2030</t>
  </si>
  <si>
    <t>Inflation adjusment for cost data in different years</t>
  </si>
  <si>
    <t>Other comments related to the deposit</t>
  </si>
  <si>
    <t>Lithium product that generates the deposit, normally lithium carbonate for brines, and spodumene concentrate for hard rock</t>
  </si>
  <si>
    <t>Grade in %Li2O (lithium oxide), if the deposit produces spodumene</t>
  </si>
  <si>
    <t>Does the cost reference indicates a conversion cost from spodumene to other lithium product?</t>
  </si>
  <si>
    <t>Notes related to extraction costs</t>
  </si>
  <si>
    <t>Notes related to investment costs</t>
  </si>
  <si>
    <t>Target capacity production related to the investment costs.</t>
  </si>
  <si>
    <t>Used in Sheet of Lithium Database</t>
  </si>
  <si>
    <t>Link</t>
  </si>
  <si>
    <t>Year Publication</t>
  </si>
  <si>
    <t>Author</t>
  </si>
  <si>
    <t>Classification</t>
  </si>
  <si>
    <t>Date accessed (if webpage)</t>
  </si>
  <si>
    <t>https://minedocs.com/22/Salar-de-Atacama-TR-042022.pdf</t>
  </si>
  <si>
    <t>Sociedad Química y Minera de Chile</t>
  </si>
  <si>
    <t>Millenial Lithium</t>
  </si>
  <si>
    <t>https://docslib.org/doc/6515777/updated-feasibility-study-and-mineral-reserve-estimation-to-support-40-000-tpa-lithium-carbonate-production-at-the-cauchari-olaroz-salars-jujuy-province-argentina</t>
  </si>
  <si>
    <t>LithiumAmericas</t>
  </si>
  <si>
    <t>Technical Report</t>
  </si>
  <si>
    <t>https://minedocs.com/20/Manono-DFS-04212020.pdf</t>
  </si>
  <si>
    <t>AVZ Mineral Limited</t>
  </si>
  <si>
    <t>IGO Limited</t>
  </si>
  <si>
    <t>https://www.datocms-assets.com/53992/1698636681-sal-de-vida-lithium-brine-project-ni-43-101-technical-report-feasibility-study_final.pdf</t>
  </si>
  <si>
    <t>Allkem Limited</t>
  </si>
  <si>
    <t>https://bacanoralithium.com/_userfiles/pages/files/documents/technicalreportontheprefeasibilitystudyforthesonoralithiumprojectmexico_compressed.pdf</t>
  </si>
  <si>
    <t>Bacanora minerals limited</t>
  </si>
  <si>
    <t>https://minedocs.com/22/Goulamina-FS-12062021.pdf</t>
  </si>
  <si>
    <t>Firefinch Limited</t>
  </si>
  <si>
    <t>https://www.mining-technology.com/projects/arcadia-lithium-project-harare/?cf-view</t>
  </si>
  <si>
    <t>Mining Technology</t>
  </si>
  <si>
    <t>https://www.datocms-assets.com/53992/1640062078-211221-james-bay-lithium-project-feasibility-study-maiden-ore-reserver-final-asx-release.pdf</t>
  </si>
  <si>
    <t>ASX/TSX Release with Allkem Limited</t>
  </si>
  <si>
    <t>https://www.rscmme.com/report/Nemaska_Lithium_Inc_Whabouchi_31-7-2019</t>
  </si>
  <si>
    <t>Nemaska Lithium Inc.</t>
  </si>
  <si>
    <t>https://docslib.org/doc/8461864/ni-43-101-technical-report-salar-de-los-angeles-project-salar-de</t>
  </si>
  <si>
    <t>Aberdeen International Inc.</t>
  </si>
  <si>
    <t>https://static1.squarespace.com/static/61711d27ed0db12cacbcfb5a/t/6532152bd6c00a6fed803a87/1697781036360/2023.10.20+-+Project+Development+Update+-+Ewoyaa+ML+Grant+%28ASX%29.Final.pdf</t>
  </si>
  <si>
    <t>Atlantic Lithium</t>
  </si>
  <si>
    <t>https://www.cecorp.ca/en/critical-elements-lithium-announces-new-positive-feasibility-study-for-the-rose-lithium-project-generating-an-after-tax-npv8-of-us2-2b-and-an-after-tax-irr-of-65-7/</t>
  </si>
  <si>
    <t>Critical Elements Lithium Corporation</t>
  </si>
  <si>
    <t>Kodal Minerals</t>
  </si>
  <si>
    <t>https://news.metal.com/newscontent/102202196/SMM-Analysis-of-African-Lithium-Mines-Covering-the-World%E2%80%99s-Top-Ones/</t>
  </si>
  <si>
    <t>Shangai Metal Market</t>
  </si>
  <si>
    <t>https://www.datocms-assets.com/53992/1698636722-cauchari-lithium-brine-project-ni-43-101-technical-report-prefeasibility-study_final.pdf</t>
  </si>
  <si>
    <t>https://lithiumamericas.com/thacker-pass/overview/default.aspx</t>
  </si>
  <si>
    <t>Lithium Americas</t>
  </si>
  <si>
    <t>https://s3.ap-southeast-2.amazonaws.com/assets.jindaleelithium.com/app/uploads/2023/10/23083152/2023-AGM-Presentationv2.pdf</t>
  </si>
  <si>
    <t>Jindalee Lithium</t>
  </si>
  <si>
    <t>Report</t>
  </si>
  <si>
    <t>https://lithiumpowerinternational.com/wp-content/uploads/2022/01/NI43-101_DFS2022_LR.pdf</t>
  </si>
  <si>
    <t>Atacama Water Consultants</t>
  </si>
  <si>
    <t>https://americanlithiumcorp.com/wp-content/uploads/2022/12/NR_2022_12_01_TLC-Mineral-Resource-Estimate-Update-Final-Final.pdf</t>
  </si>
  <si>
    <t>American Lithium</t>
  </si>
  <si>
    <t>Kidman Resources limited</t>
  </si>
  <si>
    <t>https://www.nsenergybusiness.com/projects/salar-de-uyuni-lithium-deposit/</t>
  </si>
  <si>
    <t>NS Energy</t>
  </si>
  <si>
    <t>https://www.mdpi.com/2071-1050/15/19/14067#B11-sustainability-15-14067</t>
  </si>
  <si>
    <t>Multiple authors: Characterization and Resource Potential of Li in the Clay Minerals of Mahai Salt Lake in the Qaidam Basin, China</t>
  </si>
  <si>
    <t>Scientific article</t>
  </si>
  <si>
    <t>https://www.centurylithium.com/_resources/technical-reports/cyp_pfs_amended_march_15th-2021.pdf</t>
  </si>
  <si>
    <t>Century lithium</t>
  </si>
  <si>
    <t>https://1pls.irmau.com/site/pdf/ff0c3ffb-b047-4066-bda0-b9df68c7a477/2023-Annual-Report-incorporating-Appendix-4E.pdf</t>
  </si>
  <si>
    <t>Pilbara Minerals</t>
  </si>
  <si>
    <t>Company report</t>
  </si>
  <si>
    <t>Mineral Resoyrces</t>
  </si>
  <si>
    <t>https://www.eramet.com/wp-content/uploads/2023/03/ERAM_DEU_2020_EN_MEL-Vdef.pdf</t>
  </si>
  <si>
    <t>Eramet</t>
  </si>
  <si>
    <t>Rio Tinto</t>
  </si>
  <si>
    <t>Metals Green Technology</t>
  </si>
  <si>
    <t>https://minedocs.com/21/3Q_(Tres_Quebradas)-CP-012021.pdf</t>
  </si>
  <si>
    <t>NeoLithium</t>
  </si>
  <si>
    <t>https://www.igo.com.au/site/pdf/c5d6ce55-e0f1-49ea-8e94-e3d95b1f3da2/Greenbushes-Site-Visit-Presentation.pdf</t>
  </si>
  <si>
    <t>ASX</t>
  </si>
  <si>
    <t>https://www.datocms-assets.com/53992/1698636645-olaroz-lithium-facility-ni-43-101-technical-report-feasibility-study_final.pdf</t>
  </si>
  <si>
    <t>https://livent.com/wp-content/uploads/2023/06/2023-Livent-Resource-and-Reserve-Report-Salar-del-Hombre-Muerto.pdf</t>
  </si>
  <si>
    <t>Livent</t>
  </si>
  <si>
    <t>https://www.lithiumsouth.com/wp-content/uploads/2023-technical-report-NI43-101.pdf</t>
  </si>
  <si>
    <t>Lithium South</t>
  </si>
  <si>
    <t>https://galanlithium.com.au/wp-content/uploads/2023/07/GLN_Preso_20230705.pdf</t>
  </si>
  <si>
    <t>Galan Lithium Limited</t>
  </si>
  <si>
    <t>https://minedocs.com/21/Candelas-PEA-11302021.pdf</t>
  </si>
  <si>
    <t>https://www.listcorp.com/asx/asn/anson-resources-limited/news/investor-presentation-june-2023-2880942.html</t>
  </si>
  <si>
    <t>Webpage</t>
  </si>
  <si>
    <t>Argosy Minerals</t>
  </si>
  <si>
    <t>https://annualreport.stocklight.com/nyse/alb/23558082.pdf</t>
  </si>
  <si>
    <t>Albermar;e</t>
  </si>
  <si>
    <t>LSC Lithium Corporation</t>
  </si>
  <si>
    <t>https://wcsecure.weblink.com.au/pdf/SYA/02523963.pdf</t>
  </si>
  <si>
    <t>ASX-Sayoma Mining Ltd</t>
  </si>
  <si>
    <t>https://minedocs.com/19/Grota-do-Cirilo-Xuxa-FS-Barreiro-PFS-5302022.pdf</t>
  </si>
  <si>
    <t>Sigma Lithium</t>
  </si>
  <si>
    <t>https://www.frontierlithium.com/_files/ugd/dec7de_0361ed371f584d4baa62be93d01d94c3.pdf</t>
  </si>
  <si>
    <t>Frontier Lithium Inc</t>
  </si>
  <si>
    <t>https://lakeresources.com.au/wp-content/uploads/2023/12/lke_kachi-dfs_19-dec-23.pdf</t>
  </si>
  <si>
    <t>Lake Resources</t>
  </si>
  <si>
    <t>The Mineral Corporation</t>
  </si>
  <si>
    <t>Infinity Lithium Corporation Limited</t>
  </si>
  <si>
    <t>Piedmont Lithium Press Release</t>
  </si>
  <si>
    <t>Mineral Resources</t>
  </si>
  <si>
    <t>Andrada Mining</t>
  </si>
  <si>
    <t>https://storage.googleapis.com/leaf-prod/moodys-announcements/LSE/ZNWD/2024-02-21/8278D.pdf</t>
  </si>
  <si>
    <t>Zinwald Lithium plc</t>
  </si>
  <si>
    <t>https://sayonamining.com.au/projects/authier-project/</t>
  </si>
  <si>
    <t>Sayona Mining Limited</t>
  </si>
  <si>
    <t>https://sayonamining.com.au/projects/moblan-project/</t>
  </si>
  <si>
    <t>https://www.savannahresources.com/project/barroso-lithium-project-portugal/</t>
  </si>
  <si>
    <t>Savannah Resources</t>
  </si>
  <si>
    <t>Nova Minerals Limited</t>
  </si>
  <si>
    <t>https://www.ltresources.com.au/wp-content/uploads/2023/05/624aa87d3dd52088027b8837_Resources-Reserves-and-CP-Statements.pdf</t>
  </si>
  <si>
    <t>Liontown</t>
  </si>
  <si>
    <t>https://prospectresources.com.au/arcadia-case-study/</t>
  </si>
  <si>
    <t>Prospect Resources</t>
  </si>
  <si>
    <t>European Lithium</t>
  </si>
  <si>
    <t>Essential Lithium</t>
  </si>
  <si>
    <t>https://b61c7e0b-ed43-4605-8a65-97f4facfef40.usrfiles.com/ugd/b61c7e_b81f59db1aa046d7a2f731c237904aff.pdf</t>
  </si>
  <si>
    <t>Green Technology Metal</t>
  </si>
  <si>
    <t>https://www.arizonalithium.com/projects/big-sandy-lithium/</t>
  </si>
  <si>
    <t>Arizona Lithium</t>
  </si>
  <si>
    <t>Core Lithium Annual Report</t>
  </si>
  <si>
    <t>Latin resources</t>
  </si>
  <si>
    <t>International lithium corp.</t>
  </si>
  <si>
    <t>Taiwan resources</t>
  </si>
  <si>
    <t>https://hugin.info/138060/R/2092860/796776.pdf</t>
  </si>
  <si>
    <t>advanced metallurgical group</t>
  </si>
  <si>
    <t>premier African minerals</t>
  </si>
  <si>
    <t>Iconic mineral limited</t>
  </si>
  <si>
    <t>https://news.metal.com/newscontent/102202196/smm-analysis-of-african-lithium-mines-covering-the-world</t>
  </si>
  <si>
    <t>SMM</t>
  </si>
  <si>
    <t>News article</t>
  </si>
  <si>
    <t>https://www.sec.gov/Archives/edgar/data/1728205/000172820520000018/ex99_1.htm</t>
  </si>
  <si>
    <t>https://s201.q4cdn.com/960975307/files/doc_financials/2022/ar/30639fbb-0251-46c1-be72-848ccd3b4198.pdf</t>
  </si>
  <si>
    <t>Albermarle Corporatation</t>
  </si>
  <si>
    <t>https://kodalminerals.com/wp-content/uploads/2024/02/Kodal-Investor-Presentation-FINAL-February-2024.pdf</t>
  </si>
  <si>
    <t>Kodac</t>
  </si>
  <si>
    <t>https://patriotbatterymetals.com/wp-content/uploads/2024/02/Patriot-Battery-Presentation-BMO-2024.pdf</t>
  </si>
  <si>
    <t>Patriot Battery Metal</t>
  </si>
  <si>
    <t>https://www.e3lithium.ca/_resources/reports/technical/20210917-NI43-101-E3-RESOURCE-EWRA-Amended-Final.pdf?v=0.759</t>
  </si>
  <si>
    <t>Metal Corporation</t>
  </si>
  <si>
    <t>https://www.e3lithium.ca/_resources/reports/technical/171222_E3+Metals_NI43-101_North+Rocky+Resource.pdf?v=0.850?v=0.617?v=0.700?v=0.209?v=0.074</t>
  </si>
  <si>
    <t>Metal corpporation</t>
  </si>
  <si>
    <t>https://www.e3lithium.ca/_resources/reports/technical/20210917-NI43-101-PEA-Report-Amended-Final.pdf?v=0.892</t>
  </si>
  <si>
    <t>Cornish Lithium</t>
  </si>
  <si>
    <t>Scoping study</t>
  </si>
  <si>
    <t>Chilean National Mining Service</t>
  </si>
  <si>
    <t>https://rjrlithium.cl/wp-content/uploads/2021/07/brochure.pdf</t>
  </si>
  <si>
    <t>RJR Lithium</t>
  </si>
  <si>
    <t>https://www.posco-inc.com:4453/poscoinc/v3/eng/business/s91e2000400c.jsp</t>
  </si>
  <si>
    <t>https://www.lithiumonemetals.com/_resources/presentations/corporate-presentation.pdf</t>
  </si>
  <si>
    <t>https://noramlithiumcorp.com/site/assets/files/3997/2023-03-20-updated-resource-estimate-zeus.pdf</t>
  </si>
  <si>
    <t>Noram Lithium Corporation</t>
  </si>
  <si>
    <t>https://noramlithiumcorp.com/site/assets/files/3911/noram_lithium_zeus_pea_dec_2021-min.pdf</t>
  </si>
  <si>
    <t>https://www.ganfenglithium.com/fileDownload/fileDir/635f3811b4ef7.pdf</t>
  </si>
  <si>
    <t>Ganfeng Lithium</t>
  </si>
  <si>
    <t>https://www.europeanmet.com/cinovec-project-overview/</t>
  </si>
  <si>
    <t>European Metals</t>
  </si>
  <si>
    <t>https://www.investi.com.au/api/announcements/vul/b3559a91-add.pdf</t>
  </si>
  <si>
    <t>Vulcan Energy</t>
  </si>
  <si>
    <t>https://v-er.eu/zero-carbon-lithium-tm-project-phase-one/</t>
  </si>
  <si>
    <t>https://company-announcements.afr.com/asx/vul/ad1b936d-ec89-11ee-b5fc-4a697ecfc17f.pdf</t>
  </si>
  <si>
    <t>Ioneer USA corp.</t>
  </si>
  <si>
    <t>Sibanye stillwater limited</t>
  </si>
  <si>
    <t>Rock Tech Lithium Inc.</t>
  </si>
  <si>
    <t>Arena minerals announcement</t>
  </si>
  <si>
    <t>Titan Lithium</t>
  </si>
  <si>
    <t>Emili Lithium</t>
  </si>
  <si>
    <t>Anso Resources</t>
  </si>
  <si>
    <t>https://www.ansonresources.com/paradox_lithium_project/</t>
  </si>
  <si>
    <t>Dakota minerals</t>
  </si>
  <si>
    <t>Utah geological survey</t>
  </si>
  <si>
    <t>Indigo explroration Inc.</t>
  </si>
  <si>
    <t>wood mackenzie</t>
  </si>
  <si>
    <t>Lawrence Berkely National Lab</t>
  </si>
  <si>
    <t>https://ctlithium.com/projects/laguna-verde/</t>
  </si>
  <si>
    <t>https://5eadvancedmaterials.com/about/resource/</t>
  </si>
  <si>
    <t>Gold mines Geoservices</t>
  </si>
  <si>
    <t>Hatch limited</t>
  </si>
  <si>
    <t>Edison Group</t>
  </si>
  <si>
    <t>Pure Energy Minerals</t>
  </si>
  <si>
    <t>https://static.cninfo.com.cn/finalpage/2022-01-15/1212191403.PDF</t>
  </si>
  <si>
    <t>Baowu</t>
  </si>
  <si>
    <t>Lithium chile inc.</t>
  </si>
  <si>
    <t>Springer paper: Pedro M.</t>
  </si>
  <si>
    <t>https://pdf.dfcfw.com/pdf/H3_AP202212021580769828_1.pdf</t>
  </si>
  <si>
    <t>Eastmoney Securities</t>
  </si>
  <si>
    <t>https://new.qq.com/rain/a/20240228A0315Z00</t>
  </si>
  <si>
    <t>News</t>
  </si>
  <si>
    <t>Goldman Sachs</t>
  </si>
  <si>
    <t>Current Lithium Mines</t>
  </si>
  <si>
    <t>Construction Planned</t>
  </si>
  <si>
    <t>Resource &gt;100 kt LCE</t>
  </si>
  <si>
    <t>Under Construction</t>
  </si>
  <si>
    <t>PEA/PFS Completed</t>
  </si>
  <si>
    <t>Feasibility Completed</t>
  </si>
  <si>
    <t>Capacity Forecast Status</t>
  </si>
  <si>
    <t>Deposit status according to reference for forecast capacity for 2025 and 2030</t>
  </si>
  <si>
    <t>https://pdf.dfcfw.com/pdf/H3_AP202209181578490013_1.pdf</t>
  </si>
  <si>
    <t>Essence Securities</t>
  </si>
  <si>
    <t>https://www.benchmarkminerals.com/</t>
  </si>
  <si>
    <t>Reference DLE</t>
  </si>
  <si>
    <t>ID</t>
  </si>
  <si>
    <t>https://www.science.org/doi/10.1126/sciadv.adh8183</t>
  </si>
  <si>
    <t>https://www.nature.com/articles/s41467-020-19106-z</t>
  </si>
  <si>
    <t>https://www.finnewsnetwork.com.au/newssystem/2023/LithiumMarketReviewAug23.pdf</t>
  </si>
  <si>
    <t>CEPAL</t>
  </si>
  <si>
    <t>Benson et al.</t>
  </si>
  <si>
    <t>Chen et al.</t>
  </si>
  <si>
    <t>https://www.edisongroup.com/research/alvarroes-resource-increases-290/23923/#:~:text=On%2011%20April%2C%20Lepidico%20announced%20an%20updated%20global,0.5m%20mineralised%20halo%20within%20the%20granite%20host%20rock.</t>
  </si>
  <si>
    <t>https://www.ioneer.com/wp-content/uploads/2022/07/300420-dfs-executive-summary-metric_final.pdf</t>
  </si>
  <si>
    <t>https://thevault.exchange/?get_group_doc=245/1703227704-SSW-Keliber-Project-technical-report-13Dec2023.pdf</t>
  </si>
  <si>
    <t>https://minedocs.com/21/Georgia-Lake-PEA-03152021.pdf</t>
  </si>
  <si>
    <t>https://announcements.asx.com.au/asxpdf/20221215/pdf/45jv3w598yqs63.pdf</t>
  </si>
  <si>
    <t>https://finance.yahoo.com/news/arena-minerals-announces-maiden-560-113000365.html?guccounter=1</t>
  </si>
  <si>
    <t>https://titanlithiuminc.com/wp-content/uploads/2023/03/Titan-Lithium-March-2023.pdf</t>
  </si>
  <si>
    <t>https://emili.imerys.com/presentation-du-projet-emili</t>
  </si>
  <si>
    <t>https://wcsecure.weblink.com.au/pdf/ASN/02592902.pdf</t>
  </si>
  <si>
    <t>https://wcsecure.weblink.com.au/pdf/ASN/02775741.pdf</t>
  </si>
  <si>
    <t>https://announcements.asx.com.au/asxpdf/20170220/pdf/43g3mh69g6b56j.pdf</t>
  </si>
  <si>
    <t>https://www.gazeta.uz/en/2023/04/27/lithium/</t>
  </si>
  <si>
    <t>https://ugspub.nr.utah.gov/publications/open_file_reports/ofr-759.pdf</t>
  </si>
  <si>
    <t>https://www.indigoexploration.com/news/news-2023/indigo-exploration-files-ni-43-101-technical-report-for-the-fox-creek-west-project-alberta</t>
  </si>
  <si>
    <t>https://www.woodmac.com/reports/metals-414-mine-lithium-mine-553969/</t>
  </si>
  <si>
    <t>Gazeta</t>
  </si>
  <si>
    <t>https://escholarship.org/uc/item/4x8868mf</t>
  </si>
  <si>
    <t>https://visionlithium.com/wp-content/uploads/2023/03/Vision_TechReport_March-23-2023.pdf</t>
  </si>
  <si>
    <t>https://cdn.prod.website-files.com/659bb4279842c79d410c6dca/65e0c0ca998e2bb4f8ad87a4_January_2024_Updated_Boardwalk_PEA-29.02.2024.pdf</t>
  </si>
  <si>
    <t>https://wp-pureenergyminerals-2023.s3.ca-central-1.amazonaws.com/media/2018/04/PureEnergy_ClaytonValleyPEA_Rev1_23March2018.pdf</t>
  </si>
  <si>
    <t>https://lithiumchile.ca/wp-content/uploads/2024/04/April-9-2024-LITHIUM-CHILE-INCREASES-LITHIUM-RESOURCE-BY-24-Final.pdf</t>
  </si>
  <si>
    <t>https://lithiumchile.ca/wp-content/uploads/2023/08/August-8-2023-LITHIUM-CHILE-DELIVERS-POSITIVE-PRELIMINARY-ECONOMIC-ASSESSMENT-FOR-THE-ARIZARO-PROJECT-IN-ARGENTINA.pdf</t>
  </si>
  <si>
    <t>https://link.springer.com/article/10.1007/s12665-019-8541-4</t>
  </si>
  <si>
    <t>Reference are listed in numbers and provided in full detail in sheet "References"</t>
  </si>
  <si>
    <t>Column ID indicates the number of the reference listed on the sheet "Deposits"</t>
  </si>
  <si>
    <t>Number reference pointing to sheet "References" ID Column</t>
  </si>
  <si>
    <t>Mining Data Online</t>
  </si>
  <si>
    <t>Reuters</t>
  </si>
  <si>
    <t>Investing news</t>
  </si>
  <si>
    <t>Arcadia Lithium</t>
  </si>
  <si>
    <t>ArgentinaGob</t>
  </si>
  <si>
    <t>Reference Forecast Capacity</t>
  </si>
  <si>
    <t>Avalon Advanced Materials</t>
  </si>
  <si>
    <t>million tons Li</t>
  </si>
  <si>
    <t>https://wcsecure.weblink.com.au/pdf/GL1/02371306.pdf</t>
  </si>
  <si>
    <t>Global Lithium Resources Limited</t>
  </si>
  <si>
    <t>Data S2. Lithium deposit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</si>
</sst>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Red]\-&quot;$&quot;#,##0"/>
    <numFmt numFmtId="165" formatCode="#,##0.0000"/>
    <numFmt numFmtId="166" formatCode="&quot;$&quot;#,##0"/>
    <numFmt numFmtId="167" formatCode="#,##0.0"/>
    <numFmt numFmtId="168" formatCode="&quot;$&quot;#,##0.0;[Red]\-&quot;$&quot;#,##0.0"/>
    <numFmt numFmtId="169" formatCode="0.0%"/>
    <numFmt numFmtId="170" formatCode="#,##0.000"/>
    <numFmt numFmtId="171" formatCode="dd\-mmm\-yy"/>
    <numFmt numFmtId="172" formatCode="d\-mmm\-yy"/>
  </numFmts>
  <fonts count="17" x14ac:knownFonts="1">
    <font>
      <sz val="11"/>
      <color theme="1"/>
      <name val="Aptos Narrow"/>
      <family val="2"/>
      <scheme val="minor"/>
    </font>
    <font>
      <sz val="11"/>
      <color theme="1"/>
      <name val="Times New Roman"/>
      <family val="1"/>
    </font>
    <font>
      <i/>
      <sz val="11"/>
      <color theme="1"/>
      <name val="Times New Roman"/>
      <family val="1"/>
    </font>
    <font>
      <b/>
      <sz val="11"/>
      <color theme="1"/>
      <name val="Calibri"/>
      <family val="2"/>
    </font>
    <font>
      <sz val="11"/>
      <color theme="1"/>
      <name val="Calibri"/>
      <family val="2"/>
    </font>
    <font>
      <u/>
      <sz val="11"/>
      <color theme="10"/>
      <name val="Aptos Narrow"/>
      <family val="2"/>
      <scheme val="minor"/>
    </font>
    <font>
      <u/>
      <sz val="11"/>
      <color rgb="FF000000"/>
      <name val="Calibri"/>
      <family val="2"/>
    </font>
    <font>
      <u/>
      <sz val="11"/>
      <color theme="1"/>
      <name val="Calibri"/>
      <family val="2"/>
    </font>
    <font>
      <sz val="11"/>
      <color rgb="FF000000"/>
      <name val="Calibri"/>
      <family val="2"/>
    </font>
    <font>
      <u/>
      <sz val="11"/>
      <color theme="10"/>
      <name val="Calibri"/>
      <family val="2"/>
    </font>
    <font>
      <u/>
      <sz val="11"/>
      <color rgb="FF0000FF"/>
      <name val="Calibri"/>
      <family val="2"/>
    </font>
    <font>
      <u/>
      <sz val="11"/>
      <color rgb="FF0563C1"/>
      <name val="Calibri"/>
      <family val="2"/>
    </font>
    <font>
      <sz val="9"/>
      <color rgb="FF000000"/>
      <name val="Arial"/>
      <family val="2"/>
    </font>
    <font>
      <i/>
      <sz val="11"/>
      <color theme="1"/>
      <name val="Calibri"/>
      <family val="2"/>
    </font>
    <font>
      <b/>
      <sz val="10"/>
      <color rgb="FF000000"/>
      <name val="Arial"/>
      <family val="2"/>
    </font>
    <font>
      <u/>
      <sz val="11"/>
      <color rgb="FF1155CC"/>
      <name val="Arial"/>
      <family val="2"/>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3" fillId="0" borderId="0" xfId="0" applyFont="1"/>
    <xf numFmtId="0" fontId="4" fillId="0" borderId="0" xfId="0" applyFont="1"/>
    <xf numFmtId="4" fontId="4" fillId="0" borderId="0" xfId="0" applyNumberFormat="1" applyFont="1"/>
    <xf numFmtId="0" fontId="8" fillId="0" borderId="0" xfId="0" applyFont="1"/>
    <xf numFmtId="0" fontId="9" fillId="0" borderId="0" xfId="0" applyFont="1"/>
    <xf numFmtId="15" fontId="4" fillId="0" borderId="0" xfId="0" applyNumberFormat="1" applyFont="1"/>
    <xf numFmtId="0" fontId="10" fillId="0" borderId="0" xfId="0" applyFont="1"/>
    <xf numFmtId="0" fontId="11" fillId="0" borderId="0" xfId="0" applyFont="1"/>
    <xf numFmtId="172" fontId="4" fillId="0" borderId="0" xfId="0" applyNumberFormat="1" applyFont="1"/>
    <xf numFmtId="0" fontId="4" fillId="0" borderId="0" xfId="0" applyFont="1" applyAlignment="1">
      <alignment wrapText="1"/>
    </xf>
    <xf numFmtId="0" fontId="1" fillId="0" borderId="0" xfId="0" applyFont="1"/>
    <xf numFmtId="0" fontId="2" fillId="0" borderId="0" xfId="0" applyFont="1"/>
    <xf numFmtId="0" fontId="3" fillId="0" borderId="0" xfId="0" applyFont="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3" fontId="4" fillId="0" borderId="0" xfId="0" applyNumberFormat="1" applyFont="1"/>
    <xf numFmtId="164" fontId="4" fillId="0" borderId="0" xfId="0" applyNumberFormat="1" applyFont="1"/>
    <xf numFmtId="0" fontId="4" fillId="0" borderId="0" xfId="0" applyFont="1" applyAlignment="1">
      <alignment horizontal="right"/>
    </xf>
    <xf numFmtId="0" fontId="6" fillId="0" borderId="0" xfId="0" applyFont="1"/>
    <xf numFmtId="0" fontId="7" fillId="0" borderId="0" xfId="0" applyFont="1"/>
    <xf numFmtId="165" fontId="4" fillId="0" borderId="0" xfId="0" applyNumberFormat="1" applyFont="1"/>
    <xf numFmtId="15" fontId="8" fillId="0" borderId="0" xfId="0" applyNumberFormat="1" applyFont="1"/>
    <xf numFmtId="166" fontId="4" fillId="0" borderId="0" xfId="0" applyNumberFormat="1" applyFont="1" applyAlignment="1">
      <alignment horizontal="right"/>
    </xf>
    <xf numFmtId="167" fontId="4" fillId="0" borderId="0" xfId="0" applyNumberFormat="1" applyFont="1"/>
    <xf numFmtId="168" fontId="4" fillId="0" borderId="0" xfId="0" applyNumberFormat="1" applyFont="1"/>
    <xf numFmtId="166" fontId="4" fillId="0" borderId="0" xfId="0" applyNumberFormat="1" applyFont="1"/>
    <xf numFmtId="169" fontId="4" fillId="0" borderId="0" xfId="0" applyNumberFormat="1" applyFont="1"/>
    <xf numFmtId="170" fontId="4" fillId="0" borderId="0" xfId="0" applyNumberFormat="1" applyFont="1"/>
    <xf numFmtId="0" fontId="4" fillId="0" borderId="0" xfId="0" applyFont="1" applyAlignment="1">
      <alignment vertical="center"/>
    </xf>
    <xf numFmtId="0" fontId="8" fillId="0" borderId="0" xfId="0" applyFont="1" applyAlignment="1">
      <alignment horizontal="left"/>
    </xf>
    <xf numFmtId="4" fontId="12" fillId="0" borderId="0" xfId="0" applyNumberFormat="1" applyFont="1" applyAlignment="1">
      <alignment horizontal="left"/>
    </xf>
    <xf numFmtId="0" fontId="6" fillId="0" borderId="0" xfId="0" applyFont="1" applyAlignment="1">
      <alignment horizontal="left"/>
    </xf>
    <xf numFmtId="171" fontId="4" fillId="0" borderId="0" xfId="0" applyNumberFormat="1" applyFont="1"/>
    <xf numFmtId="46" fontId="4" fillId="0" borderId="0" xfId="0" applyNumberFormat="1" applyFont="1"/>
    <xf numFmtId="0" fontId="5" fillId="0" borderId="0" xfId="1" applyFill="1"/>
    <xf numFmtId="16" fontId="4" fillId="0" borderId="0" xfId="0" applyNumberFormat="1" applyFont="1"/>
    <xf numFmtId="1" fontId="4" fillId="0" borderId="0" xfId="0" applyNumberFormat="1" applyFont="1"/>
    <xf numFmtId="4" fontId="8" fillId="0" borderId="0" xfId="0" applyNumberFormat="1" applyFont="1" applyAlignment="1">
      <alignment horizontal="left"/>
    </xf>
    <xf numFmtId="0" fontId="8" fillId="0" borderId="0" xfId="0" applyFont="1" applyAlignment="1">
      <alignment horizontal="center"/>
    </xf>
    <xf numFmtId="0" fontId="13" fillId="0" borderId="0" xfId="0" applyFont="1"/>
    <xf numFmtId="0" fontId="4" fillId="0" borderId="0" xfId="0" applyFont="1" applyAlignment="1">
      <alignment horizontal="left"/>
    </xf>
    <xf numFmtId="0" fontId="14" fillId="0" borderId="0" xfId="0" applyFont="1"/>
    <xf numFmtId="0" fontId="3" fillId="0" borderId="0" xfId="0" applyFont="1" applyAlignment="1">
      <alignment horizontal="left"/>
    </xf>
    <xf numFmtId="0" fontId="5" fillId="0" borderId="0" xfId="1"/>
    <xf numFmtId="0" fontId="3" fillId="0" borderId="1" xfId="0" applyFont="1" applyBorder="1"/>
    <xf numFmtId="0" fontId="11" fillId="0" borderId="0" xfId="0" applyFont="1" applyAlignment="1">
      <alignment horizontal="left"/>
    </xf>
    <xf numFmtId="0" fontId="15" fillId="0" borderId="0" xfId="0" applyFont="1"/>
    <xf numFmtId="0" fontId="16"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xinjiang.gov.cn/xinjiang/dzdt/202302/daca07b82a4a48dca247a1d6c8e31151.shtml" TargetMode="External"/><Relationship Id="rId3" Type="http://schemas.openxmlformats.org/officeDocument/2006/relationships/hyperlink" Target="https://albemarlekingsmountain.com/storage/components/alb_fact_sheet_final_1.pdf" TargetMode="External"/><Relationship Id="rId7" Type="http://schemas.openxmlformats.org/officeDocument/2006/relationships/hyperlink" Target="https://www.allkem.co/projects/mt-cattlin" TargetMode="External"/><Relationship Id="rId2" Type="http://schemas.openxmlformats.org/officeDocument/2006/relationships/hyperlink" Target="https://www.aspecthuntley.com.au/asxdata/20230405/pdf/02651733.pdf%20pg%2027" TargetMode="External"/><Relationship Id="rId1" Type="http://schemas.openxmlformats.org/officeDocument/2006/relationships/hyperlink" Target="https://www.allkem.co/projects/olaroz" TargetMode="External"/><Relationship Id="rId6" Type="http://schemas.openxmlformats.org/officeDocument/2006/relationships/hyperlink" Target="https://lithium-x.com/sal-de-los-angeles/" TargetMode="External"/><Relationship Id="rId5" Type="http://schemas.openxmlformats.org/officeDocument/2006/relationships/hyperlink" Target="https://www.lithiumsouth.com/wp-content/uploads/HMN-Final-Report-190808.pdf" TargetMode="External"/><Relationship Id="rId10" Type="http://schemas.openxmlformats.org/officeDocument/2006/relationships/printerSettings" Target="../printerSettings/printerSettings1.bin"/><Relationship Id="rId4" Type="http://schemas.openxmlformats.org/officeDocument/2006/relationships/hyperlink" Target="https://www.lithiumsouth.com/projects/" TargetMode="External"/><Relationship Id="rId9" Type="http://schemas.openxmlformats.org/officeDocument/2006/relationships/hyperlink" Target="http://bnr.yichun.gov.cn/ycszrzyj/tzgg4d/202306/56038a17b3f040da8190179b7fe5748e.s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clients3.weblink.com.au/pdf/MIN/02037855.pdf" TargetMode="External"/><Relationship Id="rId21" Type="http://schemas.openxmlformats.org/officeDocument/2006/relationships/hyperlink" Target="https://www.wesfarmers.com.au/docs/default-source/asx-announcements/kdr-registration-of-scheme-booklet.pdf?sfvrsn=13043ebb_0" TargetMode="External"/><Relationship Id="rId42" Type="http://schemas.openxmlformats.org/officeDocument/2006/relationships/hyperlink" Target="https://minedocs.com/19/Grota-do-Cirilo-Xuxa-FS-Barreiro-PFS-5302022.pdf" TargetMode="External"/><Relationship Id="rId47" Type="http://schemas.openxmlformats.org/officeDocument/2006/relationships/hyperlink" Target="https://piedmontlithium.com/piedmont-increases-mineral-resources-with-completion-of-phase-5-infill-drilling/" TargetMode="External"/><Relationship Id="rId63" Type="http://schemas.openxmlformats.org/officeDocument/2006/relationships/hyperlink" Target="https://www.newsfilecorp.com/release/156717/International-Lithium-Announces-Maiden-Mineral-Resource-Estimate-at-The-Raleigh-Lake-Lithium-Project-Ontario-Canada" TargetMode="External"/><Relationship Id="rId68" Type="http://schemas.openxmlformats.org/officeDocument/2006/relationships/hyperlink" Target="https://www.sec.gov/Archives/edgar/data/1728205/000172820520000018/ex99_1.htm" TargetMode="External"/><Relationship Id="rId84" Type="http://schemas.openxmlformats.org/officeDocument/2006/relationships/hyperlink" Target="https://pdf.dfcfw.com/pdf/H3_AP202212021580769828_1.pdf" TargetMode="External"/><Relationship Id="rId89" Type="http://schemas.openxmlformats.org/officeDocument/2006/relationships/hyperlink" Target="http://www.poscoargentina.com/" TargetMode="External"/><Relationship Id="rId16" Type="http://schemas.openxmlformats.org/officeDocument/2006/relationships/hyperlink" Target="https://www.datocms-assets.com/53992/1698636722-cauchari-lithium-brine-project-ni-43-101-technical-report-prefeasibility-study_final.pdf" TargetMode="External"/><Relationship Id="rId107" Type="http://schemas.openxmlformats.org/officeDocument/2006/relationships/printerSettings" Target="../printerSettings/printerSettings2.bin"/><Relationship Id="rId11" Type="http://schemas.openxmlformats.org/officeDocument/2006/relationships/hyperlink" Target="https://static1.squarespace.com/static/61711d27ed0db12cacbcfb5a/t/6532152bd6c00a6fed803a87/1697781036360/2023.10.20+-+Project+Development+Update+-+Ewoyaa+ML+Grant+%28ASX%29.Final.pdf" TargetMode="External"/><Relationship Id="rId32" Type="http://schemas.openxmlformats.org/officeDocument/2006/relationships/hyperlink" Target="https://www.datocms-assets.com/53992/1698636645-olaroz-lithium-facility-ni-43-101-technical-report-feasibility-study_final.pdf" TargetMode="External"/><Relationship Id="rId37" Type="http://schemas.openxmlformats.org/officeDocument/2006/relationships/hyperlink" Target="https://www.listcorp.com/asx/asn/anson-resources-limited/news/investor-presentation-june-2023-2880942.html" TargetMode="External"/><Relationship Id="rId53" Type="http://schemas.openxmlformats.org/officeDocument/2006/relationships/hyperlink" Target="https://www.savannahresources.com/project/barroso-lithium-project-portugal/" TargetMode="External"/><Relationship Id="rId58" Type="http://schemas.openxmlformats.org/officeDocument/2006/relationships/hyperlink" Target="https://b61c7e0b-ed43-4605-8a65-97f4facfef40.usrfiles.com/ugd/b61c7e_b81f59db1aa046d7a2f731c237904aff.pdf" TargetMode="External"/><Relationship Id="rId74" Type="http://schemas.openxmlformats.org/officeDocument/2006/relationships/hyperlink" Target="https://cornishlithium.com/projects/lithium-in-hard-rock/trelavour/" TargetMode="External"/><Relationship Id="rId79" Type="http://schemas.openxmlformats.org/officeDocument/2006/relationships/hyperlink" Target="https://rjrlithium.cl/wp-content/uploads/2021/07/brochure.pdf" TargetMode="External"/><Relationship Id="rId102" Type="http://schemas.openxmlformats.org/officeDocument/2006/relationships/hyperlink" Target="https://www.lithiumsouth.com/wp-content/uploads/HMN-Final-Report-190808.pdf" TargetMode="External"/><Relationship Id="rId5" Type="http://schemas.openxmlformats.org/officeDocument/2006/relationships/hyperlink" Target="https://bacanoralithium.com/_userfiles/pages/files/documents/technicalreportontheprefeasibilitystudyforthesonoralithiumprojectmexico_compressed.pdf" TargetMode="External"/><Relationship Id="rId90" Type="http://schemas.openxmlformats.org/officeDocument/2006/relationships/hyperlink" Target="https://miningdataonline.com/property/3461/Pozuelos-Pastos-Grandes.aspx" TargetMode="External"/><Relationship Id="rId95" Type="http://schemas.openxmlformats.org/officeDocument/2006/relationships/hyperlink" Target="https://markets.ft.com/data/announce/detail?dockey=1323-16356342-1GH45S7GPIKOCK0F5P5UMCL2KT" TargetMode="External"/><Relationship Id="rId22" Type="http://schemas.openxmlformats.org/officeDocument/2006/relationships/hyperlink" Target="https://www.nsenergybusiness.com/projects/salar-de-uyuni-lithium-deposit/" TargetMode="External"/><Relationship Id="rId27" Type="http://schemas.openxmlformats.org/officeDocument/2006/relationships/hyperlink" Target="https://www.eramet.com/wp-content/uploads/2023/03/ERAM_DEU_2020_EN_MEL-Vdef.pdf" TargetMode="External"/><Relationship Id="rId43" Type="http://schemas.openxmlformats.org/officeDocument/2006/relationships/hyperlink" Target="https://www.frontierlithium.com/_files/ugd/dec7de_0361ed371f584d4baa62be93d01d94c3.pdf" TargetMode="External"/><Relationship Id="rId48" Type="http://schemas.openxmlformats.org/officeDocument/2006/relationships/hyperlink" Target="https://minedocs.com/21/MtMarion_MR_update_10312018.pdf" TargetMode="External"/><Relationship Id="rId64" Type="http://schemas.openxmlformats.org/officeDocument/2006/relationships/hyperlink" Target="https://hugin.info/138060/R/2092860/796776.pdf" TargetMode="External"/><Relationship Id="rId69" Type="http://schemas.openxmlformats.org/officeDocument/2006/relationships/hyperlink" Target="https://s201.q4cdn.com/960975307/files/doc_financials/2022/ar/30639fbb-0251-46c1-be72-848ccd3b4198.pdf" TargetMode="External"/><Relationship Id="rId80" Type="http://schemas.openxmlformats.org/officeDocument/2006/relationships/hyperlink" Target="https://repositorio.cepal.org/server/api/core/bitstreams/adbb16fd-48d0-4ba6-aab4-59561bfa0578/content" TargetMode="External"/><Relationship Id="rId85" Type="http://schemas.openxmlformats.org/officeDocument/2006/relationships/hyperlink" Target="https://www.goldmansachs.com/intelligence/pages/gs-research/direct-lithium-extraction/report.pdf" TargetMode="External"/><Relationship Id="rId12" Type="http://schemas.openxmlformats.org/officeDocument/2006/relationships/hyperlink" Target="https://www.cecorp.ca/en/critical-elements-lithium-announces-new-positive-feasibility-study-for-the-rose-lithium-project-generating-an-after-tax-npv8-of-us2-2b-and-an-after-tax-irr-of-65-7/" TargetMode="External"/><Relationship Id="rId17" Type="http://schemas.openxmlformats.org/officeDocument/2006/relationships/hyperlink" Target="https://lithiumamericas.com/thacker-pass/overview/default.aspx" TargetMode="External"/><Relationship Id="rId33" Type="http://schemas.openxmlformats.org/officeDocument/2006/relationships/hyperlink" Target="https://livent.com/wp-content/uploads/2023/06/2023-Livent-Resource-and-Reserve-Report-Salar-del-Hombre-Muerto.pdf" TargetMode="External"/><Relationship Id="rId38" Type="http://schemas.openxmlformats.org/officeDocument/2006/relationships/hyperlink" Target="https://cdn-api.markitdigital.com/apiman-gateway/ASX/asx-research/1.0/file/2924-02336173-6A1018162?access_token=83ff96335c2d45a094df02a206a39ff4" TargetMode="External"/><Relationship Id="rId59" Type="http://schemas.openxmlformats.org/officeDocument/2006/relationships/hyperlink" Target="https://www.arizonalithium.com/projects/big-sandy-lithium/" TargetMode="External"/><Relationship Id="rId103" Type="http://schemas.openxmlformats.org/officeDocument/2006/relationships/hyperlink" Target="https://www.vzkoo.com/read/57b2fe8bea6edc1eee10fdf53f71c923.html" TargetMode="External"/><Relationship Id="rId20" Type="http://schemas.openxmlformats.org/officeDocument/2006/relationships/hyperlink" Target="https://americanlithiumcorp.com/wp-content/uploads/2022/12/NR_2022_12_01_TLC-Mineral-Resource-Estimate-Update-Final-Final.pdf" TargetMode="External"/><Relationship Id="rId41" Type="http://schemas.openxmlformats.org/officeDocument/2006/relationships/hyperlink" Target="https://wcsecure.weblink.com.au/pdf/SYA/02523963.pdf" TargetMode="External"/><Relationship Id="rId54" Type="http://schemas.openxmlformats.org/officeDocument/2006/relationships/hyperlink" Target="https://www.ltresources.com.au/wp-content/uploads/2023/05/624aa87d3dd52088027b8837_Resources-Reserves-and-CP-Statements.pdf" TargetMode="External"/><Relationship Id="rId62" Type="http://schemas.openxmlformats.org/officeDocument/2006/relationships/hyperlink" Target="https://www.investi.com.au/api/announcements/lrs/53db2b2b-23a.pdf" TargetMode="External"/><Relationship Id="rId70" Type="http://schemas.openxmlformats.org/officeDocument/2006/relationships/hyperlink" Target="https://patriotbatterymetals.com/wp-content/uploads/2024/02/Patriot-Battery-Presentation-BMO-2024.pdf" TargetMode="External"/><Relationship Id="rId75" Type="http://schemas.openxmlformats.org/officeDocument/2006/relationships/hyperlink" Target="https://repositorio.sernageomin.cl/items/fe3e1824-add6-4aa3-a5c7-7dabd41e4f00/full" TargetMode="External"/><Relationship Id="rId83" Type="http://schemas.openxmlformats.org/officeDocument/2006/relationships/hyperlink" Target="https://www.ansonresources.com/paradox_lithium_project/" TargetMode="External"/><Relationship Id="rId88" Type="http://schemas.openxmlformats.org/officeDocument/2006/relationships/hyperlink" Target="https://miningdataonline.com/property/3036/Cauchari-Olaroz.aspx" TargetMode="External"/><Relationship Id="rId91" Type="http://schemas.openxmlformats.org/officeDocument/2006/relationships/hyperlink" Target="https://miningdataonline.com/property/1684/Whabouchi.aspx" TargetMode="External"/><Relationship Id="rId96" Type="http://schemas.openxmlformats.org/officeDocument/2006/relationships/hyperlink" Target="https://finance.yahoo.com/news/enirgi-group-announces-positive-results-180919697.html" TargetMode="External"/><Relationship Id="rId1" Type="http://schemas.openxmlformats.org/officeDocument/2006/relationships/hyperlink" Target="https://docslib.org/doc/6515777/updated-feasibility-study-and-mineral-reserve-estimation-to-support-40-000-tpa-lithium-carbonate-production-at-the-cauchari-olaroz-salars-jujuy-province-argentina" TargetMode="External"/><Relationship Id="rId6" Type="http://schemas.openxmlformats.org/officeDocument/2006/relationships/hyperlink" Target="https://minedocs.com/22/Goulamina-FS-12062021.pdf" TargetMode="External"/><Relationship Id="rId15" Type="http://schemas.openxmlformats.org/officeDocument/2006/relationships/hyperlink" Target="https://www.allkem.co/projects/mt-cattlin" TargetMode="External"/><Relationship Id="rId23" Type="http://schemas.openxmlformats.org/officeDocument/2006/relationships/hyperlink" Target="https://www.mdpi.com/2071-1050/15/19/14067" TargetMode="External"/><Relationship Id="rId28" Type="http://schemas.openxmlformats.org/officeDocument/2006/relationships/hyperlink" Target="https://www.riotinto.com/-/media/Content/Documents/Invest/Reserves-and-resources/2021/RT-Jadar-reserves-resources-2021.pdf?rev=e1220b9671424ad9b275dd6bdd2ed480" TargetMode="External"/><Relationship Id="rId36" Type="http://schemas.openxmlformats.org/officeDocument/2006/relationships/hyperlink" Target="https://minedocs.com/21/Candelas-PEA-11302021.pdf" TargetMode="External"/><Relationship Id="rId49" Type="http://schemas.openxmlformats.org/officeDocument/2006/relationships/hyperlink" Target="https://polaris.brighterir.com/public/andrada_mining/news/rns/story/x4g8q3x" TargetMode="External"/><Relationship Id="rId57" Type="http://schemas.openxmlformats.org/officeDocument/2006/relationships/hyperlink" Target="https://wcsecure.weblink.com.au/pdf/ESS/02380700.pdf" TargetMode="External"/><Relationship Id="rId106" Type="http://schemas.openxmlformats.org/officeDocument/2006/relationships/hyperlink" Target="https://m.bjnews.com.cn/detail/163067811814263.html" TargetMode="External"/><Relationship Id="rId10" Type="http://schemas.openxmlformats.org/officeDocument/2006/relationships/hyperlink" Target="https://docslib.org/doc/8461864/ni-43-101-technical-report-salar-de-los-angeles-project-salar-de" TargetMode="External"/><Relationship Id="rId31" Type="http://schemas.openxmlformats.org/officeDocument/2006/relationships/hyperlink" Target="https://www.igo.com.au/site/pdf/c5d6ce55-e0f1-49ea-8e94-e3d95b1f3da2/Greenbushes-Site-Visit-Presentation.pdf" TargetMode="External"/><Relationship Id="rId44" Type="http://schemas.openxmlformats.org/officeDocument/2006/relationships/hyperlink" Target="https://lakeresources.com.au/wp-content/uploads/2023/12/lke_kachi-dfs_19-dec-23.pdf" TargetMode="External"/><Relationship Id="rId52" Type="http://schemas.openxmlformats.org/officeDocument/2006/relationships/hyperlink" Target="https://sayonamining.com.au/projects/moblan-project/" TargetMode="External"/><Relationship Id="rId60" Type="http://schemas.openxmlformats.org/officeDocument/2006/relationships/hyperlink" Target="https://www.arizonalithium.com/projects/prairie-lithium/" TargetMode="External"/><Relationship Id="rId65" Type="http://schemas.openxmlformats.org/officeDocument/2006/relationships/hyperlink" Target="https://www.premierafricanminerals.com/investors/corporate-presentation/download?path=210323_PREM_Presentation%2BJune%2B2021%2BNEW%2B003.pdf" TargetMode="External"/><Relationship Id="rId73" Type="http://schemas.openxmlformats.org/officeDocument/2006/relationships/hyperlink" Target="https://www.e3lithium.ca/_resources/reports/technical/20210917-NI43-101-PEA-Report-Amended-Final.pdf?v=0.892" TargetMode="External"/><Relationship Id="rId78" Type="http://schemas.openxmlformats.org/officeDocument/2006/relationships/hyperlink" Target="https://repositorio.sernageomin.cl/server/api/core/bitstreams/2cda3fe3-3054-41f8-932e-d2674617832f/content" TargetMode="External"/><Relationship Id="rId81" Type="http://schemas.openxmlformats.org/officeDocument/2006/relationships/hyperlink" Target="https://www.posco-inc.com:4453/poscoinc/v3/eng/business/s91e2000400c.jsp" TargetMode="External"/><Relationship Id="rId86" Type="http://schemas.openxmlformats.org/officeDocument/2006/relationships/hyperlink" Target="https://minedocs.com/17/TawanaResources_Reserves_2018.pdf" TargetMode="External"/><Relationship Id="rId94" Type="http://schemas.openxmlformats.org/officeDocument/2006/relationships/hyperlink" Target="https://jamesbay.allkem.co/en/project-2/" TargetMode="External"/><Relationship Id="rId99" Type="http://schemas.openxmlformats.org/officeDocument/2006/relationships/hyperlink" Target="https://www.eramet.com/wp-content/uploads/2023/04/2023-03-08-Eramet_Centenario_Investors-Presentation.pdf" TargetMode="External"/><Relationship Id="rId101" Type="http://schemas.openxmlformats.org/officeDocument/2006/relationships/hyperlink" Target="https://finance.sina.com.cn/roll/2021-08-30/doc-iktzscyx1176834.shtml" TargetMode="External"/><Relationship Id="rId4" Type="http://schemas.openxmlformats.org/officeDocument/2006/relationships/hyperlink" Target="https://www.datocms-assets.com/53992/1698636681-sal-de-vida-lithium-brine-project-ni-43-101-technical-report-feasibility-study_final.pdf" TargetMode="External"/><Relationship Id="rId9" Type="http://schemas.openxmlformats.org/officeDocument/2006/relationships/hyperlink" Target="https://www.rscmme.com/report/Nemaska_Lithium_Inc_Whabouchi_31-7-2019" TargetMode="External"/><Relationship Id="rId13" Type="http://schemas.openxmlformats.org/officeDocument/2006/relationships/hyperlink" Target="https://kodalminerals.com/wp-content/uploads/2020/08/KOD-Company-Update-26-May-2020-SBP-d2-1.pdf" TargetMode="External"/><Relationship Id="rId18" Type="http://schemas.openxmlformats.org/officeDocument/2006/relationships/hyperlink" Target="https://s3.ap-southeast-2.amazonaws.com/assets.jindaleelithium.com/app/uploads/2023/10/23083152/2023-AGM-Presentationv2.pdf" TargetMode="External"/><Relationship Id="rId39" Type="http://schemas.openxmlformats.org/officeDocument/2006/relationships/hyperlink" Target="https://annualreport.stocklight.com/nyse/alb/23558082.pdf" TargetMode="External"/><Relationship Id="rId34" Type="http://schemas.openxmlformats.org/officeDocument/2006/relationships/hyperlink" Target="https://www.lithiumsouth.com/wp-content/uploads/2023-technical-report-NI43-101.pdf" TargetMode="External"/><Relationship Id="rId50" Type="http://schemas.openxmlformats.org/officeDocument/2006/relationships/hyperlink" Target="https://storage.googleapis.com/leaf-prod/moodys-announcements/LSE/ZNWD/2024-02-21/8278D.pdf" TargetMode="External"/><Relationship Id="rId55" Type="http://schemas.openxmlformats.org/officeDocument/2006/relationships/hyperlink" Target="https://prospectresources.com.au/arcadia-case-study/" TargetMode="External"/><Relationship Id="rId76" Type="http://schemas.openxmlformats.org/officeDocument/2006/relationships/hyperlink" Target="https://repositorio.sernageomin.cl/items/46e40691-7500-40e7-baa4-3426aa5dc924" TargetMode="External"/><Relationship Id="rId97" Type="http://schemas.openxmlformats.org/officeDocument/2006/relationships/hyperlink" Target="https://www.avalonadvancedmaterials.com/lithium-mining" TargetMode="External"/><Relationship Id="rId104" Type="http://schemas.openxmlformats.org/officeDocument/2006/relationships/hyperlink" Target="https://www.argentina.gob.ar/sites/default/files/portfolio_lithium_feb2023_1_0.pdf" TargetMode="External"/><Relationship Id="rId7" Type="http://schemas.openxmlformats.org/officeDocument/2006/relationships/hyperlink" Target="https://www.mining-technology.com/projects/arcadia-lithium-project-harare/?cf-view" TargetMode="External"/><Relationship Id="rId71" Type="http://schemas.openxmlformats.org/officeDocument/2006/relationships/hyperlink" Target="https://www.e3lithium.ca/_resources/reports/technical/20210917-NI43-101-E3-RESOURCE-EWRA-Amended-Final.pdf?v=0.759" TargetMode="External"/><Relationship Id="rId92" Type="http://schemas.openxmlformats.org/officeDocument/2006/relationships/hyperlink" Target="https://www.argentina.gob.ar/economia/mineria/siacam/tablero-global-del-litio" TargetMode="External"/><Relationship Id="rId2" Type="http://schemas.openxmlformats.org/officeDocument/2006/relationships/hyperlink" Target="https://minedocs.com/20/Manono-DFS-04212020.pdf" TargetMode="External"/><Relationship Id="rId29" Type="http://schemas.openxmlformats.org/officeDocument/2006/relationships/hyperlink" Target="https://wcsecure.weblink.com.au/pdf/GT1/02660649.pdf" TargetMode="External"/><Relationship Id="rId24" Type="http://schemas.openxmlformats.org/officeDocument/2006/relationships/hyperlink" Target="https://www.centurylithium.com/_resources/technical-reports/cyp_pfs_amended_march_15th-2021.pdf?v=0.237" TargetMode="External"/><Relationship Id="rId40" Type="http://schemas.openxmlformats.org/officeDocument/2006/relationships/hyperlink" Target="https://www.miningnewsfeed.com/reports/PozuelosPastosGrandes_PEA_01172019.pdf" TargetMode="External"/><Relationship Id="rId45" Type="http://schemas.openxmlformats.org/officeDocument/2006/relationships/hyperlink" Target="https://plateauenergymetals.com/wp-content/uploads/2019/04/43-101-Falchani-Project-20190418_final.pdf" TargetMode="External"/><Relationship Id="rId66" Type="http://schemas.openxmlformats.org/officeDocument/2006/relationships/hyperlink" Target="https://iconicminerals.com/wp-content/uploads/2021/10/Bonnie-Claire-PEA-Technical-Report-REV0.pdf" TargetMode="External"/><Relationship Id="rId87" Type="http://schemas.openxmlformats.org/officeDocument/2006/relationships/hyperlink" Target="https://v-er.eu/pilot-plants/" TargetMode="External"/><Relationship Id="rId61" Type="http://schemas.openxmlformats.org/officeDocument/2006/relationships/hyperlink" Target="https://wcsecure.weblink.com.au/pdf/CXO/02423943.pdf" TargetMode="External"/><Relationship Id="rId82" Type="http://schemas.openxmlformats.org/officeDocument/2006/relationships/hyperlink" Target="https://www.europeanmet.com/cinovec-project-overview/" TargetMode="External"/><Relationship Id="rId19" Type="http://schemas.openxmlformats.org/officeDocument/2006/relationships/hyperlink" Target="https://lithiumpowerinternational.com/wp-content/uploads/2022/01/NI43-101_DFS2022_LR.pdf" TargetMode="External"/><Relationship Id="rId14" Type="http://schemas.openxmlformats.org/officeDocument/2006/relationships/hyperlink" Target="https://news.metal.com/newscontent/102202196/SMM-Analysis-of-African-Lithium-Mines-Covering-the-World%E2%80%99s-Top-Ones/" TargetMode="External"/><Relationship Id="rId30" Type="http://schemas.openxmlformats.org/officeDocument/2006/relationships/hyperlink" Target="https://minedocs.com/21/3Q_(Tres_Quebradas)-CP-012021.pdf" TargetMode="External"/><Relationship Id="rId35" Type="http://schemas.openxmlformats.org/officeDocument/2006/relationships/hyperlink" Target="https://galanlithium.com.au/wp-content/uploads/2023/07/GLN_Preso_20230705.pdf" TargetMode="External"/><Relationship Id="rId56" Type="http://schemas.openxmlformats.org/officeDocument/2006/relationships/hyperlink" Target="https://europeanlithium.com/wp-content/uploads/2021/03/210201-European-Lithium-Presentation_Feb-2021FINAL.pdf" TargetMode="External"/><Relationship Id="rId77" Type="http://schemas.openxmlformats.org/officeDocument/2006/relationships/hyperlink" Target="https://repositorio.sernageomin.cl/items/5b677962-995d-454b-bb8d-d58c22d42cf5" TargetMode="External"/><Relationship Id="rId100" Type="http://schemas.openxmlformats.org/officeDocument/2006/relationships/hyperlink" Target="https://www.sec.gov/Archives/edgar/data/915913/000091591322000025/exhibit9631231202110-k.htm" TargetMode="External"/><Relationship Id="rId105" Type="http://schemas.openxmlformats.org/officeDocument/2006/relationships/hyperlink" Target="https://www.mining.com/web/sinomine-invests-200m-in-zimbabwe-lithium-project/" TargetMode="External"/><Relationship Id="rId8" Type="http://schemas.openxmlformats.org/officeDocument/2006/relationships/hyperlink" Target="https://www.datocms-assets.com/53992/1640062078-211221-james-bay-lithium-project-feasibility-study-maiden-ore-reserver-final-asx-release.pdf" TargetMode="External"/><Relationship Id="rId51" Type="http://schemas.openxmlformats.org/officeDocument/2006/relationships/hyperlink" Target="https://sayonamining.com.au/projects/authier-project/" TargetMode="External"/><Relationship Id="rId72" Type="http://schemas.openxmlformats.org/officeDocument/2006/relationships/hyperlink" Target="https://www.e3lithium.ca/_resources/reports/technical/171222_E3+Metals_NI43-101_North+Rocky+Resource.pdf?v=0.850?v=0.617?v=0.700?v=0.209?v=0.074" TargetMode="External"/><Relationship Id="rId93" Type="http://schemas.openxmlformats.org/officeDocument/2006/relationships/hyperlink" Target="https://investingnews.com/maricunga-lithium-brine-project-status/" TargetMode="External"/><Relationship Id="rId98" Type="http://schemas.openxmlformats.org/officeDocument/2006/relationships/hyperlink" Target="https://wcsecure.weblink.com.au/pdf/GL1/02371306.pdf" TargetMode="External"/><Relationship Id="rId3" Type="http://schemas.openxmlformats.org/officeDocument/2006/relationships/hyperlink" Target="https://www.igo.com.au/site/operations/lithium-holdco-joint-venture" TargetMode="External"/><Relationship Id="rId25" Type="http://schemas.openxmlformats.org/officeDocument/2006/relationships/hyperlink" Target="https://1pls.irmau.com/site/pdf/ff0c3ffb-b047-4066-bda0-b9df68c7a477/2023-Annual-Report-incorporating-Appendix-4E.pdf" TargetMode="External"/><Relationship Id="rId46" Type="http://schemas.openxmlformats.org/officeDocument/2006/relationships/hyperlink" Target="https://cdn-api.markitdigital.com/apiman-gateway/ASX/asx-research/1.0/file/2924-02341637-6A1020404?access_token=83ff96335c2d45a094df02a206a39ff4" TargetMode="External"/><Relationship Id="rId67" Type="http://schemas.openxmlformats.org/officeDocument/2006/relationships/hyperlink" Target="https://news.metal.com/newscontent/102202196/smm-analysis-of-african-lithium-mines-covering-the-worl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09B44-35F5-444F-91B0-E1D03C70E892}">
  <dimension ref="A1:BN166"/>
  <sheetViews>
    <sheetView workbookViewId="0">
      <pane xSplit="3" ySplit="5" topLeftCell="D15" activePane="bottomRight" state="frozen"/>
      <selection pane="topRight" activeCell="D1" sqref="D1"/>
      <selection pane="bottomLeft" activeCell="A6" sqref="A6"/>
      <selection pane="bottomRight" activeCell="E5" sqref="E5"/>
    </sheetView>
  </sheetViews>
  <sheetFormatPr defaultColWidth="9.109375" defaultRowHeight="13.8" x14ac:dyDescent="0.25"/>
  <cols>
    <col min="1" max="1" width="15.44140625" style="11" customWidth="1"/>
    <col min="2" max="2" width="14" style="11" bestFit="1" customWidth="1"/>
    <col min="3" max="3" width="45" style="11" bestFit="1" customWidth="1"/>
    <col min="4" max="4" width="12.88671875" style="11" bestFit="1" customWidth="1"/>
    <col min="5" max="5" width="14.44140625" style="11" bestFit="1" customWidth="1"/>
    <col min="6" max="7" width="20.44140625" style="11" bestFit="1" customWidth="1"/>
    <col min="8" max="8" width="19.44140625" style="11" bestFit="1" customWidth="1"/>
    <col min="9" max="9" width="19.44140625" style="11" customWidth="1"/>
    <col min="10" max="10" width="20" style="11" bestFit="1" customWidth="1"/>
    <col min="11" max="11" width="18.88671875" style="11" bestFit="1" customWidth="1"/>
    <col min="12" max="12" width="12.33203125" style="11" bestFit="1" customWidth="1"/>
    <col min="13" max="13" width="22.33203125" style="11" bestFit="1" customWidth="1"/>
    <col min="14" max="14" width="23.44140625" style="11" customWidth="1"/>
    <col min="15" max="16" width="28.88671875" style="11" bestFit="1" customWidth="1"/>
    <col min="17" max="18" width="22.33203125" style="11" customWidth="1"/>
    <col min="19" max="25" width="20.6640625" style="11" customWidth="1"/>
    <col min="26" max="26" width="23.33203125" style="11" customWidth="1"/>
    <col min="27" max="49" width="20.6640625" style="11" customWidth="1"/>
    <col min="50" max="50" width="21.5546875" style="11" bestFit="1" customWidth="1"/>
    <col min="51" max="68" width="20.6640625" style="11" customWidth="1"/>
    <col min="69" max="16384" width="9.109375" style="11"/>
  </cols>
  <sheetData>
    <row r="1" spans="1:66" ht="14.4" x14ac:dyDescent="0.3">
      <c r="A1" s="1" t="s">
        <v>1455</v>
      </c>
    </row>
    <row r="2" spans="1:66" ht="14.4" x14ac:dyDescent="0.3">
      <c r="A2" s="40" t="s">
        <v>0</v>
      </c>
    </row>
    <row r="3" spans="1:66" ht="14.4" x14ac:dyDescent="0.3">
      <c r="A3" s="40" t="s">
        <v>1442</v>
      </c>
    </row>
    <row r="4" spans="1:66" x14ac:dyDescent="0.25">
      <c r="H4" s="12"/>
      <c r="I4" s="12"/>
      <c r="L4" s="12"/>
      <c r="O4" s="12"/>
      <c r="P4" s="12"/>
      <c r="Q4" s="12"/>
      <c r="R4" s="12"/>
      <c r="S4" s="11" t="s">
        <v>1056</v>
      </c>
      <c r="AB4" s="11" t="s">
        <v>1066</v>
      </c>
      <c r="AK4" s="11" t="s">
        <v>1072</v>
      </c>
      <c r="AS4" s="11" t="s">
        <v>1094</v>
      </c>
      <c r="AX4" s="11" t="s">
        <v>1110</v>
      </c>
      <c r="BG4" s="11" t="s">
        <v>1089</v>
      </c>
    </row>
    <row r="5" spans="1:66" ht="14.4" x14ac:dyDescent="0.3">
      <c r="A5" s="1" t="s">
        <v>1</v>
      </c>
      <c r="B5" s="1" t="s">
        <v>1046</v>
      </c>
      <c r="C5" s="1" t="s">
        <v>2</v>
      </c>
      <c r="D5" s="13" t="s">
        <v>4</v>
      </c>
      <c r="E5" s="13" t="s">
        <v>5</v>
      </c>
      <c r="F5" s="13" t="s">
        <v>3</v>
      </c>
      <c r="G5" s="13" t="s">
        <v>1047</v>
      </c>
      <c r="H5" s="13" t="s">
        <v>1044</v>
      </c>
      <c r="I5" s="13" t="s">
        <v>1411</v>
      </c>
      <c r="J5" s="13" t="s">
        <v>1090</v>
      </c>
      <c r="K5" s="13" t="s">
        <v>1091</v>
      </c>
      <c r="L5" s="13" t="s">
        <v>6</v>
      </c>
      <c r="M5" s="13" t="s">
        <v>1053</v>
      </c>
      <c r="N5" s="13" t="s">
        <v>1061</v>
      </c>
      <c r="O5" s="13" t="s">
        <v>1111</v>
      </c>
      <c r="P5" s="13" t="s">
        <v>1112</v>
      </c>
      <c r="Q5" s="13" t="s">
        <v>1406</v>
      </c>
      <c r="R5" s="13" t="s">
        <v>1450</v>
      </c>
      <c r="S5" s="13" t="s">
        <v>1058</v>
      </c>
      <c r="T5" s="13" t="s">
        <v>1059</v>
      </c>
      <c r="U5" s="13" t="s">
        <v>1060</v>
      </c>
      <c r="V5" s="13" t="s">
        <v>1063</v>
      </c>
      <c r="W5" s="13" t="s">
        <v>1064</v>
      </c>
      <c r="X5" s="13" t="s">
        <v>1071</v>
      </c>
      <c r="Y5" s="13" t="s">
        <v>1065</v>
      </c>
      <c r="Z5" s="13" t="s">
        <v>1057</v>
      </c>
      <c r="AA5" s="13" t="s">
        <v>1062</v>
      </c>
      <c r="AB5" s="13" t="s">
        <v>1067</v>
      </c>
      <c r="AC5" s="13" t="s">
        <v>1070</v>
      </c>
      <c r="AD5" s="13" t="s">
        <v>8</v>
      </c>
      <c r="AE5" s="13" t="s">
        <v>1197</v>
      </c>
      <c r="AF5" s="13" t="s">
        <v>1198</v>
      </c>
      <c r="AG5" s="13" t="s">
        <v>9</v>
      </c>
      <c r="AH5" s="13" t="s">
        <v>1199</v>
      </c>
      <c r="AI5" s="13" t="s">
        <v>1068</v>
      </c>
      <c r="AJ5" s="13" t="s">
        <v>1069</v>
      </c>
      <c r="AK5" s="13" t="s">
        <v>1076</v>
      </c>
      <c r="AL5" s="13" t="s">
        <v>1077</v>
      </c>
      <c r="AM5" s="13" t="s">
        <v>1078</v>
      </c>
      <c r="AN5" s="13" t="s">
        <v>1079</v>
      </c>
      <c r="AO5" s="13" t="s">
        <v>1080</v>
      </c>
      <c r="AP5" s="13" t="s">
        <v>1081</v>
      </c>
      <c r="AQ5" s="13" t="s">
        <v>1073</v>
      </c>
      <c r="AR5" s="13" t="s">
        <v>1074</v>
      </c>
      <c r="AS5" s="13" t="s">
        <v>1093</v>
      </c>
      <c r="AT5" s="13" t="s">
        <v>1087</v>
      </c>
      <c r="AU5" s="13" t="s">
        <v>1088</v>
      </c>
      <c r="AV5" s="13" t="s">
        <v>1083</v>
      </c>
      <c r="AW5" s="13" t="s">
        <v>1086</v>
      </c>
      <c r="AX5" s="13" t="s">
        <v>1092</v>
      </c>
      <c r="AY5" s="13" t="s">
        <v>1095</v>
      </c>
      <c r="AZ5" s="13" t="s">
        <v>1096</v>
      </c>
      <c r="BA5" s="13" t="s">
        <v>1101</v>
      </c>
      <c r="BB5" s="13" t="s">
        <v>1100</v>
      </c>
      <c r="BC5" s="13" t="s">
        <v>7</v>
      </c>
      <c r="BD5" s="13" t="s">
        <v>1097</v>
      </c>
      <c r="BE5" s="13" t="s">
        <v>1098</v>
      </c>
      <c r="BF5" s="13" t="s">
        <v>1099</v>
      </c>
      <c r="BG5" s="13" t="s">
        <v>1102</v>
      </c>
      <c r="BH5" s="13" t="s">
        <v>1103</v>
      </c>
      <c r="BI5" s="13" t="s">
        <v>1104</v>
      </c>
      <c r="BJ5" s="13" t="s">
        <v>1105</v>
      </c>
      <c r="BK5" s="13" t="s">
        <v>1106</v>
      </c>
      <c r="BL5" s="13" t="s">
        <v>1107</v>
      </c>
      <c r="BM5" s="13" t="s">
        <v>1108</v>
      </c>
      <c r="BN5" s="13" t="s">
        <v>1109</v>
      </c>
    </row>
    <row r="6" spans="1:66" ht="15" customHeight="1" x14ac:dyDescent="0.3">
      <c r="A6" s="2" t="s">
        <v>17</v>
      </c>
      <c r="B6" s="2"/>
      <c r="C6" s="2" t="s">
        <v>35</v>
      </c>
      <c r="D6" s="15">
        <v>-23.55</v>
      </c>
      <c r="E6" s="15">
        <v>-68.36</v>
      </c>
      <c r="F6" s="2" t="s">
        <v>13</v>
      </c>
      <c r="G6" s="14" t="s">
        <v>13</v>
      </c>
      <c r="H6" s="2" t="s">
        <v>1045</v>
      </c>
      <c r="I6" s="2">
        <v>1</v>
      </c>
      <c r="J6" s="16">
        <v>10800</v>
      </c>
      <c r="K6" s="16">
        <v>360</v>
      </c>
      <c r="L6" s="15" t="s">
        <v>14</v>
      </c>
      <c r="M6" s="2" t="s">
        <v>14</v>
      </c>
      <c r="N6" s="2">
        <v>3</v>
      </c>
      <c r="O6" s="3">
        <v>39.451437159496521</v>
      </c>
      <c r="P6" s="3">
        <v>39.451437159496521</v>
      </c>
      <c r="Q6" s="2" t="s">
        <v>1400</v>
      </c>
      <c r="R6" s="2">
        <v>4</v>
      </c>
      <c r="S6" s="3">
        <v>10.8</v>
      </c>
      <c r="T6" s="2" t="s">
        <v>16</v>
      </c>
      <c r="U6" s="3" t="s">
        <v>43</v>
      </c>
      <c r="V6" s="3"/>
      <c r="W6" s="3">
        <v>0.17</v>
      </c>
      <c r="X6" s="2" t="s">
        <v>39</v>
      </c>
      <c r="Y6" s="3" t="s">
        <v>45</v>
      </c>
      <c r="Z6" s="2">
        <v>6</v>
      </c>
      <c r="AA6" s="2" t="s">
        <v>44</v>
      </c>
      <c r="AB6" s="3">
        <v>0.36</v>
      </c>
      <c r="AC6" s="2" t="s">
        <v>16</v>
      </c>
      <c r="AD6" s="3" t="s">
        <v>41</v>
      </c>
      <c r="AE6" s="2">
        <v>0.2</v>
      </c>
      <c r="AF6" s="2" t="s">
        <v>39</v>
      </c>
      <c r="AG6" s="3" t="s">
        <v>42</v>
      </c>
      <c r="AH6" s="3">
        <v>0.05</v>
      </c>
      <c r="AI6">
        <v>6</v>
      </c>
      <c r="AJ6" s="2" t="s">
        <v>40</v>
      </c>
      <c r="AK6" s="17">
        <f>5700*0.7</f>
        <v>3989.9999999999995</v>
      </c>
      <c r="AL6" s="18" t="s">
        <v>10</v>
      </c>
      <c r="AM6" s="18" t="s">
        <v>31</v>
      </c>
      <c r="AN6" s="18"/>
      <c r="AO6" s="18" t="s">
        <v>47</v>
      </c>
      <c r="AP6" s="2" t="s">
        <v>48</v>
      </c>
      <c r="AQ6" s="2">
        <v>6</v>
      </c>
      <c r="AR6" s="2" t="s">
        <v>46</v>
      </c>
      <c r="AS6" s="17">
        <f>2300*0.7</f>
        <v>1610</v>
      </c>
      <c r="AT6" s="2" t="s">
        <v>33</v>
      </c>
      <c r="AU6" s="2" t="s">
        <v>50</v>
      </c>
      <c r="AV6">
        <v>6</v>
      </c>
      <c r="AW6" s="2" t="s">
        <v>49</v>
      </c>
      <c r="AX6" s="16">
        <v>22.544667027612345</v>
      </c>
      <c r="AY6" s="16">
        <v>120000</v>
      </c>
      <c r="AZ6" s="2" t="s">
        <v>36</v>
      </c>
      <c r="BA6" s="2" t="s">
        <v>37</v>
      </c>
      <c r="BB6" s="2" t="s">
        <v>38</v>
      </c>
      <c r="BC6" s="2"/>
      <c r="BD6">
        <v>6</v>
      </c>
      <c r="BE6" s="2" t="s">
        <v>21</v>
      </c>
      <c r="BF6" s="2" t="s">
        <v>51</v>
      </c>
      <c r="BG6" s="21">
        <v>1.8787222523010289E-4</v>
      </c>
      <c r="BH6" s="16">
        <v>1000</v>
      </c>
      <c r="BI6" s="16">
        <v>1000</v>
      </c>
      <c r="BJ6" s="2">
        <v>1</v>
      </c>
      <c r="BK6" s="2">
        <v>1</v>
      </c>
      <c r="BL6" s="3">
        <v>1</v>
      </c>
      <c r="BM6" s="3">
        <v>0.2</v>
      </c>
      <c r="BN6" s="3">
        <v>0.17</v>
      </c>
    </row>
    <row r="7" spans="1:66" ht="15" customHeight="1" x14ac:dyDescent="0.3">
      <c r="A7" s="2" t="s">
        <v>11</v>
      </c>
      <c r="B7" s="2"/>
      <c r="C7" s="2" t="s">
        <v>12</v>
      </c>
      <c r="D7" s="15">
        <v>-20.16</v>
      </c>
      <c r="E7" s="15">
        <v>-67.63</v>
      </c>
      <c r="F7" s="2" t="s">
        <v>13</v>
      </c>
      <c r="G7" s="14" t="s">
        <v>13</v>
      </c>
      <c r="H7" s="2"/>
      <c r="I7" s="2"/>
      <c r="J7" s="16">
        <v>10206.519999999999</v>
      </c>
      <c r="K7" s="16">
        <v>5400</v>
      </c>
      <c r="L7" s="15" t="s">
        <v>14</v>
      </c>
      <c r="M7" s="2" t="s">
        <v>14</v>
      </c>
      <c r="N7" s="2">
        <v>3</v>
      </c>
      <c r="O7" s="3"/>
      <c r="P7" s="3">
        <v>9.3931993236896485</v>
      </c>
      <c r="Q7" s="2" t="s">
        <v>1401</v>
      </c>
      <c r="R7" s="2">
        <v>4</v>
      </c>
      <c r="S7" s="16">
        <f>+J7/1000</f>
        <v>10.206519999999999</v>
      </c>
      <c r="T7" t="s">
        <v>1452</v>
      </c>
      <c r="U7" s="16"/>
      <c r="V7" s="16"/>
      <c r="W7" s="3"/>
      <c r="X7" s="3"/>
      <c r="Y7" s="3"/>
      <c r="Z7" s="2">
        <v>2</v>
      </c>
      <c r="AA7"/>
      <c r="AB7" s="16">
        <v>5.4</v>
      </c>
      <c r="AC7" s="2" t="s">
        <v>16</v>
      </c>
      <c r="AD7" s="16"/>
      <c r="AE7"/>
      <c r="AF7"/>
      <c r="AG7" s="16"/>
      <c r="AH7"/>
      <c r="AI7">
        <v>29</v>
      </c>
      <c r="AJ7" s="2" t="s">
        <v>15</v>
      </c>
      <c r="AK7"/>
      <c r="AL7"/>
      <c r="AM7"/>
      <c r="AN7"/>
      <c r="AO7"/>
      <c r="AP7"/>
      <c r="AQ7" s="2"/>
      <c r="AR7"/>
      <c r="AS7" s="17"/>
      <c r="AT7"/>
      <c r="AU7"/>
      <c r="AV7"/>
      <c r="AW7"/>
      <c r="AX7" s="16" t="s">
        <v>1048</v>
      </c>
      <c r="AY7" s="16"/>
      <c r="AZ7"/>
      <c r="BA7"/>
      <c r="BB7"/>
      <c r="BC7"/>
      <c r="BD7"/>
      <c r="BE7"/>
      <c r="BF7"/>
      <c r="BG7" s="2" t="s">
        <v>1048</v>
      </c>
      <c r="BH7" s="16">
        <v>1000</v>
      </c>
      <c r="BI7" s="2">
        <v>1</v>
      </c>
      <c r="BJ7" s="2" t="s">
        <v>1048</v>
      </c>
      <c r="BK7" s="2" t="s">
        <v>1048</v>
      </c>
      <c r="BL7" s="3">
        <v>1.1183216399999998</v>
      </c>
      <c r="BM7" s="3" t="s">
        <v>1048</v>
      </c>
      <c r="BN7" s="3" t="s">
        <v>1048</v>
      </c>
    </row>
    <row r="8" spans="1:66" ht="15" customHeight="1" x14ac:dyDescent="0.3">
      <c r="A8" s="2" t="s">
        <v>69</v>
      </c>
      <c r="B8" s="2" t="s">
        <v>480</v>
      </c>
      <c r="C8" s="2" t="s">
        <v>481</v>
      </c>
      <c r="D8" s="15">
        <v>33.162999999999997</v>
      </c>
      <c r="E8" s="15">
        <v>-115.617</v>
      </c>
      <c r="F8" s="2" t="s">
        <v>13</v>
      </c>
      <c r="G8" s="14" t="s">
        <v>371</v>
      </c>
      <c r="H8" s="2" t="s">
        <v>1045</v>
      </c>
      <c r="I8" s="2">
        <v>1</v>
      </c>
      <c r="J8" s="16">
        <v>6760</v>
      </c>
      <c r="K8" s="16" t="s">
        <v>1048</v>
      </c>
      <c r="L8" s="15" t="s">
        <v>1051</v>
      </c>
      <c r="M8"/>
      <c r="N8"/>
      <c r="O8" s="3"/>
      <c r="P8" s="3"/>
      <c r="Q8" s="2"/>
      <c r="R8" s="2"/>
      <c r="S8" s="16">
        <f>760+2600+3400</f>
        <v>6760</v>
      </c>
      <c r="T8" s="4" t="s">
        <v>273</v>
      </c>
      <c r="U8" s="16" t="s">
        <v>482</v>
      </c>
      <c r="V8" s="16" t="s">
        <v>316</v>
      </c>
      <c r="W8" s="3">
        <v>198</v>
      </c>
      <c r="X8" s="3" t="s">
        <v>78</v>
      </c>
      <c r="Y8" s="3" t="s">
        <v>483</v>
      </c>
      <c r="Z8" s="2">
        <v>115</v>
      </c>
      <c r="AA8" s="2" t="s">
        <v>325</v>
      </c>
      <c r="AB8" s="16"/>
      <c r="AC8"/>
      <c r="AD8" s="16"/>
      <c r="AE8"/>
      <c r="AF8"/>
      <c r="AG8" s="16"/>
      <c r="AH8" s="2"/>
      <c r="AI8"/>
      <c r="AJ8"/>
      <c r="AK8" s="17"/>
      <c r="AL8"/>
      <c r="AM8"/>
      <c r="AN8"/>
      <c r="AO8"/>
      <c r="AP8"/>
      <c r="AQ8" s="2"/>
      <c r="AR8"/>
      <c r="AS8" s="17"/>
      <c r="AT8"/>
      <c r="AU8"/>
      <c r="AV8"/>
      <c r="AW8"/>
      <c r="AX8" s="16" t="s">
        <v>1048</v>
      </c>
      <c r="AY8" s="16"/>
      <c r="AZ8"/>
      <c r="BA8"/>
      <c r="BB8"/>
      <c r="BC8"/>
      <c r="BD8"/>
      <c r="BE8"/>
      <c r="BF8"/>
      <c r="BG8" s="2" t="s">
        <v>1048</v>
      </c>
      <c r="BH8" s="16" t="s">
        <v>1048</v>
      </c>
      <c r="BI8" s="16">
        <v>1</v>
      </c>
      <c r="BJ8" s="2" t="s">
        <v>1048</v>
      </c>
      <c r="BK8" s="2">
        <v>1E-4</v>
      </c>
      <c r="BL8" s="3">
        <v>0.91996320147194111</v>
      </c>
      <c r="BM8" s="3" t="s">
        <v>1048</v>
      </c>
      <c r="BN8" s="3">
        <v>1.9800000000000002E-2</v>
      </c>
    </row>
    <row r="9" spans="1:66" ht="15" customHeight="1" x14ac:dyDescent="0.3">
      <c r="A9" s="2" t="s">
        <v>369</v>
      </c>
      <c r="B9" s="2"/>
      <c r="C9" s="2" t="s">
        <v>370</v>
      </c>
      <c r="D9" s="15">
        <v>49.154000000000003</v>
      </c>
      <c r="E9" s="15">
        <v>8.1530000000000005</v>
      </c>
      <c r="F9" s="2" t="s">
        <v>13</v>
      </c>
      <c r="G9" s="14" t="s">
        <v>371</v>
      </c>
      <c r="H9" s="2" t="s">
        <v>1045</v>
      </c>
      <c r="I9" s="2">
        <v>1</v>
      </c>
      <c r="J9" s="16">
        <v>5210.2604223064436</v>
      </c>
      <c r="K9" s="16">
        <v>106.89929615592854</v>
      </c>
      <c r="L9" s="15" t="s">
        <v>1052</v>
      </c>
      <c r="M9" s="2" t="s">
        <v>372</v>
      </c>
      <c r="N9" s="2">
        <v>130</v>
      </c>
      <c r="O9" s="3"/>
      <c r="P9" s="3">
        <v>3.9676873943265076</v>
      </c>
      <c r="Q9" s="2" t="s">
        <v>1401</v>
      </c>
      <c r="R9" s="2">
        <v>4</v>
      </c>
      <c r="S9" s="16">
        <f>2112+9137+16484</f>
        <v>27733</v>
      </c>
      <c r="T9" s="2" t="s">
        <v>249</v>
      </c>
      <c r="U9" s="16" t="s">
        <v>378</v>
      </c>
      <c r="V9" s="16"/>
      <c r="W9" s="3">
        <f>+(181*2112+178*9137+172*16484)/(2112+9137+16484)</f>
        <v>174.66217142032957</v>
      </c>
      <c r="X9" s="3" t="s">
        <v>22</v>
      </c>
      <c r="Y9" s="3" t="s">
        <v>379</v>
      </c>
      <c r="Z9" s="2">
        <v>97</v>
      </c>
      <c r="AA9" s="2" t="s">
        <v>189</v>
      </c>
      <c r="AB9" s="16">
        <f>318+251</f>
        <v>569</v>
      </c>
      <c r="AC9" s="2" t="s">
        <v>249</v>
      </c>
      <c r="AD9" s="16" t="s">
        <v>377</v>
      </c>
      <c r="AE9"/>
      <c r="AF9"/>
      <c r="AG9" s="16"/>
      <c r="AH9" s="2"/>
      <c r="AI9">
        <v>97</v>
      </c>
      <c r="AJ9" s="2" t="s">
        <v>376</v>
      </c>
      <c r="AK9" s="17">
        <f>4022*1.05</f>
        <v>4223.1000000000004</v>
      </c>
      <c r="AL9" s="2" t="s">
        <v>380</v>
      </c>
      <c r="AM9" s="2" t="s">
        <v>381</v>
      </c>
      <c r="AN9" s="2"/>
      <c r="AO9" s="18" t="s">
        <v>47</v>
      </c>
      <c r="AP9" s="2" t="s">
        <v>382</v>
      </c>
      <c r="AQ9" s="2">
        <v>99</v>
      </c>
      <c r="AR9" s="2" t="s">
        <v>301</v>
      </c>
      <c r="AS9" s="17">
        <v>1399</v>
      </c>
      <c r="AT9" s="2" t="s">
        <v>88</v>
      </c>
      <c r="AU9"/>
      <c r="AV9">
        <v>99</v>
      </c>
      <c r="AW9" s="2" t="s">
        <v>301</v>
      </c>
      <c r="AX9" s="16">
        <v>3.971387696709586</v>
      </c>
      <c r="AY9" s="16">
        <v>24000</v>
      </c>
      <c r="AZ9" s="2" t="s">
        <v>374</v>
      </c>
      <c r="BA9" s="2" t="s">
        <v>375</v>
      </c>
      <c r="BB9"/>
      <c r="BC9"/>
      <c r="BD9">
        <v>97</v>
      </c>
      <c r="BE9" s="2" t="s">
        <v>376</v>
      </c>
      <c r="BF9"/>
      <c r="BG9" s="16">
        <v>1.6547448736289942E-4</v>
      </c>
      <c r="BH9" s="16">
        <v>0.18787222523010288</v>
      </c>
      <c r="BI9" s="21">
        <v>0.18787222523010288</v>
      </c>
      <c r="BJ9" s="2" t="s">
        <v>1048</v>
      </c>
      <c r="BK9" s="2">
        <v>1E-4</v>
      </c>
      <c r="BL9" s="3">
        <v>0.91996320147194111</v>
      </c>
      <c r="BM9" s="3" t="s">
        <v>1048</v>
      </c>
      <c r="BN9" s="3">
        <v>1.7466217142032957E-2</v>
      </c>
    </row>
    <row r="10" spans="1:66" ht="15" customHeight="1" x14ac:dyDescent="0.3">
      <c r="A10" s="2" t="s">
        <v>52</v>
      </c>
      <c r="B10" s="4"/>
      <c r="C10" s="4" t="s">
        <v>53</v>
      </c>
      <c r="D10" s="15">
        <v>-23.7</v>
      </c>
      <c r="E10" s="15">
        <v>-66.75</v>
      </c>
      <c r="F10" s="2" t="s">
        <v>13</v>
      </c>
      <c r="G10" s="14" t="s">
        <v>13</v>
      </c>
      <c r="H10" s="2"/>
      <c r="I10" s="2"/>
      <c r="J10" s="16">
        <v>4617</v>
      </c>
      <c r="K10" s="16">
        <v>682.92</v>
      </c>
      <c r="L10" s="15" t="s">
        <v>14</v>
      </c>
      <c r="M10" s="2" t="s">
        <v>14</v>
      </c>
      <c r="N10" s="2">
        <v>131</v>
      </c>
      <c r="O10" s="3">
        <v>7.5145594589517186</v>
      </c>
      <c r="P10" s="3">
        <v>7.5145594589517186</v>
      </c>
      <c r="Q10" s="2" t="s">
        <v>1400</v>
      </c>
      <c r="R10" s="2">
        <v>4</v>
      </c>
      <c r="S10" s="16">
        <f>3729700+887300</f>
        <v>4617000</v>
      </c>
      <c r="T10" s="18" t="s">
        <v>61</v>
      </c>
      <c r="U10" s="16" t="s">
        <v>62</v>
      </c>
      <c r="V10" s="16" t="s">
        <v>63</v>
      </c>
      <c r="W10" s="3">
        <v>592</v>
      </c>
      <c r="X10" s="3" t="s">
        <v>22</v>
      </c>
      <c r="Y10" s="3" t="s">
        <v>64</v>
      </c>
      <c r="Z10" s="2">
        <v>8</v>
      </c>
      <c r="AA10" s="2" t="s">
        <v>49</v>
      </c>
      <c r="AB10" s="16">
        <v>682920</v>
      </c>
      <c r="AC10" s="18" t="s">
        <v>57</v>
      </c>
      <c r="AD10" s="16" t="s">
        <v>58</v>
      </c>
      <c r="AE10" s="2">
        <v>607</v>
      </c>
      <c r="AF10" s="2" t="s">
        <v>22</v>
      </c>
      <c r="AG10" s="16" t="s">
        <v>59</v>
      </c>
      <c r="AH10" s="16">
        <v>300</v>
      </c>
      <c r="AI10">
        <v>8</v>
      </c>
      <c r="AJ10" s="2" t="s">
        <v>28</v>
      </c>
      <c r="AK10" s="23">
        <v>3579</v>
      </c>
      <c r="AL10" s="18" t="s">
        <v>10</v>
      </c>
      <c r="AM10" s="18" t="s">
        <v>31</v>
      </c>
      <c r="AN10" s="18"/>
      <c r="AO10" s="18" t="s">
        <v>47</v>
      </c>
      <c r="AP10" s="18" t="s">
        <v>66</v>
      </c>
      <c r="AQ10" s="2">
        <v>8</v>
      </c>
      <c r="AR10" s="2" t="s">
        <v>65</v>
      </c>
      <c r="AS10" s="17">
        <v>564.70000000000005</v>
      </c>
      <c r="AT10" s="2" t="s">
        <v>68</v>
      </c>
      <c r="AU10"/>
      <c r="AV10">
        <v>8</v>
      </c>
      <c r="AW10" s="2" t="s">
        <v>67</v>
      </c>
      <c r="AX10" s="16">
        <v>7.5148890092041158</v>
      </c>
      <c r="AY10" s="16">
        <v>40000</v>
      </c>
      <c r="AZ10" s="2" t="s">
        <v>36</v>
      </c>
      <c r="BA10" s="2"/>
      <c r="BB10" s="2" t="s">
        <v>56</v>
      </c>
      <c r="BC10" s="2">
        <v>40</v>
      </c>
      <c r="BD10">
        <v>8</v>
      </c>
      <c r="BE10" s="2" t="s">
        <v>55</v>
      </c>
      <c r="BF10"/>
      <c r="BG10" s="21">
        <v>1.8787222523010289E-4</v>
      </c>
      <c r="BH10" s="16">
        <v>1E-3</v>
      </c>
      <c r="BI10" s="21">
        <v>1E-3</v>
      </c>
      <c r="BJ10" s="2">
        <v>1E-4</v>
      </c>
      <c r="BK10" s="2">
        <v>1E-4</v>
      </c>
      <c r="BL10" s="3">
        <v>1.1183216399999998</v>
      </c>
      <c r="BM10" s="3">
        <v>6.0700000000000004E-2</v>
      </c>
      <c r="BN10" s="3">
        <v>5.9200000000000003E-2</v>
      </c>
    </row>
    <row r="11" spans="1:66" ht="15" customHeight="1" x14ac:dyDescent="0.3">
      <c r="A11" s="2" t="s">
        <v>839</v>
      </c>
      <c r="B11" s="2"/>
      <c r="C11" s="2" t="s">
        <v>840</v>
      </c>
      <c r="D11" s="14">
        <v>-4.33</v>
      </c>
      <c r="E11" s="14">
        <v>37.54</v>
      </c>
      <c r="F11" s="2" t="s">
        <v>72</v>
      </c>
      <c r="G11" s="14" t="s">
        <v>72</v>
      </c>
      <c r="H11" s="2"/>
      <c r="I11" s="2"/>
      <c r="J11" s="16">
        <v>4426</v>
      </c>
      <c r="K11" s="16" t="s">
        <v>1048</v>
      </c>
      <c r="L11" s="15" t="s">
        <v>1051</v>
      </c>
      <c r="M11"/>
      <c r="N11"/>
      <c r="O11" s="3"/>
      <c r="P11" s="3"/>
      <c r="Q11" s="2"/>
      <c r="R11" s="2"/>
      <c r="S11" s="16">
        <v>4426</v>
      </c>
      <c r="T11" s="2" t="s">
        <v>545</v>
      </c>
      <c r="U11" s="16" t="s">
        <v>465</v>
      </c>
      <c r="V11" s="16" t="s">
        <v>465</v>
      </c>
      <c r="W11" s="16">
        <v>4677</v>
      </c>
      <c r="X11" s="3" t="s">
        <v>78</v>
      </c>
      <c r="Y11" s="3"/>
      <c r="Z11" s="2">
        <v>105</v>
      </c>
      <c r="AA11" s="2" t="s">
        <v>792</v>
      </c>
      <c r="AB11" s="16"/>
      <c r="AC11"/>
      <c r="AD11" s="16"/>
      <c r="AE11"/>
      <c r="AF11"/>
      <c r="AG11" s="16"/>
      <c r="AH11" s="16"/>
      <c r="AI11"/>
      <c r="AJ11"/>
      <c r="AK11" s="17"/>
      <c r="AL11"/>
      <c r="AM11"/>
      <c r="AN11"/>
      <c r="AO11"/>
      <c r="AP11"/>
      <c r="AQ11" s="2"/>
      <c r="AR11"/>
      <c r="AS11" s="17"/>
      <c r="AT11"/>
      <c r="AU11"/>
      <c r="AV11"/>
      <c r="AW11"/>
      <c r="AX11" s="16" t="s">
        <v>1048</v>
      </c>
      <c r="AY11" s="16"/>
      <c r="AZ11"/>
      <c r="BA11"/>
      <c r="BB11"/>
      <c r="BC11"/>
      <c r="BD11"/>
      <c r="BE11"/>
      <c r="BF11"/>
      <c r="BG11" s="2" t="s">
        <v>1048</v>
      </c>
      <c r="BH11" s="16" t="s">
        <v>1048</v>
      </c>
      <c r="BI11" s="16">
        <v>1</v>
      </c>
      <c r="BJ11" s="2" t="s">
        <v>1048</v>
      </c>
      <c r="BK11" s="2">
        <v>1E-4</v>
      </c>
      <c r="BL11" s="3">
        <v>0.91996320147194111</v>
      </c>
      <c r="BM11" s="3" t="s">
        <v>1048</v>
      </c>
      <c r="BN11" s="3">
        <v>0.4677</v>
      </c>
    </row>
    <row r="12" spans="1:66" ht="15" customHeight="1" x14ac:dyDescent="0.3">
      <c r="A12" s="2" t="s">
        <v>52</v>
      </c>
      <c r="B12" s="2"/>
      <c r="C12" s="2" t="s">
        <v>90</v>
      </c>
      <c r="D12" s="15">
        <v>-23.46</v>
      </c>
      <c r="E12" s="15">
        <v>-66.73</v>
      </c>
      <c r="F12" s="2" t="s">
        <v>13</v>
      </c>
      <c r="G12" s="14" t="s">
        <v>13</v>
      </c>
      <c r="H12" s="2" t="s">
        <v>1045</v>
      </c>
      <c r="I12" s="2">
        <v>1</v>
      </c>
      <c r="J12" s="16">
        <v>4250</v>
      </c>
      <c r="K12" s="16" t="s">
        <v>1048</v>
      </c>
      <c r="L12" s="15" t="s">
        <v>14</v>
      </c>
      <c r="M12" s="2" t="s">
        <v>14</v>
      </c>
      <c r="N12" s="2">
        <v>3</v>
      </c>
      <c r="O12" s="3">
        <v>4.6965996618448242</v>
      </c>
      <c r="P12" s="3">
        <v>7.9842194251362004</v>
      </c>
      <c r="Q12" s="2" t="s">
        <v>1400</v>
      </c>
      <c r="R12" s="2">
        <v>4</v>
      </c>
      <c r="S12" s="2">
        <f>2.89+1.36</f>
        <v>4.25</v>
      </c>
      <c r="T12" s="4" t="s">
        <v>16</v>
      </c>
      <c r="U12" s="2" t="s">
        <v>93</v>
      </c>
      <c r="V12" s="2"/>
      <c r="W12" s="3">
        <f>(2.89*641+1.36*609)/(2.89+1.36)</f>
        <v>630.76</v>
      </c>
      <c r="X12" s="3" t="s">
        <v>22</v>
      </c>
      <c r="Y12" s="3" t="s">
        <v>95</v>
      </c>
      <c r="Z12" s="2">
        <v>39</v>
      </c>
      <c r="AA12" s="2" t="s">
        <v>94</v>
      </c>
      <c r="AB12"/>
      <c r="AC12"/>
      <c r="AD12"/>
      <c r="AE12"/>
      <c r="AF12"/>
      <c r="AG12"/>
      <c r="AH12" s="2"/>
      <c r="AI12"/>
      <c r="AJ12" s="2"/>
      <c r="AK12" s="23">
        <v>4149</v>
      </c>
      <c r="AL12" s="18" t="s">
        <v>10</v>
      </c>
      <c r="AM12" s="18" t="s">
        <v>31</v>
      </c>
      <c r="AN12" s="18"/>
      <c r="AO12" s="18" t="s">
        <v>47</v>
      </c>
      <c r="AP12" s="2" t="s">
        <v>86</v>
      </c>
      <c r="AQ12" s="2">
        <v>39</v>
      </c>
      <c r="AR12" s="2" t="s">
        <v>96</v>
      </c>
      <c r="AS12" s="2">
        <v>425</v>
      </c>
      <c r="AT12" s="2" t="s">
        <v>68</v>
      </c>
      <c r="AU12" s="2" t="s">
        <v>98</v>
      </c>
      <c r="AV12">
        <v>39</v>
      </c>
      <c r="AW12" s="2" t="s">
        <v>97</v>
      </c>
      <c r="AX12" s="16">
        <v>3.1374661613427182</v>
      </c>
      <c r="AY12" s="16">
        <v>16700</v>
      </c>
      <c r="AZ12" s="2" t="s">
        <v>36</v>
      </c>
      <c r="BA12" s="2" t="s">
        <v>91</v>
      </c>
      <c r="BB12" s="2" t="s">
        <v>92</v>
      </c>
      <c r="BC12" s="2">
        <v>40</v>
      </c>
      <c r="BD12">
        <v>39</v>
      </c>
      <c r="BE12" s="20" t="s">
        <v>1049</v>
      </c>
      <c r="BF12"/>
      <c r="BG12" s="21">
        <v>1.8787222523010289E-4</v>
      </c>
      <c r="BH12" s="16" t="s">
        <v>1048</v>
      </c>
      <c r="BI12" s="16">
        <v>1000</v>
      </c>
      <c r="BJ12" s="2" t="s">
        <v>1048</v>
      </c>
      <c r="BK12" s="2">
        <v>1E-4</v>
      </c>
      <c r="BL12" s="3">
        <v>0.91996320147194111</v>
      </c>
      <c r="BM12" s="3" t="s">
        <v>1048</v>
      </c>
      <c r="BN12" s="3">
        <v>6.3076000000000007E-2</v>
      </c>
    </row>
    <row r="13" spans="1:66" ht="15" customHeight="1" x14ac:dyDescent="0.3">
      <c r="A13" s="2" t="s">
        <v>69</v>
      </c>
      <c r="B13" s="29" t="s">
        <v>70</v>
      </c>
      <c r="C13" s="2" t="s">
        <v>124</v>
      </c>
      <c r="D13" s="15">
        <v>42.035699999999999</v>
      </c>
      <c r="E13" s="15">
        <v>-118.05262999999999</v>
      </c>
      <c r="F13" s="2" t="s">
        <v>72</v>
      </c>
      <c r="G13" s="14" t="s">
        <v>72</v>
      </c>
      <c r="H13" s="2"/>
      <c r="I13" s="2"/>
      <c r="J13" s="16">
        <v>4039.2528424472121</v>
      </c>
      <c r="K13" s="16" t="s">
        <v>1048</v>
      </c>
      <c r="L13" s="15" t="s">
        <v>1051</v>
      </c>
      <c r="M13"/>
      <c r="N13"/>
      <c r="O13" s="3"/>
      <c r="P13" s="3"/>
      <c r="Q13" s="2" t="s">
        <v>1402</v>
      </c>
      <c r="R13" s="2">
        <v>4</v>
      </c>
      <c r="S13" s="24">
        <f>11.1+10.4</f>
        <v>21.5</v>
      </c>
      <c r="T13" s="2" t="s">
        <v>79</v>
      </c>
      <c r="U13" s="24" t="s">
        <v>125</v>
      </c>
      <c r="V13" s="16" t="s">
        <v>126</v>
      </c>
      <c r="W13" s="3">
        <v>1340</v>
      </c>
      <c r="X13" s="3" t="s">
        <v>78</v>
      </c>
      <c r="Y13" s="3" t="s">
        <v>127</v>
      </c>
      <c r="Z13" s="2">
        <v>25</v>
      </c>
      <c r="AA13" s="2" t="s">
        <v>28</v>
      </c>
      <c r="AB13" s="16"/>
      <c r="AC13"/>
      <c r="AD13" s="16"/>
      <c r="AE13" s="2"/>
      <c r="AF13" s="2"/>
      <c r="AG13" s="16"/>
      <c r="AH13" s="24"/>
      <c r="AI13"/>
      <c r="AJ13"/>
      <c r="AK13"/>
      <c r="AL13"/>
      <c r="AM13"/>
      <c r="AN13"/>
      <c r="AO13"/>
      <c r="AP13"/>
      <c r="AQ13" s="2"/>
      <c r="AR13"/>
      <c r="AS13" s="17"/>
      <c r="AT13"/>
      <c r="AU13"/>
      <c r="AV13"/>
      <c r="AW13"/>
      <c r="AX13" s="16" t="s">
        <v>1048</v>
      </c>
      <c r="AY13" s="16"/>
      <c r="AZ13"/>
      <c r="BA13"/>
      <c r="BB13"/>
      <c r="BC13"/>
      <c r="BD13"/>
      <c r="BE13"/>
      <c r="BF13"/>
      <c r="BG13" s="2" t="s">
        <v>1048</v>
      </c>
      <c r="BH13" s="16" t="s">
        <v>1048</v>
      </c>
      <c r="BI13" s="16">
        <v>187.87222523010288</v>
      </c>
      <c r="BJ13" s="2" t="s">
        <v>1048</v>
      </c>
      <c r="BK13" s="2">
        <v>1E-4</v>
      </c>
      <c r="BL13" s="3">
        <v>0.91996320147194111</v>
      </c>
      <c r="BM13" s="3" t="s">
        <v>1048</v>
      </c>
      <c r="BN13" s="3">
        <v>0.13400000000000001</v>
      </c>
    </row>
    <row r="14" spans="1:66" ht="15" customHeight="1" x14ac:dyDescent="0.3">
      <c r="A14" s="2" t="s">
        <v>69</v>
      </c>
      <c r="B14" s="2" t="s">
        <v>70</v>
      </c>
      <c r="C14" s="2" t="s">
        <v>71</v>
      </c>
      <c r="D14" s="15">
        <v>41.713456000000001</v>
      </c>
      <c r="E14" s="15">
        <v>-118.07450900000001</v>
      </c>
      <c r="F14" s="2" t="s">
        <v>72</v>
      </c>
      <c r="G14" s="14" t="s">
        <v>72</v>
      </c>
      <c r="H14" s="2"/>
      <c r="I14" s="2"/>
      <c r="J14" s="16">
        <v>3588.3595018949654</v>
      </c>
      <c r="K14" s="16">
        <v>695.1272333513806</v>
      </c>
      <c r="L14" s="2" t="s">
        <v>73</v>
      </c>
      <c r="M14" s="2" t="s">
        <v>73</v>
      </c>
      <c r="N14" s="2">
        <v>132</v>
      </c>
      <c r="O14" s="3"/>
      <c r="P14" s="3">
        <v>14.277662972008265</v>
      </c>
      <c r="Q14" s="2" t="s">
        <v>1403</v>
      </c>
      <c r="R14" s="2">
        <v>4</v>
      </c>
      <c r="S14" s="24">
        <f>7+9.1+3</f>
        <v>19.100000000000001</v>
      </c>
      <c r="T14" s="2" t="s">
        <v>79</v>
      </c>
      <c r="U14" s="24" t="s">
        <v>82</v>
      </c>
      <c r="V14" s="16"/>
      <c r="W14" s="3">
        <f>(1457.2*2070+297.2*1870)/(1457.2+297.2)</f>
        <v>2036.1194710442314</v>
      </c>
      <c r="X14" s="3" t="s">
        <v>78</v>
      </c>
      <c r="Y14" s="3" t="s">
        <v>84</v>
      </c>
      <c r="Z14" s="2">
        <v>24</v>
      </c>
      <c r="AA14" s="2" t="s">
        <v>83</v>
      </c>
      <c r="AB14" s="24">
        <f>3.3+0.4</f>
        <v>3.6999999999999997</v>
      </c>
      <c r="AC14" s="2" t="s">
        <v>79</v>
      </c>
      <c r="AD14" s="16" t="s">
        <v>80</v>
      </c>
      <c r="AE14" s="2">
        <v>3160</v>
      </c>
      <c r="AF14" s="2" t="s">
        <v>78</v>
      </c>
      <c r="AG14" s="2" t="s">
        <v>81</v>
      </c>
      <c r="AH14" s="24">
        <v>1533</v>
      </c>
      <c r="AI14">
        <v>24</v>
      </c>
      <c r="AJ14" s="2" t="s">
        <v>49</v>
      </c>
      <c r="AK14" s="23">
        <v>7198</v>
      </c>
      <c r="AL14" s="18" t="s">
        <v>10</v>
      </c>
      <c r="AM14" s="18" t="s">
        <v>31</v>
      </c>
      <c r="AN14" s="18"/>
      <c r="AO14" s="18" t="s">
        <v>47</v>
      </c>
      <c r="AP14" s="2" t="s">
        <v>86</v>
      </c>
      <c r="AQ14" s="2">
        <v>24</v>
      </c>
      <c r="AR14" s="2" t="s">
        <v>85</v>
      </c>
      <c r="AS14" s="25">
        <f>1510.2</f>
        <v>1510.2</v>
      </c>
      <c r="AT14" s="2" t="s">
        <v>88</v>
      </c>
      <c r="AU14" s="2" t="s">
        <v>89</v>
      </c>
      <c r="AV14">
        <v>24</v>
      </c>
      <c r="AW14" s="2" t="s">
        <v>87</v>
      </c>
      <c r="AX14" s="16">
        <v>12.549864645370873</v>
      </c>
      <c r="AY14" s="24">
        <v>66.8</v>
      </c>
      <c r="AZ14" s="2" t="s">
        <v>75</v>
      </c>
      <c r="BA14" s="2"/>
      <c r="BB14" s="2" t="s">
        <v>77</v>
      </c>
      <c r="BC14" s="2">
        <v>40</v>
      </c>
      <c r="BD14">
        <v>24</v>
      </c>
      <c r="BE14" s="2" t="s">
        <v>76</v>
      </c>
      <c r="BF14"/>
      <c r="BG14" s="16">
        <v>0.18787222523010288</v>
      </c>
      <c r="BH14" s="16">
        <v>187.87222523010288</v>
      </c>
      <c r="BI14" s="16">
        <v>187.87222523010288</v>
      </c>
      <c r="BJ14" s="2">
        <v>1E-4</v>
      </c>
      <c r="BK14" s="2">
        <v>1E-4</v>
      </c>
      <c r="BL14" s="3">
        <v>1</v>
      </c>
      <c r="BM14" s="3">
        <v>0.316</v>
      </c>
      <c r="BN14" s="3">
        <v>0.20361194710442315</v>
      </c>
    </row>
    <row r="15" spans="1:66" ht="15" customHeight="1" x14ac:dyDescent="0.3">
      <c r="A15" s="2" t="s">
        <v>69</v>
      </c>
      <c r="B15" s="2" t="s">
        <v>70</v>
      </c>
      <c r="C15" s="2" t="s">
        <v>841</v>
      </c>
      <c r="D15" s="15">
        <v>37.228700000000003</v>
      </c>
      <c r="E15" s="15">
        <v>-117.04309000000001</v>
      </c>
      <c r="F15" s="2" t="s">
        <v>101</v>
      </c>
      <c r="G15" s="14" t="s">
        <v>842</v>
      </c>
      <c r="H15" s="2"/>
      <c r="I15" s="2"/>
      <c r="J15" s="16">
        <v>3452</v>
      </c>
      <c r="K15" s="16" t="s">
        <v>1048</v>
      </c>
      <c r="L15" s="15" t="s">
        <v>1052</v>
      </c>
      <c r="M15" s="2" t="s">
        <v>102</v>
      </c>
      <c r="N15" s="2">
        <v>133</v>
      </c>
      <c r="O15" s="3"/>
      <c r="P15" s="3">
        <v>6.0680067631035124</v>
      </c>
      <c r="Q15" s="2" t="s">
        <v>1404</v>
      </c>
      <c r="R15" s="2">
        <v>4</v>
      </c>
      <c r="S15" s="16">
        <v>3452</v>
      </c>
      <c r="T15" s="2" t="s">
        <v>845</v>
      </c>
      <c r="U15" s="16" t="s">
        <v>846</v>
      </c>
      <c r="V15" s="16" t="s">
        <v>401</v>
      </c>
      <c r="W15" s="3">
        <v>1013</v>
      </c>
      <c r="X15" s="3" t="s">
        <v>78</v>
      </c>
      <c r="Y15" s="3" t="s">
        <v>847</v>
      </c>
      <c r="Z15" s="2">
        <v>75</v>
      </c>
      <c r="AA15" s="2" t="s">
        <v>189</v>
      </c>
      <c r="AB15" s="16"/>
      <c r="AC15"/>
      <c r="AD15" s="16"/>
      <c r="AE15"/>
      <c r="AF15"/>
      <c r="AG15" s="16"/>
      <c r="AH15" s="16"/>
      <c r="AI15"/>
      <c r="AJ15"/>
      <c r="AK15" s="17">
        <v>5974</v>
      </c>
      <c r="AL15" s="18" t="s">
        <v>10</v>
      </c>
      <c r="AM15" s="18" t="s">
        <v>31</v>
      </c>
      <c r="AN15" s="2"/>
      <c r="AO15" s="18" t="s">
        <v>47</v>
      </c>
      <c r="AP15" s="2" t="s">
        <v>66</v>
      </c>
      <c r="AQ15" s="2">
        <v>75</v>
      </c>
      <c r="AR15" s="2" t="s">
        <v>459</v>
      </c>
      <c r="AS15" s="17">
        <v>655</v>
      </c>
      <c r="AT15" s="2" t="s">
        <v>223</v>
      </c>
      <c r="AU15" s="2" t="s">
        <v>123</v>
      </c>
      <c r="AV15">
        <v>75</v>
      </c>
      <c r="AW15" s="2" t="s">
        <v>848</v>
      </c>
      <c r="AX15" s="16" t="s">
        <v>1048</v>
      </c>
      <c r="AY15" s="16"/>
      <c r="AZ15"/>
      <c r="BA15"/>
      <c r="BB15"/>
      <c r="BC15"/>
      <c r="BD15"/>
      <c r="BE15"/>
      <c r="BF15"/>
      <c r="BG15" s="2" t="s">
        <v>1048</v>
      </c>
      <c r="BH15" s="16" t="s">
        <v>1048</v>
      </c>
      <c r="BI15" s="16">
        <v>1</v>
      </c>
      <c r="BJ15" s="2" t="s">
        <v>1048</v>
      </c>
      <c r="BK15" s="2">
        <v>1E-4</v>
      </c>
      <c r="BL15" s="3">
        <v>1.0469999999999999</v>
      </c>
      <c r="BM15" s="3" t="s">
        <v>1048</v>
      </c>
      <c r="BN15" s="3">
        <v>0.1013</v>
      </c>
    </row>
    <row r="16" spans="1:66" ht="15" customHeight="1" x14ac:dyDescent="0.3">
      <c r="A16" s="2" t="s">
        <v>99</v>
      </c>
      <c r="B16" s="2"/>
      <c r="C16" s="2" t="s">
        <v>100</v>
      </c>
      <c r="D16" s="15">
        <v>-7.28</v>
      </c>
      <c r="E16" s="15">
        <v>27.45</v>
      </c>
      <c r="F16" s="2" t="s">
        <v>101</v>
      </c>
      <c r="G16" s="14" t="s">
        <v>101</v>
      </c>
      <c r="H16" s="2"/>
      <c r="I16" s="2"/>
      <c r="J16" s="16">
        <v>3065.8634538152614</v>
      </c>
      <c r="K16" s="16">
        <v>682.85140562248989</v>
      </c>
      <c r="L16" s="15" t="s">
        <v>1052</v>
      </c>
      <c r="M16" s="2" t="s">
        <v>102</v>
      </c>
      <c r="N16" s="2">
        <v>134</v>
      </c>
      <c r="O16" s="3"/>
      <c r="P16" s="3">
        <v>19.512680819086981</v>
      </c>
      <c r="Q16" s="2" t="s">
        <v>1405</v>
      </c>
      <c r="R16" s="2">
        <v>4</v>
      </c>
      <c r="S16" s="16">
        <f>400*0.0165</f>
        <v>6.6000000000000005</v>
      </c>
      <c r="T16" s="2" t="s">
        <v>114</v>
      </c>
      <c r="U16" s="16" t="s">
        <v>115</v>
      </c>
      <c r="V16" s="16"/>
      <c r="W16" s="3">
        <v>1.65</v>
      </c>
      <c r="X16" s="2" t="s">
        <v>117</v>
      </c>
      <c r="Y16" s="3" t="s">
        <v>118</v>
      </c>
      <c r="Z16" s="2">
        <v>9</v>
      </c>
      <c r="AA16" s="2" t="s">
        <v>116</v>
      </c>
      <c r="AB16" s="3">
        <v>1.47</v>
      </c>
      <c r="AC16" s="2" t="s">
        <v>111</v>
      </c>
      <c r="AD16" s="16" t="s">
        <v>112</v>
      </c>
      <c r="AE16" s="2">
        <v>1.58</v>
      </c>
      <c r="AF16" s="2" t="s">
        <v>109</v>
      </c>
      <c r="AG16" s="16" t="s">
        <v>113</v>
      </c>
      <c r="AH16" s="16"/>
      <c r="AI16">
        <v>9</v>
      </c>
      <c r="AJ16" s="2" t="s">
        <v>110</v>
      </c>
      <c r="AK16" s="26">
        <f>371-25</f>
        <v>346</v>
      </c>
      <c r="AL16" s="2" t="s">
        <v>120</v>
      </c>
      <c r="AM16" s="2" t="s">
        <v>121</v>
      </c>
      <c r="AN16" s="27">
        <v>0.06</v>
      </c>
      <c r="AO16" s="18" t="s">
        <v>47</v>
      </c>
      <c r="AP16" s="2" t="s">
        <v>122</v>
      </c>
      <c r="AQ16" s="2">
        <v>9</v>
      </c>
      <c r="AR16" s="2" t="s">
        <v>119</v>
      </c>
      <c r="AS16" s="17">
        <v>545.5</v>
      </c>
      <c r="AT16" s="2" t="s">
        <v>88</v>
      </c>
      <c r="AU16" s="2" t="s">
        <v>123</v>
      </c>
      <c r="AV16">
        <v>9</v>
      </c>
      <c r="AW16" s="2" t="s">
        <v>15</v>
      </c>
      <c r="AX16" s="16">
        <v>19.510040160642571</v>
      </c>
      <c r="AY16" s="16">
        <f>700000*0.06</f>
        <v>42000</v>
      </c>
      <c r="AZ16" s="2" t="s">
        <v>104</v>
      </c>
      <c r="BA16" s="2" t="s">
        <v>105</v>
      </c>
      <c r="BB16" s="2" t="s">
        <v>107</v>
      </c>
      <c r="BC16" s="2" t="s">
        <v>108</v>
      </c>
      <c r="BD16">
        <v>9</v>
      </c>
      <c r="BE16" s="2" t="s">
        <v>106</v>
      </c>
      <c r="BF16"/>
      <c r="BG16" s="16">
        <v>4.64524765729585E-4</v>
      </c>
      <c r="BH16" s="16">
        <v>464.524765729585</v>
      </c>
      <c r="BI16" s="16">
        <v>464.524765729585</v>
      </c>
      <c r="BJ16" s="28">
        <v>0.46452476572958501</v>
      </c>
      <c r="BK16" s="28">
        <v>0.46452476572958501</v>
      </c>
      <c r="BL16" s="3">
        <v>1.0805039999999999</v>
      </c>
      <c r="BM16" s="3">
        <v>0.7339491298527443</v>
      </c>
      <c r="BN16" s="3">
        <v>0.76646586345381518</v>
      </c>
    </row>
    <row r="17" spans="1:66" ht="15" customHeight="1" x14ac:dyDescent="0.3">
      <c r="A17" s="2" t="s">
        <v>52</v>
      </c>
      <c r="B17" s="2"/>
      <c r="C17" s="2" t="s">
        <v>385</v>
      </c>
      <c r="D17" s="15">
        <v>-25.22</v>
      </c>
      <c r="E17" s="15">
        <v>-66.959999999999994</v>
      </c>
      <c r="F17" s="2" t="s">
        <v>13</v>
      </c>
      <c r="G17" s="14" t="s">
        <v>13</v>
      </c>
      <c r="H17" s="2"/>
      <c r="I17" s="2"/>
      <c r="J17" s="16">
        <v>2539.4688684353009</v>
      </c>
      <c r="K17" s="16">
        <v>2539.4688684353009</v>
      </c>
      <c r="L17" s="2" t="s">
        <v>73</v>
      </c>
      <c r="M17" s="2" t="s">
        <v>73</v>
      </c>
      <c r="N17" s="2">
        <v>135</v>
      </c>
      <c r="O17" s="3"/>
      <c r="P17" s="3"/>
      <c r="Q17" s="2"/>
      <c r="R17" s="2"/>
      <c r="S17" s="16">
        <v>13517</v>
      </c>
      <c r="T17" s="2" t="s">
        <v>249</v>
      </c>
      <c r="U17" s="16" t="s">
        <v>389</v>
      </c>
      <c r="V17" s="16"/>
      <c r="W17" s="3"/>
      <c r="X17" s="3"/>
      <c r="Y17" s="3"/>
      <c r="Z17" s="2">
        <v>91</v>
      </c>
      <c r="AA17" s="10" t="s">
        <v>390</v>
      </c>
      <c r="AB17" s="16">
        <v>13517</v>
      </c>
      <c r="AC17" s="2" t="s">
        <v>249</v>
      </c>
      <c r="AD17" s="16"/>
      <c r="AE17"/>
      <c r="AF17"/>
      <c r="AG17" s="16"/>
      <c r="AH17" s="2"/>
      <c r="AI17">
        <v>91</v>
      </c>
      <c r="AJ17" s="2" t="s">
        <v>15</v>
      </c>
      <c r="AK17" s="17">
        <v>3650</v>
      </c>
      <c r="AL17" s="18" t="s">
        <v>10</v>
      </c>
      <c r="AM17" s="18" t="s">
        <v>31</v>
      </c>
      <c r="AN17" s="2"/>
      <c r="AO17" s="18" t="s">
        <v>47</v>
      </c>
      <c r="AP17"/>
      <c r="AQ17" s="2">
        <v>1</v>
      </c>
      <c r="AR17" s="8"/>
      <c r="AS17" s="17"/>
      <c r="AT17"/>
      <c r="AU17"/>
      <c r="AV17"/>
      <c r="AW17"/>
      <c r="AX17" s="16">
        <v>23.226238286479251</v>
      </c>
      <c r="AY17" s="16">
        <v>50000</v>
      </c>
      <c r="AZ17" s="2" t="s">
        <v>321</v>
      </c>
      <c r="BA17" s="2" t="s">
        <v>388</v>
      </c>
      <c r="BB17"/>
      <c r="BC17"/>
      <c r="BD17">
        <v>91</v>
      </c>
      <c r="BE17"/>
      <c r="BF17"/>
      <c r="BG17" s="16">
        <v>4.64524765729585E-4</v>
      </c>
      <c r="BH17" s="16">
        <v>0.18787222523010288</v>
      </c>
      <c r="BI17" s="21">
        <v>0.18787222523010288</v>
      </c>
      <c r="BJ17" s="2" t="s">
        <v>1048</v>
      </c>
      <c r="BK17" s="2" t="s">
        <v>1048</v>
      </c>
      <c r="BL17" s="3">
        <v>0.91996320147194111</v>
      </c>
      <c r="BM17" s="3" t="s">
        <v>1048</v>
      </c>
      <c r="BN17" s="3" t="s">
        <v>1048</v>
      </c>
    </row>
    <row r="18" spans="1:66" ht="15" customHeight="1" x14ac:dyDescent="0.3">
      <c r="A18" s="2" t="s">
        <v>132</v>
      </c>
      <c r="B18" s="2"/>
      <c r="C18" s="2" t="s">
        <v>133</v>
      </c>
      <c r="D18" s="15">
        <v>-33.85</v>
      </c>
      <c r="E18" s="15">
        <v>116.06</v>
      </c>
      <c r="F18" s="2" t="s">
        <v>101</v>
      </c>
      <c r="G18" s="14" t="s">
        <v>101</v>
      </c>
      <c r="H18" s="2"/>
      <c r="I18" s="2"/>
      <c r="J18" s="16">
        <v>2509.8273092369477</v>
      </c>
      <c r="K18" s="16">
        <v>1668.5729585006693</v>
      </c>
      <c r="L18" s="15" t="s">
        <v>14</v>
      </c>
      <c r="M18" s="2" t="s">
        <v>14</v>
      </c>
      <c r="N18" s="2">
        <v>3</v>
      </c>
      <c r="O18" s="3">
        <v>47.610933684012771</v>
      </c>
      <c r="P18" s="3">
        <v>70.803118542175454</v>
      </c>
      <c r="Q18" s="2" t="s">
        <v>1400</v>
      </c>
      <c r="R18" s="2">
        <v>4</v>
      </c>
      <c r="S18" s="3">
        <f>360.2*0.015</f>
        <v>5.4029999999999996</v>
      </c>
      <c r="T18" s="2" t="s">
        <v>139</v>
      </c>
      <c r="U18" s="3" t="s">
        <v>142</v>
      </c>
      <c r="V18" s="3" t="s">
        <v>144</v>
      </c>
      <c r="W18" s="3">
        <v>1.5</v>
      </c>
      <c r="X18" s="2" t="s">
        <v>117</v>
      </c>
      <c r="Y18" s="3" t="s">
        <v>145</v>
      </c>
      <c r="Z18" s="2">
        <v>38</v>
      </c>
      <c r="AA18" s="2" t="s">
        <v>143</v>
      </c>
      <c r="AB18" s="3">
        <f>179.6*0.02</f>
        <v>3.5920000000000001</v>
      </c>
      <c r="AC18" s="2" t="s">
        <v>139</v>
      </c>
      <c r="AD18" s="3" t="s">
        <v>140</v>
      </c>
      <c r="AE18" s="2">
        <v>2</v>
      </c>
      <c r="AF18" s="2" t="s">
        <v>117</v>
      </c>
      <c r="AG18" s="3" t="s">
        <v>141</v>
      </c>
      <c r="AH18" s="3">
        <v>0.7</v>
      </c>
      <c r="AI18">
        <v>38</v>
      </c>
      <c r="AJ18" s="2" t="s">
        <v>110</v>
      </c>
      <c r="AK18" s="17">
        <f>(283.64+51.88)*0.6948</f>
        <v>233.11929599999999</v>
      </c>
      <c r="AL18" s="2" t="s">
        <v>147</v>
      </c>
      <c r="AM18" s="2" t="s">
        <v>121</v>
      </c>
      <c r="AN18" s="27">
        <v>0.06</v>
      </c>
      <c r="AO18" s="18" t="s">
        <v>47</v>
      </c>
      <c r="AP18" s="2" t="s">
        <v>148</v>
      </c>
      <c r="AQ18" s="2">
        <v>38</v>
      </c>
      <c r="AR18" s="2" t="s">
        <v>146</v>
      </c>
      <c r="AS18" s="17"/>
      <c r="AT18"/>
      <c r="AU18"/>
      <c r="AV18"/>
      <c r="AW18"/>
      <c r="AX18" s="16">
        <v>88.259705488621151</v>
      </c>
      <c r="AY18" s="21">
        <f>9.5*0.02</f>
        <v>0.19</v>
      </c>
      <c r="AZ18" s="2" t="s">
        <v>135</v>
      </c>
      <c r="BA18" s="2" t="s">
        <v>136</v>
      </c>
      <c r="BB18" s="2" t="s">
        <v>138</v>
      </c>
      <c r="BC18" s="2">
        <v>24</v>
      </c>
      <c r="BD18">
        <v>38</v>
      </c>
      <c r="BE18" s="2" t="s">
        <v>137</v>
      </c>
      <c r="BF18"/>
      <c r="BG18" s="16">
        <v>464.524765729585</v>
      </c>
      <c r="BH18" s="16">
        <v>464.524765729585</v>
      </c>
      <c r="BI18" s="16">
        <v>464.524765729585</v>
      </c>
      <c r="BJ18" s="28">
        <v>0.46452476572958501</v>
      </c>
      <c r="BK18" s="28">
        <v>0.46452476572958501</v>
      </c>
      <c r="BL18" s="3">
        <v>1</v>
      </c>
      <c r="BM18" s="3">
        <v>0.92904953145917002</v>
      </c>
      <c r="BN18" s="3">
        <v>0.69678714859437751</v>
      </c>
    </row>
    <row r="19" spans="1:66" ht="15" customHeight="1" x14ac:dyDescent="0.3">
      <c r="A19" s="2" t="s">
        <v>52</v>
      </c>
      <c r="B19" s="2"/>
      <c r="C19" s="2" t="s">
        <v>281</v>
      </c>
      <c r="D19" s="15">
        <v>-25.49</v>
      </c>
      <c r="E19" s="15">
        <v>-67.099999999999994</v>
      </c>
      <c r="F19" s="2" t="s">
        <v>13</v>
      </c>
      <c r="G19" s="14" t="s">
        <v>13</v>
      </c>
      <c r="H19" s="2" t="s">
        <v>1045</v>
      </c>
      <c r="I19" s="2">
        <v>1</v>
      </c>
      <c r="J19" s="16">
        <v>2220</v>
      </c>
      <c r="K19" s="16">
        <v>731</v>
      </c>
      <c r="L19" s="15" t="s">
        <v>14</v>
      </c>
      <c r="M19" s="2" t="s">
        <v>14</v>
      </c>
      <c r="N19" s="2">
        <v>90</v>
      </c>
      <c r="O19" s="3">
        <v>12.211159120796543</v>
      </c>
      <c r="P19" s="3">
        <v>18.786398647379297</v>
      </c>
      <c r="Q19" s="2" t="s">
        <v>1400</v>
      </c>
      <c r="R19" s="2">
        <v>4</v>
      </c>
      <c r="S19" s="16">
        <v>2220000</v>
      </c>
      <c r="T19" s="2" t="s">
        <v>156</v>
      </c>
      <c r="U19" s="16" t="s">
        <v>286</v>
      </c>
      <c r="V19" s="3"/>
      <c r="W19" s="3">
        <f>(97*414+139*645+136*668+152*44+144*763+149*786+512*781+892*735)/(97+139+136+152+144+149+512+892)</f>
        <v>679.79603782080142</v>
      </c>
      <c r="X19" s="3" t="s">
        <v>22</v>
      </c>
      <c r="Y19" s="3" t="s">
        <v>288</v>
      </c>
      <c r="Z19" s="2">
        <v>40</v>
      </c>
      <c r="AA19" s="2" t="s">
        <v>287</v>
      </c>
      <c r="AB19" s="16">
        <v>731000</v>
      </c>
      <c r="AC19" s="2" t="s">
        <v>156</v>
      </c>
      <c r="AD19" s="3" t="s">
        <v>285</v>
      </c>
      <c r="AE19" s="2">
        <v>523</v>
      </c>
      <c r="AF19" s="2" t="s">
        <v>22</v>
      </c>
      <c r="AG19" s="3"/>
      <c r="AH19" s="2">
        <v>218</v>
      </c>
      <c r="AI19">
        <v>40</v>
      </c>
      <c r="AJ19" s="2" t="s">
        <v>284</v>
      </c>
      <c r="AK19" s="17">
        <f>4.7*1000</f>
        <v>4700</v>
      </c>
      <c r="AL19" s="18" t="s">
        <v>10</v>
      </c>
      <c r="AM19" s="18" t="s">
        <v>31</v>
      </c>
      <c r="AN19" s="2"/>
      <c r="AO19" s="18" t="s">
        <v>47</v>
      </c>
      <c r="AP19" s="2" t="s">
        <v>290</v>
      </c>
      <c r="AQ19" s="2">
        <v>40</v>
      </c>
      <c r="AR19" s="2" t="s">
        <v>289</v>
      </c>
      <c r="AS19" s="17"/>
      <c r="AT19"/>
      <c r="AU19"/>
      <c r="AV19"/>
      <c r="AW19"/>
      <c r="AX19" s="16">
        <v>3.7574445046020579</v>
      </c>
      <c r="AY19" s="16">
        <v>20000</v>
      </c>
      <c r="AZ19" s="2" t="s">
        <v>36</v>
      </c>
      <c r="BA19" s="2" t="s">
        <v>282</v>
      </c>
      <c r="BB19" s="2" t="s">
        <v>19</v>
      </c>
      <c r="BC19" s="2">
        <v>40</v>
      </c>
      <c r="BD19">
        <v>40</v>
      </c>
      <c r="BE19" s="2" t="s">
        <v>283</v>
      </c>
      <c r="BF19" s="2" t="s">
        <v>291</v>
      </c>
      <c r="BG19" s="21">
        <v>1.8787222523010289E-4</v>
      </c>
      <c r="BH19" s="16">
        <v>1E-3</v>
      </c>
      <c r="BI19" s="16">
        <v>1E-3</v>
      </c>
      <c r="BJ19" s="2">
        <v>1E-4</v>
      </c>
      <c r="BK19" s="2">
        <v>1E-4</v>
      </c>
      <c r="BL19" s="3">
        <v>0.91996320147194111</v>
      </c>
      <c r="BM19" s="3">
        <v>5.2299999999999999E-2</v>
      </c>
      <c r="BN19" s="3">
        <v>6.797960378208015E-2</v>
      </c>
    </row>
    <row r="20" spans="1:66" ht="15" customHeight="1" x14ac:dyDescent="0.3">
      <c r="A20" s="2" t="s">
        <v>132</v>
      </c>
      <c r="B20" s="2"/>
      <c r="C20" s="2" t="s">
        <v>201</v>
      </c>
      <c r="D20" s="15">
        <v>-21.04</v>
      </c>
      <c r="E20" s="15">
        <v>118.91</v>
      </c>
      <c r="F20" s="2" t="s">
        <v>101</v>
      </c>
      <c r="G20" s="14" t="s">
        <v>101</v>
      </c>
      <c r="H20" s="2"/>
      <c r="I20" s="2"/>
      <c r="J20" s="16">
        <v>2210.5340026773761</v>
      </c>
      <c r="K20" s="16">
        <v>1184.0643373493976</v>
      </c>
      <c r="L20" s="15" t="s">
        <v>14</v>
      </c>
      <c r="M20" s="2" t="s">
        <v>14</v>
      </c>
      <c r="N20" s="2">
        <v>3</v>
      </c>
      <c r="O20" s="3">
        <v>18.955100507232761</v>
      </c>
      <c r="P20" s="3">
        <v>26.481495397332331</v>
      </c>
      <c r="Q20" s="2" t="s">
        <v>1400</v>
      </c>
      <c r="R20" s="2">
        <v>4</v>
      </c>
      <c r="S20" s="16">
        <f>413.8*0.0115</f>
        <v>4.7587000000000002</v>
      </c>
      <c r="T20" s="2" t="s">
        <v>206</v>
      </c>
      <c r="U20" s="16" t="s">
        <v>209</v>
      </c>
      <c r="V20" s="16" t="s">
        <v>211</v>
      </c>
      <c r="W20" s="3">
        <v>1.1499999999999999</v>
      </c>
      <c r="X20" s="2" t="s">
        <v>117</v>
      </c>
      <c r="Y20" s="3" t="s">
        <v>212</v>
      </c>
      <c r="Z20" s="2">
        <v>32</v>
      </c>
      <c r="AA20" s="2" t="s">
        <v>210</v>
      </c>
      <c r="AB20" s="16">
        <f>214.2*0.0119</f>
        <v>2.5489800000000002</v>
      </c>
      <c r="AC20" s="2" t="s">
        <v>206</v>
      </c>
      <c r="AD20" s="16" t="s">
        <v>207</v>
      </c>
      <c r="AE20" s="2">
        <v>1.19</v>
      </c>
      <c r="AF20" s="2" t="s">
        <v>117</v>
      </c>
      <c r="AG20" s="16" t="s">
        <v>208</v>
      </c>
      <c r="AH20" s="3">
        <v>0.3</v>
      </c>
      <c r="AI20">
        <v>32</v>
      </c>
      <c r="AJ20" s="2" t="s">
        <v>205</v>
      </c>
      <c r="AK20" s="17">
        <v>931</v>
      </c>
      <c r="AL20" s="2" t="s">
        <v>213</v>
      </c>
      <c r="AM20" s="2" t="s">
        <v>121</v>
      </c>
      <c r="AN20" s="27">
        <v>5.2999999999999999E-2</v>
      </c>
      <c r="AO20" s="18" t="s">
        <v>47</v>
      </c>
      <c r="AP20" s="2" t="s">
        <v>214</v>
      </c>
      <c r="AQ20" s="2">
        <v>32</v>
      </c>
      <c r="AR20" s="2" t="s">
        <v>60</v>
      </c>
      <c r="AS20" s="17"/>
      <c r="AT20"/>
      <c r="AU20"/>
      <c r="AV20"/>
      <c r="AW20"/>
      <c r="AX20" s="16">
        <v>17.284418393574295</v>
      </c>
      <c r="AY20" s="16">
        <f>620147*0.06</f>
        <v>37208.82</v>
      </c>
      <c r="AZ20" s="2" t="s">
        <v>104</v>
      </c>
      <c r="BA20" s="2" t="s">
        <v>202</v>
      </c>
      <c r="BB20" s="2" t="s">
        <v>204</v>
      </c>
      <c r="BC20" s="2">
        <v>34</v>
      </c>
      <c r="BD20">
        <v>32</v>
      </c>
      <c r="BE20" s="2" t="s">
        <v>203</v>
      </c>
      <c r="BF20"/>
      <c r="BG20" s="16">
        <v>4.64524765729585E-4</v>
      </c>
      <c r="BH20" s="16">
        <v>464.524765729585</v>
      </c>
      <c r="BI20" s="16">
        <v>464.524765729585</v>
      </c>
      <c r="BJ20" s="28">
        <v>0.46452476572958501</v>
      </c>
      <c r="BK20" s="28">
        <v>0.46452476572958501</v>
      </c>
      <c r="BL20" s="3">
        <v>0.91996320147194111</v>
      </c>
      <c r="BM20" s="3">
        <v>0.55278447121820617</v>
      </c>
      <c r="BN20" s="3">
        <v>0.53420348058902267</v>
      </c>
    </row>
    <row r="21" spans="1:66" ht="15" customHeight="1" x14ac:dyDescent="0.3">
      <c r="A21" s="2" t="s">
        <v>128</v>
      </c>
      <c r="B21" s="2"/>
      <c r="C21" s="2" t="s">
        <v>129</v>
      </c>
      <c r="D21" s="15">
        <v>36.9</v>
      </c>
      <c r="E21" s="15">
        <v>95.26</v>
      </c>
      <c r="F21" s="2" t="s">
        <v>13</v>
      </c>
      <c r="G21" s="14" t="s">
        <v>13</v>
      </c>
      <c r="H21" s="2" t="s">
        <v>1045</v>
      </c>
      <c r="I21" s="2">
        <v>1</v>
      </c>
      <c r="J21" s="16">
        <v>2021.4624800000004</v>
      </c>
      <c r="K21" s="16" t="s">
        <v>1048</v>
      </c>
      <c r="L21" s="15" t="s">
        <v>14</v>
      </c>
      <c r="M21" s="2" t="s">
        <v>14</v>
      </c>
      <c r="N21" s="2">
        <v>4</v>
      </c>
      <c r="O21" s="3">
        <v>11.37</v>
      </c>
      <c r="P21" s="3">
        <v>11.37</v>
      </c>
      <c r="Q21" s="2" t="s">
        <v>1400</v>
      </c>
      <c r="R21" s="2">
        <v>4</v>
      </c>
      <c r="S21" s="16">
        <f>+J21/1000</f>
        <v>2.0214624800000003</v>
      </c>
      <c r="T21" t="s">
        <v>1452</v>
      </c>
      <c r="U21" s="16"/>
      <c r="V21" s="16"/>
      <c r="W21" s="3"/>
      <c r="X21" s="3"/>
      <c r="Y21" s="3"/>
      <c r="Z21" s="2">
        <v>2</v>
      </c>
      <c r="AA21"/>
      <c r="AB21" s="2"/>
      <c r="AC21" s="2"/>
      <c r="AD21" s="16"/>
      <c r="AE21" s="2"/>
      <c r="AF21" s="2"/>
      <c r="AG21" s="16"/>
      <c r="AH21" s="16"/>
      <c r="AI21"/>
      <c r="AJ21" s="2"/>
      <c r="AK21"/>
      <c r="AL21"/>
      <c r="AM21"/>
      <c r="AN21"/>
      <c r="AO21"/>
      <c r="AP21"/>
      <c r="AQ21" s="2"/>
      <c r="AR21"/>
      <c r="AS21" s="17"/>
      <c r="AT21"/>
      <c r="AU21"/>
      <c r="AV21"/>
      <c r="AW21"/>
      <c r="AX21" s="16">
        <v>13.151055766107202</v>
      </c>
      <c r="AY21" s="16">
        <v>70000</v>
      </c>
      <c r="AZ21" s="2" t="s">
        <v>36</v>
      </c>
      <c r="BA21" s="2"/>
      <c r="BB21" s="2">
        <v>2022</v>
      </c>
      <c r="BC21"/>
      <c r="BD21">
        <v>30</v>
      </c>
      <c r="BE21" s="2" t="s">
        <v>15</v>
      </c>
      <c r="BF21" s="2" t="s">
        <v>131</v>
      </c>
      <c r="BG21" s="21">
        <v>1.8787222523010289E-4</v>
      </c>
      <c r="BH21" s="16" t="s">
        <v>1048</v>
      </c>
      <c r="BI21" s="2">
        <v>1</v>
      </c>
      <c r="BJ21" s="2" t="s">
        <v>1048</v>
      </c>
      <c r="BK21" s="2" t="s">
        <v>1048</v>
      </c>
      <c r="BL21" s="3">
        <v>0.91996320147194111</v>
      </c>
      <c r="BM21" s="3" t="s">
        <v>1048</v>
      </c>
      <c r="BN21" s="3" t="s">
        <v>1048</v>
      </c>
    </row>
    <row r="22" spans="1:66" ht="15" customHeight="1" x14ac:dyDescent="0.3">
      <c r="A22" s="2" t="s">
        <v>52</v>
      </c>
      <c r="B22" s="2"/>
      <c r="C22" s="2" t="s">
        <v>559</v>
      </c>
      <c r="D22" s="15">
        <v>-26.47</v>
      </c>
      <c r="E22" s="15">
        <v>-67.540000000000006</v>
      </c>
      <c r="F22" s="2" t="s">
        <v>13</v>
      </c>
      <c r="G22" s="14" t="s">
        <v>13</v>
      </c>
      <c r="H22" s="2" t="s">
        <v>1045</v>
      </c>
      <c r="I22" s="2">
        <v>1</v>
      </c>
      <c r="J22" s="16">
        <v>1991.4455874390906</v>
      </c>
      <c r="K22" s="16">
        <v>117.4</v>
      </c>
      <c r="L22" s="15" t="s">
        <v>1052</v>
      </c>
      <c r="M22" s="2" t="s">
        <v>268</v>
      </c>
      <c r="N22" s="2">
        <v>136</v>
      </c>
      <c r="O22" s="3"/>
      <c r="P22" s="3">
        <v>6.5752395265827532</v>
      </c>
      <c r="Q22" s="2" t="s">
        <v>1404</v>
      </c>
      <c r="R22" s="2">
        <v>4</v>
      </c>
      <c r="S22" s="24">
        <v>10.6</v>
      </c>
      <c r="T22" s="2" t="s">
        <v>79</v>
      </c>
      <c r="U22" s="16" t="s">
        <v>564</v>
      </c>
      <c r="V22" s="16" t="s">
        <v>566</v>
      </c>
      <c r="W22" s="3"/>
      <c r="X22" s="3"/>
      <c r="Y22" s="3"/>
      <c r="Z22" s="2">
        <v>51</v>
      </c>
      <c r="AA22" s="2" t="s">
        <v>565</v>
      </c>
      <c r="AB22" s="16">
        <v>117400</v>
      </c>
      <c r="AC22" s="2" t="s">
        <v>407</v>
      </c>
      <c r="AD22" s="16" t="s">
        <v>562</v>
      </c>
      <c r="AE22" s="37">
        <f>(18.9*259+151.4*257+454.1*245)/(18.9+151.4+454.1)</f>
        <v>248.33344010249834</v>
      </c>
      <c r="AF22" s="2" t="s">
        <v>22</v>
      </c>
      <c r="AG22" s="16" t="s">
        <v>563</v>
      </c>
      <c r="AH22" s="2">
        <v>150</v>
      </c>
      <c r="AI22">
        <v>51</v>
      </c>
      <c r="AJ22" s="2" t="s">
        <v>561</v>
      </c>
      <c r="AK22" s="17">
        <v>6047</v>
      </c>
      <c r="AL22" s="18" t="s">
        <v>10</v>
      </c>
      <c r="AM22" s="18" t="s">
        <v>31</v>
      </c>
      <c r="AN22" s="2"/>
      <c r="AO22" s="18" t="s">
        <v>47</v>
      </c>
      <c r="AP22" s="2" t="s">
        <v>66</v>
      </c>
      <c r="AQ22" s="2">
        <v>51</v>
      </c>
      <c r="AR22" s="2" t="s">
        <v>567</v>
      </c>
      <c r="AS22" s="17">
        <v>1376</v>
      </c>
      <c r="AT22" s="2" t="s">
        <v>88</v>
      </c>
      <c r="AU22" s="2" t="s">
        <v>569</v>
      </c>
      <c r="AV22">
        <v>51</v>
      </c>
      <c r="AW22" s="2" t="s">
        <v>568</v>
      </c>
      <c r="AX22" s="16">
        <v>4.6968056307525723</v>
      </c>
      <c r="AY22" s="16">
        <v>25</v>
      </c>
      <c r="AZ22" s="2" t="s">
        <v>216</v>
      </c>
      <c r="BA22"/>
      <c r="BB22" s="2" t="s">
        <v>271</v>
      </c>
      <c r="BC22" s="2">
        <v>25</v>
      </c>
      <c r="BD22">
        <v>51</v>
      </c>
      <c r="BE22" s="2">
        <v>81</v>
      </c>
      <c r="BF22"/>
      <c r="BG22" s="16">
        <v>0.18787222523010288</v>
      </c>
      <c r="BH22" s="16">
        <v>1E-3</v>
      </c>
      <c r="BI22" s="16">
        <v>187.87222523010288</v>
      </c>
      <c r="BJ22" s="2">
        <v>1E-4</v>
      </c>
      <c r="BK22" s="2" t="s">
        <v>1048</v>
      </c>
      <c r="BL22" s="3">
        <v>0.91996320147194111</v>
      </c>
      <c r="BM22" s="3">
        <v>2.4833344010249836E-2</v>
      </c>
      <c r="BN22" s="3" t="s">
        <v>1048</v>
      </c>
    </row>
    <row r="23" spans="1:66" ht="15" customHeight="1" x14ac:dyDescent="0.3">
      <c r="A23" s="2" t="s">
        <v>52</v>
      </c>
      <c r="B23" s="2"/>
      <c r="C23" s="2" t="s">
        <v>243</v>
      </c>
      <c r="D23" s="15">
        <v>-24.89</v>
      </c>
      <c r="E23" s="15">
        <v>-66.760000000000005</v>
      </c>
      <c r="F23" s="2" t="s">
        <v>13</v>
      </c>
      <c r="G23" s="14" t="s">
        <v>13</v>
      </c>
      <c r="H23" s="2" t="s">
        <v>1045</v>
      </c>
      <c r="I23" s="2">
        <v>1</v>
      </c>
      <c r="J23" s="16">
        <v>1867.0741743367626</v>
      </c>
      <c r="K23" s="16">
        <v>208.8</v>
      </c>
      <c r="L23" s="2" t="s">
        <v>73</v>
      </c>
      <c r="M23" s="2" t="s">
        <v>73</v>
      </c>
      <c r="N23" s="2">
        <v>137</v>
      </c>
      <c r="O23" s="3">
        <v>1.8034942701484122</v>
      </c>
      <c r="P23" s="3">
        <v>4.5087356753710308</v>
      </c>
      <c r="Q23" s="2" t="s">
        <v>1403</v>
      </c>
      <c r="R23" s="2">
        <v>4</v>
      </c>
      <c r="S23" s="16">
        <v>9938</v>
      </c>
      <c r="T23" s="16" t="s">
        <v>249</v>
      </c>
      <c r="U23" s="16" t="s">
        <v>250</v>
      </c>
      <c r="V23" s="2" t="s">
        <v>251</v>
      </c>
      <c r="W23" s="3">
        <v>350</v>
      </c>
      <c r="X23" s="3" t="s">
        <v>22</v>
      </c>
      <c r="Y23" s="3" t="s">
        <v>252</v>
      </c>
      <c r="Z23" s="2">
        <v>34</v>
      </c>
      <c r="AA23" s="2" t="s">
        <v>246</v>
      </c>
      <c r="AB23" s="16">
        <v>208800</v>
      </c>
      <c r="AC23" s="2" t="s">
        <v>156</v>
      </c>
      <c r="AD23" s="16" t="s">
        <v>247</v>
      </c>
      <c r="AE23" s="2">
        <v>438</v>
      </c>
      <c r="AF23" s="2" t="s">
        <v>22</v>
      </c>
      <c r="AG23" s="16" t="s">
        <v>248</v>
      </c>
      <c r="AH23" s="2"/>
      <c r="AI23">
        <v>34</v>
      </c>
      <c r="AJ23" s="2" t="s">
        <v>246</v>
      </c>
      <c r="AK23" s="17">
        <v>3500</v>
      </c>
      <c r="AL23" s="18" t="s">
        <v>10</v>
      </c>
      <c r="AM23" s="18" t="s">
        <v>31</v>
      </c>
      <c r="AN23" s="2"/>
      <c r="AO23" s="18" t="s">
        <v>47</v>
      </c>
      <c r="AP23" s="2" t="s">
        <v>254</v>
      </c>
      <c r="AQ23" s="2">
        <v>185</v>
      </c>
      <c r="AR23" s="8"/>
      <c r="AS23" s="17">
        <v>550</v>
      </c>
      <c r="AT23" s="2" t="s">
        <v>88</v>
      </c>
      <c r="AU23" s="2" t="s">
        <v>123</v>
      </c>
      <c r="AV23">
        <v>185</v>
      </c>
      <c r="AW23" s="7"/>
      <c r="AX23" s="16">
        <v>4.5089334055224697</v>
      </c>
      <c r="AY23" s="16">
        <v>24</v>
      </c>
      <c r="AZ23" s="2" t="s">
        <v>245</v>
      </c>
      <c r="BA23" s="2"/>
      <c r="BB23" s="2">
        <v>2025</v>
      </c>
      <c r="BC23" s="2">
        <v>40</v>
      </c>
      <c r="BD23">
        <v>34</v>
      </c>
      <c r="BE23" s="2" t="s">
        <v>246</v>
      </c>
      <c r="BF23"/>
      <c r="BG23" s="16">
        <v>0.18787222523010288</v>
      </c>
      <c r="BH23" s="16">
        <v>1E-3</v>
      </c>
      <c r="BI23" s="21">
        <v>0.18787222523010288</v>
      </c>
      <c r="BJ23" s="2">
        <v>1E-4</v>
      </c>
      <c r="BK23" s="2">
        <v>1E-4</v>
      </c>
      <c r="BL23" s="3">
        <v>1.0805039999999999</v>
      </c>
      <c r="BM23" s="3">
        <v>4.3799999999999999E-2</v>
      </c>
      <c r="BN23" s="3">
        <v>3.5000000000000003E-2</v>
      </c>
    </row>
    <row r="24" spans="1:66" ht="15" customHeight="1" x14ac:dyDescent="0.3">
      <c r="A24" s="2" t="s">
        <v>69</v>
      </c>
      <c r="B24" s="29" t="s">
        <v>70</v>
      </c>
      <c r="C24" s="2" t="s">
        <v>167</v>
      </c>
      <c r="D24" s="15">
        <v>38.151643999999997</v>
      </c>
      <c r="E24" s="15">
        <v>-117.278978</v>
      </c>
      <c r="F24" s="2" t="s">
        <v>72</v>
      </c>
      <c r="G24" s="14" t="s">
        <v>72</v>
      </c>
      <c r="H24" s="2"/>
      <c r="I24" s="2"/>
      <c r="J24" s="16">
        <v>1660.04</v>
      </c>
      <c r="K24" s="16" t="s">
        <v>1048</v>
      </c>
      <c r="L24" s="15" t="s">
        <v>1051</v>
      </c>
      <c r="M24"/>
      <c r="N24"/>
      <c r="O24" s="3"/>
      <c r="P24" s="3">
        <v>6.8570355062934434</v>
      </c>
      <c r="Q24" s="2" t="s">
        <v>1404</v>
      </c>
      <c r="R24" s="2">
        <v>4</v>
      </c>
      <c r="S24" s="16">
        <f>+J24/1000</f>
        <v>1.66004</v>
      </c>
      <c r="T24" t="s">
        <v>1452</v>
      </c>
      <c r="U24" s="16"/>
      <c r="V24" s="16"/>
      <c r="W24" s="3"/>
      <c r="X24" s="3"/>
      <c r="Y24" s="3"/>
      <c r="Z24" s="2">
        <v>2</v>
      </c>
      <c r="AA24"/>
      <c r="AB24" s="16"/>
      <c r="AC24"/>
      <c r="AD24" s="16"/>
      <c r="AE24"/>
      <c r="AF24"/>
      <c r="AG24" s="16"/>
      <c r="AH24" s="16"/>
      <c r="AI24"/>
      <c r="AJ24"/>
      <c r="AK24"/>
      <c r="AL24"/>
      <c r="AM24"/>
      <c r="AN24"/>
      <c r="AO24"/>
      <c r="AP24"/>
      <c r="AQ24" s="2"/>
      <c r="AR24"/>
      <c r="AS24" s="17"/>
      <c r="AT24"/>
      <c r="AU24"/>
      <c r="AV24"/>
      <c r="AW24"/>
      <c r="AX24" s="16" t="s">
        <v>1048</v>
      </c>
      <c r="AY24" s="16"/>
      <c r="AZ24"/>
      <c r="BA24"/>
      <c r="BB24"/>
      <c r="BC24"/>
      <c r="BD24"/>
      <c r="BE24"/>
      <c r="BF24"/>
      <c r="BG24" s="2" t="s">
        <v>1048</v>
      </c>
      <c r="BH24" s="16" t="s">
        <v>1048</v>
      </c>
      <c r="BI24" s="2">
        <v>1</v>
      </c>
      <c r="BJ24" s="2" t="s">
        <v>1048</v>
      </c>
      <c r="BK24" s="2" t="s">
        <v>1048</v>
      </c>
      <c r="BL24" s="3">
        <v>1</v>
      </c>
      <c r="BM24" s="3" t="s">
        <v>1048</v>
      </c>
      <c r="BN24" s="3" t="s">
        <v>1048</v>
      </c>
    </row>
    <row r="25" spans="1:66" ht="15" customHeight="1" x14ac:dyDescent="0.3">
      <c r="A25" s="2" t="s">
        <v>52</v>
      </c>
      <c r="B25" s="2"/>
      <c r="C25" s="2" t="s">
        <v>215</v>
      </c>
      <c r="D25" s="15">
        <v>-24.09</v>
      </c>
      <c r="E25" s="15">
        <v>-67.09</v>
      </c>
      <c r="F25" s="2" t="s">
        <v>13</v>
      </c>
      <c r="G25" s="14" t="s">
        <v>13</v>
      </c>
      <c r="H25" s="2" t="s">
        <v>1045</v>
      </c>
      <c r="I25" s="2">
        <v>1</v>
      </c>
      <c r="J25" s="16">
        <v>1559.339469409854</v>
      </c>
      <c r="K25" s="16">
        <v>225.44667027612346</v>
      </c>
      <c r="L25" s="15" t="s">
        <v>14</v>
      </c>
      <c r="M25" s="2" t="s">
        <v>14</v>
      </c>
      <c r="N25" s="2">
        <v>3</v>
      </c>
      <c r="O25" s="3">
        <v>0.28179597971068943</v>
      </c>
      <c r="P25" s="3">
        <v>9.3931993236896485</v>
      </c>
      <c r="Q25" s="2" t="s">
        <v>1405</v>
      </c>
      <c r="R25" s="2">
        <v>4</v>
      </c>
      <c r="S25" s="16">
        <f>3.5+4.8</f>
        <v>8.3000000000000007</v>
      </c>
      <c r="T25" s="2" t="s">
        <v>219</v>
      </c>
      <c r="U25" s="16" t="s">
        <v>221</v>
      </c>
      <c r="V25" s="16"/>
      <c r="W25" s="3"/>
      <c r="X25" s="3"/>
      <c r="Y25" s="3"/>
      <c r="Z25" s="2">
        <v>182</v>
      </c>
      <c r="AA25" s="7"/>
      <c r="AB25" s="16">
        <v>1.2</v>
      </c>
      <c r="AC25" s="2" t="s">
        <v>219</v>
      </c>
      <c r="AD25" s="16" t="s">
        <v>220</v>
      </c>
      <c r="AE25" s="16">
        <f>(395*521+343*149+384*88+400*933)/(521+149+88+933)</f>
        <v>392.60437610881138</v>
      </c>
      <c r="AF25" s="2" t="s">
        <v>22</v>
      </c>
      <c r="AG25" s="16"/>
      <c r="AH25" s="16"/>
      <c r="AI25">
        <v>182</v>
      </c>
      <c r="AJ25" s="7"/>
      <c r="AK25" s="17">
        <v>2968</v>
      </c>
      <c r="AL25" s="18" t="s">
        <v>10</v>
      </c>
      <c r="AM25" s="18" t="s">
        <v>31</v>
      </c>
      <c r="AN25" s="18"/>
      <c r="AO25" s="2"/>
      <c r="AP25"/>
      <c r="AQ25" s="2">
        <v>44</v>
      </c>
      <c r="AR25" s="2" t="s">
        <v>23</v>
      </c>
      <c r="AS25" s="17">
        <v>769.6</v>
      </c>
      <c r="AT25" s="2" t="s">
        <v>223</v>
      </c>
      <c r="AU25"/>
      <c r="AV25">
        <v>190</v>
      </c>
      <c r="AW25" s="8"/>
      <c r="AX25" s="16">
        <v>9.3936112615051446</v>
      </c>
      <c r="AY25" s="16">
        <v>50</v>
      </c>
      <c r="AZ25" s="2" t="s">
        <v>216</v>
      </c>
      <c r="BA25"/>
      <c r="BB25" s="2" t="s">
        <v>217</v>
      </c>
      <c r="BC25" s="2">
        <v>25</v>
      </c>
      <c r="BD25">
        <v>44</v>
      </c>
      <c r="BE25" s="2" t="s">
        <v>23</v>
      </c>
      <c r="BF25"/>
      <c r="BG25" s="16">
        <v>0.18787222523010288</v>
      </c>
      <c r="BH25" s="16">
        <v>187.87222523010288</v>
      </c>
      <c r="BI25" s="16">
        <v>187.87222523010288</v>
      </c>
      <c r="BJ25" s="2">
        <v>1E-4</v>
      </c>
      <c r="BK25" s="2" t="s">
        <v>1048</v>
      </c>
      <c r="BL25" s="3">
        <v>0.91996320147194111</v>
      </c>
      <c r="BM25" s="3">
        <v>3.926043761088114E-2</v>
      </c>
      <c r="BN25" s="3" t="s">
        <v>1048</v>
      </c>
    </row>
    <row r="26" spans="1:66" ht="15" customHeight="1" x14ac:dyDescent="0.3">
      <c r="A26" s="2" t="s">
        <v>52</v>
      </c>
      <c r="B26" s="2"/>
      <c r="C26" s="2" t="s">
        <v>306</v>
      </c>
      <c r="D26" s="15">
        <v>-24.81</v>
      </c>
      <c r="E26" s="15">
        <v>-68.3</v>
      </c>
      <c r="F26" s="2" t="s">
        <v>13</v>
      </c>
      <c r="G26" s="14" t="s">
        <v>13</v>
      </c>
      <c r="H26" s="2"/>
      <c r="I26" s="2"/>
      <c r="J26" s="16">
        <v>1525.5224688684352</v>
      </c>
      <c r="K26" s="16" t="s">
        <v>1048</v>
      </c>
      <c r="L26" s="2" t="s">
        <v>73</v>
      </c>
      <c r="M26" s="2" t="s">
        <v>73</v>
      </c>
      <c r="N26" s="2">
        <v>138</v>
      </c>
      <c r="O26" s="3">
        <v>1.5968438850272402</v>
      </c>
      <c r="P26" s="3">
        <v>3.1936877700544803</v>
      </c>
      <c r="Q26" s="2" t="s">
        <v>1403</v>
      </c>
      <c r="R26" s="2">
        <v>4</v>
      </c>
      <c r="S26" s="16">
        <v>8.1199999999999992</v>
      </c>
      <c r="T26" s="2" t="s">
        <v>219</v>
      </c>
      <c r="U26" s="16"/>
      <c r="V26" s="16"/>
      <c r="W26" s="3">
        <v>380</v>
      </c>
      <c r="X26" s="3" t="s">
        <v>78</v>
      </c>
      <c r="Y26" s="3"/>
      <c r="Z26" s="2">
        <v>95</v>
      </c>
      <c r="AA26" s="2" t="s">
        <v>309</v>
      </c>
      <c r="AB26" s="16"/>
      <c r="AC26"/>
      <c r="AD26" s="16"/>
      <c r="AE26"/>
      <c r="AF26"/>
      <c r="AG26" s="16"/>
      <c r="AH26" s="2"/>
      <c r="AI26"/>
      <c r="AJ26"/>
      <c r="AK26" s="17"/>
      <c r="AL26"/>
      <c r="AM26"/>
      <c r="AN26"/>
      <c r="AO26"/>
      <c r="AP26"/>
      <c r="AQ26" s="2"/>
      <c r="AR26"/>
      <c r="AS26" s="17">
        <v>243</v>
      </c>
      <c r="AT26" s="2" t="s">
        <v>88</v>
      </c>
      <c r="AU26"/>
      <c r="AV26">
        <v>191</v>
      </c>
      <c r="AW26" s="2"/>
      <c r="AX26" s="16">
        <v>3.2741254452386008</v>
      </c>
      <c r="AY26" s="16">
        <v>20000</v>
      </c>
      <c r="AZ26" s="2" t="s">
        <v>308</v>
      </c>
      <c r="BA26"/>
      <c r="BB26"/>
      <c r="BC26" s="2">
        <v>25</v>
      </c>
      <c r="BD26">
        <v>95</v>
      </c>
      <c r="BE26" s="2" t="s">
        <v>83</v>
      </c>
      <c r="BF26"/>
      <c r="BG26" s="16">
        <v>1.6370627226193005E-4</v>
      </c>
      <c r="BH26" s="16" t="s">
        <v>1048</v>
      </c>
      <c r="BI26" s="16">
        <v>187.87222523010288</v>
      </c>
      <c r="BJ26" s="2" t="s">
        <v>1048</v>
      </c>
      <c r="BK26" s="2">
        <v>1E-4</v>
      </c>
      <c r="BL26" s="3">
        <v>1</v>
      </c>
      <c r="BM26" s="3" t="s">
        <v>1048</v>
      </c>
      <c r="BN26" s="3">
        <v>3.7999999999999999E-2</v>
      </c>
    </row>
    <row r="27" spans="1:66" ht="15" customHeight="1" x14ac:dyDescent="0.3">
      <c r="A27" s="2" t="s">
        <v>17</v>
      </c>
      <c r="B27" s="2"/>
      <c r="C27" s="2" t="s">
        <v>18</v>
      </c>
      <c r="D27" s="15">
        <v>-23.64</v>
      </c>
      <c r="E27" s="15">
        <v>-68.319999999999993</v>
      </c>
      <c r="F27" s="2" t="s">
        <v>13</v>
      </c>
      <c r="G27" s="14" t="s">
        <v>13</v>
      </c>
      <c r="H27" s="2" t="s">
        <v>1045</v>
      </c>
      <c r="I27" s="2">
        <v>1</v>
      </c>
      <c r="J27" s="16">
        <v>1491</v>
      </c>
      <c r="K27" s="16">
        <v>647</v>
      </c>
      <c r="L27" s="15" t="s">
        <v>14</v>
      </c>
      <c r="M27" s="2" t="s">
        <v>14</v>
      </c>
      <c r="N27" s="2">
        <v>3</v>
      </c>
      <c r="O27" s="3">
        <v>15.780574863798609</v>
      </c>
      <c r="P27" s="3">
        <v>15.780574863798609</v>
      </c>
      <c r="Q27" s="2" t="s">
        <v>1400</v>
      </c>
      <c r="R27" s="2">
        <v>4</v>
      </c>
      <c r="S27" s="16">
        <f>1360+131</f>
        <v>1491</v>
      </c>
      <c r="T27" s="2" t="s">
        <v>24</v>
      </c>
      <c r="U27" s="16" t="s">
        <v>27</v>
      </c>
      <c r="V27" s="16"/>
      <c r="W27" s="3">
        <f>(717*2211+642*1747+131*1593)/(717+642+131)</f>
        <v>1956.7409395973154</v>
      </c>
      <c r="X27" s="3" t="s">
        <v>22</v>
      </c>
      <c r="Y27" s="3" t="s">
        <v>29</v>
      </c>
      <c r="Z27" s="2">
        <v>46</v>
      </c>
      <c r="AA27" s="2" t="s">
        <v>28</v>
      </c>
      <c r="AB27" s="16">
        <v>647</v>
      </c>
      <c r="AC27" s="2" t="s">
        <v>24</v>
      </c>
      <c r="AD27" s="16" t="s">
        <v>25</v>
      </c>
      <c r="AE27" s="2">
        <v>2071</v>
      </c>
      <c r="AF27" s="2" t="s">
        <v>22</v>
      </c>
      <c r="AG27" s="16" t="s">
        <v>26</v>
      </c>
      <c r="AH27" s="16">
        <v>783</v>
      </c>
      <c r="AI27">
        <v>46</v>
      </c>
      <c r="AJ27" s="2" t="s">
        <v>23</v>
      </c>
      <c r="AK27" s="17">
        <v>3552</v>
      </c>
      <c r="AL27" s="18" t="s">
        <v>10</v>
      </c>
      <c r="AM27" s="18" t="s">
        <v>31</v>
      </c>
      <c r="AN27" s="18"/>
      <c r="AO27" s="18"/>
      <c r="AP27" s="18" t="s">
        <v>32</v>
      </c>
      <c r="AQ27" s="2">
        <v>186</v>
      </c>
      <c r="AR27" s="19"/>
      <c r="AS27" s="17">
        <v>685.6</v>
      </c>
      <c r="AT27" s="2" t="s">
        <v>33</v>
      </c>
      <c r="AU27" s="2" t="s">
        <v>34</v>
      </c>
      <c r="AV27">
        <v>186</v>
      </c>
      <c r="AW27" s="20"/>
      <c r="AX27" s="16">
        <v>8</v>
      </c>
      <c r="AY27" s="16">
        <v>8000</v>
      </c>
      <c r="AZ27" s="2" t="s">
        <v>20</v>
      </c>
      <c r="BA27" s="2"/>
      <c r="BB27" s="2">
        <v>2021</v>
      </c>
      <c r="BC27" s="2"/>
      <c r="BD27">
        <v>46</v>
      </c>
      <c r="BE27" s="2" t="s">
        <v>21</v>
      </c>
      <c r="BF27"/>
      <c r="BG27" s="16">
        <v>1E-3</v>
      </c>
      <c r="BH27" s="16">
        <v>1</v>
      </c>
      <c r="BI27" s="16">
        <v>1</v>
      </c>
      <c r="BJ27" s="2">
        <v>1E-4</v>
      </c>
      <c r="BK27" s="2">
        <v>1E-4</v>
      </c>
      <c r="BL27" s="3">
        <v>0.91996320147194111</v>
      </c>
      <c r="BM27" s="3">
        <v>0.20710000000000001</v>
      </c>
      <c r="BN27" s="3">
        <v>0.19567409395973157</v>
      </c>
    </row>
    <row r="28" spans="1:66" ht="15" customHeight="1" x14ac:dyDescent="0.3">
      <c r="A28" s="2" t="s">
        <v>132</v>
      </c>
      <c r="B28" s="2"/>
      <c r="C28" s="2" t="s">
        <v>224</v>
      </c>
      <c r="D28" s="15">
        <v>-21.17</v>
      </c>
      <c r="E28" s="15">
        <v>118.67</v>
      </c>
      <c r="F28" s="2" t="s">
        <v>101</v>
      </c>
      <c r="G28" s="14" t="s">
        <v>101</v>
      </c>
      <c r="H28" s="2"/>
      <c r="I28" s="2"/>
      <c r="J28" s="16">
        <v>1408.9686479250336</v>
      </c>
      <c r="K28" s="16">
        <v>825.56734939759042</v>
      </c>
      <c r="L28" s="15" t="s">
        <v>14</v>
      </c>
      <c r="M28" s="2" t="s">
        <v>14</v>
      </c>
      <c r="N28" s="2">
        <v>3</v>
      </c>
      <c r="O28" s="3">
        <v>20.665038512117224</v>
      </c>
      <c r="P28" s="3">
        <v>20.665038512117224</v>
      </c>
      <c r="Q28" s="2" t="s">
        <v>1400</v>
      </c>
      <c r="R28" s="2">
        <v>4</v>
      </c>
      <c r="S28" s="16">
        <f>236.92*0.0119+22.27*0.0096</f>
        <v>3.0331400000000004</v>
      </c>
      <c r="T28" s="2" t="s">
        <v>206</v>
      </c>
      <c r="U28" s="16" t="s">
        <v>231</v>
      </c>
      <c r="V28" s="16" t="s">
        <v>233</v>
      </c>
      <c r="W28" s="3">
        <v>1.19</v>
      </c>
      <c r="X28" s="2" t="s">
        <v>117</v>
      </c>
      <c r="Y28" s="3" t="s">
        <v>234</v>
      </c>
      <c r="Z28" s="2">
        <v>33</v>
      </c>
      <c r="AA28" s="2" t="s">
        <v>232</v>
      </c>
      <c r="AB28" s="16">
        <f>151.9*0.0117</f>
        <v>1.7772300000000001</v>
      </c>
      <c r="AC28" s="2" t="s">
        <v>206</v>
      </c>
      <c r="AD28" s="16" t="s">
        <v>229</v>
      </c>
      <c r="AE28" s="2">
        <v>1.17</v>
      </c>
      <c r="AF28" s="2" t="s">
        <v>117</v>
      </c>
      <c r="AG28" s="16" t="s">
        <v>230</v>
      </c>
      <c r="AH28" s="2">
        <v>0.5</v>
      </c>
      <c r="AI28">
        <v>33</v>
      </c>
      <c r="AJ28" s="2" t="s">
        <v>228</v>
      </c>
      <c r="AK28" s="17"/>
      <c r="AL28"/>
      <c r="AM28"/>
      <c r="AN28"/>
      <c r="AO28"/>
      <c r="AP28"/>
      <c r="AQ28" s="2"/>
      <c r="AR28"/>
      <c r="AS28" s="17"/>
      <c r="AT28"/>
      <c r="AU28"/>
      <c r="AV28"/>
      <c r="AW28"/>
      <c r="AX28" s="16">
        <v>20.903614457831324</v>
      </c>
      <c r="AY28" s="16">
        <f>750000*0.06</f>
        <v>45000</v>
      </c>
      <c r="AZ28" s="30" t="s">
        <v>104</v>
      </c>
      <c r="BA28" s="30" t="s">
        <v>226</v>
      </c>
      <c r="BB28" s="2" t="s">
        <v>227</v>
      </c>
      <c r="BC28" s="2">
        <v>30</v>
      </c>
      <c r="BD28">
        <v>33</v>
      </c>
      <c r="BE28" s="2" t="s">
        <v>189</v>
      </c>
      <c r="BF28"/>
      <c r="BG28" s="16">
        <v>4.64524765729585E-4</v>
      </c>
      <c r="BH28" s="16">
        <v>464.524765729585</v>
      </c>
      <c r="BI28" s="16">
        <v>464.524765729585</v>
      </c>
      <c r="BJ28" s="28">
        <v>0.46452476572958501</v>
      </c>
      <c r="BK28" s="28">
        <v>0.46452476572958501</v>
      </c>
      <c r="BL28" s="3">
        <v>1.1585812190399998</v>
      </c>
      <c r="BM28" s="3">
        <v>0.54349397590361448</v>
      </c>
      <c r="BN28" s="3">
        <v>0.55278447121820617</v>
      </c>
    </row>
    <row r="29" spans="1:66" ht="15" customHeight="1" x14ac:dyDescent="0.3">
      <c r="A29" s="2" t="s">
        <v>318</v>
      </c>
      <c r="B29" s="2"/>
      <c r="C29" s="2" t="s">
        <v>319</v>
      </c>
      <c r="D29" s="15">
        <v>50.73</v>
      </c>
      <c r="E29" s="15">
        <v>13.7666666507721</v>
      </c>
      <c r="F29" s="2" t="s">
        <v>101</v>
      </c>
      <c r="G29" s="14" t="s">
        <v>101</v>
      </c>
      <c r="H29" s="2"/>
      <c r="I29" s="2"/>
      <c r="J29" s="16">
        <v>1388.3757444504602</v>
      </c>
      <c r="K29" s="16" t="s">
        <v>1048</v>
      </c>
      <c r="L29" s="15" t="s">
        <v>1052</v>
      </c>
      <c r="M29" s="2" t="s">
        <v>102</v>
      </c>
      <c r="N29" s="2">
        <v>139</v>
      </c>
      <c r="O29" s="3"/>
      <c r="P29" s="3">
        <v>4.8581626902122856</v>
      </c>
      <c r="Q29" s="2" t="s">
        <v>1404</v>
      </c>
      <c r="R29" s="2">
        <v>4</v>
      </c>
      <c r="S29" s="3">
        <f>0.64+3.88+2.87</f>
        <v>7.39</v>
      </c>
      <c r="T29" s="2" t="s">
        <v>219</v>
      </c>
      <c r="U29" s="16" t="s">
        <v>322</v>
      </c>
      <c r="V29" s="16" t="s">
        <v>323</v>
      </c>
      <c r="W29" s="3">
        <v>0.42</v>
      </c>
      <c r="X29" s="3" t="s">
        <v>117</v>
      </c>
      <c r="Y29" s="3" t="s">
        <v>324</v>
      </c>
      <c r="Z29" s="2">
        <v>96</v>
      </c>
      <c r="AA29" s="2" t="s">
        <v>83</v>
      </c>
      <c r="AB29" s="16"/>
      <c r="AC29"/>
      <c r="AD29" s="16"/>
      <c r="AE29"/>
      <c r="AF29"/>
      <c r="AG29" s="16"/>
      <c r="AH29" s="2"/>
      <c r="AI29"/>
      <c r="AJ29"/>
      <c r="AK29" s="17">
        <f>+(6727-3103)*0.06/0.356</f>
        <v>610.78651685393265</v>
      </c>
      <c r="AL29" s="2" t="s">
        <v>326</v>
      </c>
      <c r="AM29" s="2" t="s">
        <v>121</v>
      </c>
      <c r="AN29" s="27">
        <v>0.06</v>
      </c>
      <c r="AO29" s="2" t="s">
        <v>327</v>
      </c>
      <c r="AP29" s="2" t="s">
        <v>328</v>
      </c>
      <c r="AQ29" s="2">
        <v>96</v>
      </c>
      <c r="AR29" s="2" t="s">
        <v>325</v>
      </c>
      <c r="AS29" s="17">
        <v>643.79999999999995</v>
      </c>
      <c r="AT29" s="2" t="s">
        <v>88</v>
      </c>
      <c r="AU29"/>
      <c r="AV29">
        <v>96</v>
      </c>
      <c r="AW29" s="2" t="s">
        <v>189</v>
      </c>
      <c r="AX29" s="16">
        <v>13.650524765729585</v>
      </c>
      <c r="AY29" s="16">
        <v>29386</v>
      </c>
      <c r="AZ29" s="2" t="s">
        <v>321</v>
      </c>
      <c r="BA29"/>
      <c r="BB29"/>
      <c r="BC29" s="2">
        <v>25</v>
      </c>
      <c r="BD29">
        <v>96</v>
      </c>
      <c r="BE29" s="2" t="s">
        <v>49</v>
      </c>
      <c r="BF29"/>
      <c r="BG29" s="16">
        <v>4.64524765729585E-4</v>
      </c>
      <c r="BH29" s="16" t="s">
        <v>1048</v>
      </c>
      <c r="BI29" s="16">
        <v>187.87222523010288</v>
      </c>
      <c r="BJ29" s="2" t="s">
        <v>1048</v>
      </c>
      <c r="BK29" s="28">
        <v>0.46452476572958501</v>
      </c>
      <c r="BL29" s="3">
        <v>0.91996320147194111</v>
      </c>
      <c r="BM29" s="3" t="s">
        <v>1048</v>
      </c>
      <c r="BN29" s="3">
        <v>0.19510040160642569</v>
      </c>
    </row>
    <row r="30" spans="1:66" ht="15" customHeight="1" x14ac:dyDescent="0.3">
      <c r="A30" s="2" t="s">
        <v>69</v>
      </c>
      <c r="B30" s="29" t="s">
        <v>70</v>
      </c>
      <c r="C30" s="2" t="s">
        <v>185</v>
      </c>
      <c r="D30" s="15">
        <v>37.734578999999997</v>
      </c>
      <c r="E30" s="15">
        <v>-117.531291</v>
      </c>
      <c r="F30" s="2" t="s">
        <v>72</v>
      </c>
      <c r="G30" s="14" t="s">
        <v>72</v>
      </c>
      <c r="H30" s="2"/>
      <c r="I30" s="2"/>
      <c r="J30" s="16">
        <v>1359.5</v>
      </c>
      <c r="K30" s="16">
        <v>240.9</v>
      </c>
      <c r="L30" s="15" t="s">
        <v>1052</v>
      </c>
      <c r="M30" s="2" t="s">
        <v>102</v>
      </c>
      <c r="N30" s="2">
        <v>140</v>
      </c>
      <c r="O30" s="3"/>
      <c r="P30" s="3">
        <v>5.1474732293819265</v>
      </c>
      <c r="Q30" s="2" t="s">
        <v>1404</v>
      </c>
      <c r="R30" s="2">
        <v>4</v>
      </c>
      <c r="S30" s="16">
        <f>1179.9+179.6</f>
        <v>1359.5</v>
      </c>
      <c r="T30" s="16" t="s">
        <v>192</v>
      </c>
      <c r="U30" s="16" t="s">
        <v>195</v>
      </c>
      <c r="V30" s="2" t="s">
        <v>197</v>
      </c>
      <c r="W30" s="3">
        <f>(1304*904.7+236.4*759.6)/(1304+236.4)</f>
        <v>882.43199169047</v>
      </c>
      <c r="X30" s="3" t="s">
        <v>78</v>
      </c>
      <c r="Y30" s="3" t="s">
        <v>198</v>
      </c>
      <c r="Z30" s="2">
        <v>31</v>
      </c>
      <c r="AA30" s="2" t="s">
        <v>196</v>
      </c>
      <c r="AB30" s="16">
        <v>240.9</v>
      </c>
      <c r="AC30" s="2" t="s">
        <v>192</v>
      </c>
      <c r="AD30" s="16" t="s">
        <v>193</v>
      </c>
      <c r="AE30" s="2">
        <v>1129</v>
      </c>
      <c r="AF30" s="2" t="s">
        <v>78</v>
      </c>
      <c r="AG30" s="16" t="s">
        <v>194</v>
      </c>
      <c r="AH30" s="16">
        <v>900</v>
      </c>
      <c r="AI30">
        <v>31</v>
      </c>
      <c r="AJ30" s="2" t="s">
        <v>191</v>
      </c>
      <c r="AK30" s="17">
        <v>3387</v>
      </c>
      <c r="AL30" s="18" t="s">
        <v>10</v>
      </c>
      <c r="AM30" s="18" t="s">
        <v>31</v>
      </c>
      <c r="AN30" s="2"/>
      <c r="AO30" s="18" t="s">
        <v>47</v>
      </c>
      <c r="AP30" s="2"/>
      <c r="AQ30" s="2">
        <v>31</v>
      </c>
      <c r="AR30" s="2" t="s">
        <v>189</v>
      </c>
      <c r="AS30" s="17">
        <v>493.11500000000001</v>
      </c>
      <c r="AT30" s="2" t="s">
        <v>200</v>
      </c>
      <c r="AU30" s="2" t="s">
        <v>123</v>
      </c>
      <c r="AV30">
        <v>31</v>
      </c>
      <c r="AW30" s="2" t="s">
        <v>199</v>
      </c>
      <c r="AX30" s="16">
        <v>5.1476989713048189</v>
      </c>
      <c r="AY30" s="16">
        <v>27.4</v>
      </c>
      <c r="AZ30" s="2" t="s">
        <v>187</v>
      </c>
      <c r="BA30" s="2" t="s">
        <v>188</v>
      </c>
      <c r="BB30" s="2" t="s">
        <v>190</v>
      </c>
      <c r="BC30" s="2">
        <v>40</v>
      </c>
      <c r="BD30">
        <v>31</v>
      </c>
      <c r="BE30" s="2" t="s">
        <v>189</v>
      </c>
      <c r="BF30"/>
      <c r="BG30" s="16">
        <v>0.18787222523010288</v>
      </c>
      <c r="BH30" s="16">
        <v>1</v>
      </c>
      <c r="BI30" s="16">
        <v>1</v>
      </c>
      <c r="BJ30" s="2">
        <v>1E-4</v>
      </c>
      <c r="BK30" s="2">
        <v>1E-4</v>
      </c>
      <c r="BL30" s="3">
        <v>1.0805039999999999</v>
      </c>
      <c r="BM30" s="3">
        <v>0.1129</v>
      </c>
      <c r="BN30" s="3">
        <v>8.8243199169047007E-2</v>
      </c>
    </row>
    <row r="31" spans="1:66" ht="15" customHeight="1" x14ac:dyDescent="0.3">
      <c r="A31" s="2" t="s">
        <v>329</v>
      </c>
      <c r="B31" s="2"/>
      <c r="C31" s="2" t="s">
        <v>330</v>
      </c>
      <c r="D31" s="15">
        <v>29.710514</v>
      </c>
      <c r="E31" s="15">
        <v>-109.15473900000001</v>
      </c>
      <c r="F31" s="2" t="s">
        <v>72</v>
      </c>
      <c r="G31" s="14" t="s">
        <v>72</v>
      </c>
      <c r="H31" s="2"/>
      <c r="I31" s="2"/>
      <c r="J31" s="16">
        <v>1353.2436383324311</v>
      </c>
      <c r="K31" s="16">
        <v>391.33784515430432</v>
      </c>
      <c r="L31" s="2" t="s">
        <v>73</v>
      </c>
      <c r="M31" s="2" t="s">
        <v>73</v>
      </c>
      <c r="N31" s="2">
        <v>141</v>
      </c>
      <c r="O31" s="3"/>
      <c r="P31" s="3">
        <v>3.7572797294758593</v>
      </c>
      <c r="Q31" s="2" t="s">
        <v>1401</v>
      </c>
      <c r="R31" s="2">
        <v>4</v>
      </c>
      <c r="S31" s="16">
        <f>4463+2740</f>
        <v>7203</v>
      </c>
      <c r="T31" s="2" t="s">
        <v>249</v>
      </c>
      <c r="U31" s="16" t="s">
        <v>337</v>
      </c>
      <c r="V31" s="16" t="s">
        <v>126</v>
      </c>
      <c r="W31" s="3">
        <v>3200</v>
      </c>
      <c r="X31" s="3" t="s">
        <v>78</v>
      </c>
      <c r="Y31" s="3" t="s">
        <v>338</v>
      </c>
      <c r="Z31" s="2">
        <v>12</v>
      </c>
      <c r="AA31" s="2" t="s">
        <v>266</v>
      </c>
      <c r="AB31" s="16">
        <v>2083</v>
      </c>
      <c r="AC31" s="2" t="s">
        <v>249</v>
      </c>
      <c r="AD31" s="16" t="s">
        <v>335</v>
      </c>
      <c r="AE31" s="2">
        <v>3015</v>
      </c>
      <c r="AF31" s="2" t="s">
        <v>78</v>
      </c>
      <c r="AG31" s="16" t="s">
        <v>336</v>
      </c>
      <c r="AH31" s="2">
        <v>1200</v>
      </c>
      <c r="AI31">
        <v>12</v>
      </c>
      <c r="AJ31" s="2" t="s">
        <v>334</v>
      </c>
      <c r="AK31" s="17">
        <v>2126</v>
      </c>
      <c r="AL31" s="18" t="s">
        <v>10</v>
      </c>
      <c r="AM31" s="18" t="s">
        <v>31</v>
      </c>
      <c r="AN31" s="2"/>
      <c r="AO31" s="18" t="s">
        <v>47</v>
      </c>
      <c r="AP31" s="2"/>
      <c r="AQ31" s="2">
        <v>12</v>
      </c>
      <c r="AR31" s="2" t="s">
        <v>339</v>
      </c>
      <c r="AS31" s="17">
        <v>240</v>
      </c>
      <c r="AT31" s="2" t="s">
        <v>88</v>
      </c>
      <c r="AU31" s="2"/>
      <c r="AV31">
        <v>12</v>
      </c>
      <c r="AW31" s="2" t="s">
        <v>23</v>
      </c>
      <c r="AX31" s="16">
        <v>3.2877639415268005</v>
      </c>
      <c r="AY31" s="16">
        <v>17500</v>
      </c>
      <c r="AZ31" s="2" t="s">
        <v>332</v>
      </c>
      <c r="BA31" s="2"/>
      <c r="BB31" s="2" t="s">
        <v>333</v>
      </c>
      <c r="BC31" s="2" t="s">
        <v>108</v>
      </c>
      <c r="BD31">
        <v>12</v>
      </c>
      <c r="BE31" s="2" t="s">
        <v>15</v>
      </c>
      <c r="BF31"/>
      <c r="BG31" s="16">
        <v>1.8787222523010289E-4</v>
      </c>
      <c r="BH31" s="16">
        <v>0.18787222523010288</v>
      </c>
      <c r="BI31" s="21">
        <v>0.18787222523010288</v>
      </c>
      <c r="BJ31" s="2">
        <v>1E-4</v>
      </c>
      <c r="BK31" s="2">
        <v>1E-4</v>
      </c>
      <c r="BL31" s="3">
        <v>1.2291283880485644</v>
      </c>
      <c r="BM31" s="3">
        <v>0.30149999999999999</v>
      </c>
      <c r="BN31" s="3">
        <v>0.32</v>
      </c>
    </row>
    <row r="32" spans="1:66" ht="15" customHeight="1" x14ac:dyDescent="0.3">
      <c r="A32" s="2" t="s">
        <v>52</v>
      </c>
      <c r="B32" s="2"/>
      <c r="C32" s="2" t="s">
        <v>292</v>
      </c>
      <c r="D32" s="15">
        <v>-25.36</v>
      </c>
      <c r="E32" s="15">
        <v>-66.86</v>
      </c>
      <c r="F32" s="2" t="s">
        <v>13</v>
      </c>
      <c r="G32" s="14" t="s">
        <v>13</v>
      </c>
      <c r="H32" s="2"/>
      <c r="I32" s="2"/>
      <c r="J32" s="16">
        <v>1339.9999999999998</v>
      </c>
      <c r="K32" s="16">
        <v>467</v>
      </c>
      <c r="L32" s="2" t="s">
        <v>73</v>
      </c>
      <c r="M32" s="2" t="s">
        <v>73</v>
      </c>
      <c r="N32" s="2">
        <v>142</v>
      </c>
      <c r="O32" s="3">
        <v>1.8786398647379297</v>
      </c>
      <c r="P32" s="3">
        <v>8.3888784520007516</v>
      </c>
      <c r="Q32" s="2" t="s">
        <v>1403</v>
      </c>
      <c r="R32" s="2">
        <v>4</v>
      </c>
      <c r="S32" s="3">
        <f>1.22+0.12</f>
        <v>1.3399999999999999</v>
      </c>
      <c r="T32" s="2" t="s">
        <v>296</v>
      </c>
      <c r="U32" s="3" t="s">
        <v>300</v>
      </c>
      <c r="V32" s="3"/>
      <c r="W32" s="3">
        <f>(1.22*747+0.12*556)/(1.22+0.12)</f>
        <v>729.89552238805982</v>
      </c>
      <c r="X32" s="3" t="s">
        <v>22</v>
      </c>
      <c r="Y32" s="31" t="s">
        <v>302</v>
      </c>
      <c r="Z32" s="2">
        <v>11</v>
      </c>
      <c r="AA32" s="2" t="s">
        <v>301</v>
      </c>
      <c r="AB32" s="28">
        <v>0.46700000000000003</v>
      </c>
      <c r="AC32" s="2" t="s">
        <v>296</v>
      </c>
      <c r="AD32" s="3" t="s">
        <v>297</v>
      </c>
      <c r="AE32" s="2">
        <v>757</v>
      </c>
      <c r="AF32" s="2" t="s">
        <v>22</v>
      </c>
      <c r="AG32" s="3" t="s">
        <v>298</v>
      </c>
      <c r="AH32" s="2">
        <v>300</v>
      </c>
      <c r="AI32">
        <v>11</v>
      </c>
      <c r="AJ32" s="2" t="s">
        <v>152</v>
      </c>
      <c r="AK32" s="17">
        <v>4529</v>
      </c>
      <c r="AL32" s="18" t="s">
        <v>10</v>
      </c>
      <c r="AM32" s="18" t="s">
        <v>31</v>
      </c>
      <c r="AN32" s="2"/>
      <c r="AO32" s="18" t="s">
        <v>47</v>
      </c>
      <c r="AP32" s="2" t="s">
        <v>66</v>
      </c>
      <c r="AQ32" s="2">
        <v>11</v>
      </c>
      <c r="AR32" s="2" t="s">
        <v>165</v>
      </c>
      <c r="AS32" s="17">
        <v>374</v>
      </c>
      <c r="AT32" s="2" t="s">
        <v>304</v>
      </c>
      <c r="AU32" s="2" t="s">
        <v>305</v>
      </c>
      <c r="AV32">
        <v>11</v>
      </c>
      <c r="AW32" s="2" t="s">
        <v>303</v>
      </c>
      <c r="AX32" s="16">
        <v>8.4542501353546307</v>
      </c>
      <c r="AY32" s="16">
        <v>45000</v>
      </c>
      <c r="AZ32" s="2" t="s">
        <v>294</v>
      </c>
      <c r="BA32" s="2"/>
      <c r="BB32" s="2">
        <v>2025</v>
      </c>
      <c r="BC32" s="2">
        <v>40</v>
      </c>
      <c r="BD32">
        <v>11</v>
      </c>
      <c r="BE32" s="2" t="s">
        <v>295</v>
      </c>
      <c r="BF32" s="2"/>
      <c r="BG32" s="16">
        <v>1.8787222523010289E-4</v>
      </c>
      <c r="BH32" s="16">
        <v>1000</v>
      </c>
      <c r="BI32" s="16">
        <v>1000</v>
      </c>
      <c r="BJ32" s="2">
        <v>1E-4</v>
      </c>
      <c r="BK32" s="2">
        <v>1E-4</v>
      </c>
      <c r="BL32" s="3">
        <v>0.91996320147194111</v>
      </c>
      <c r="BM32" s="3">
        <v>7.5700000000000003E-2</v>
      </c>
      <c r="BN32" s="3">
        <v>7.2989552238805988E-2</v>
      </c>
    </row>
    <row r="33" spans="1:66" ht="15" customHeight="1" x14ac:dyDescent="0.3">
      <c r="A33" s="2" t="s">
        <v>132</v>
      </c>
      <c r="B33" s="2"/>
      <c r="C33" s="2" t="s">
        <v>169</v>
      </c>
      <c r="D33" s="15">
        <v>-32.17</v>
      </c>
      <c r="E33" s="15">
        <v>119.73</v>
      </c>
      <c r="F33" s="2" t="s">
        <v>101</v>
      </c>
      <c r="G33" s="14" t="s">
        <v>101</v>
      </c>
      <c r="H33" s="2"/>
      <c r="I33" s="2"/>
      <c r="J33" s="16">
        <v>1320.5045515394913</v>
      </c>
      <c r="K33" s="16">
        <v>656.37349397590356</v>
      </c>
      <c r="L33" s="15" t="s">
        <v>14</v>
      </c>
      <c r="M33" s="2" t="s">
        <v>14</v>
      </c>
      <c r="N33" s="2">
        <v>143</v>
      </c>
      <c r="O33" s="3">
        <v>7.4670298703738487</v>
      </c>
      <c r="P33" s="3">
        <v>8.2966372346421178</v>
      </c>
      <c r="Q33" s="2" t="s">
        <v>1403</v>
      </c>
      <c r="R33" s="2">
        <v>4</v>
      </c>
      <c r="S33" s="16">
        <f>66000000*0.0158+106000000*0.0152+17000000*0.0111</f>
        <v>2842700</v>
      </c>
      <c r="T33" s="2" t="s">
        <v>177</v>
      </c>
      <c r="U33" s="16" t="s">
        <v>178</v>
      </c>
      <c r="V33" s="16"/>
      <c r="W33" s="3">
        <v>1.5</v>
      </c>
      <c r="X33" s="2" t="s">
        <v>117</v>
      </c>
      <c r="Y33" s="3" t="s">
        <v>179</v>
      </c>
      <c r="Z33" s="2">
        <v>28</v>
      </c>
      <c r="AA33" s="2" t="s">
        <v>152</v>
      </c>
      <c r="AB33" s="28">
        <f>54.4*0.015+39.8*0.015</f>
        <v>1.4129999999999998</v>
      </c>
      <c r="AC33" s="2" t="s">
        <v>139</v>
      </c>
      <c r="AD33" s="16" t="s">
        <v>175</v>
      </c>
      <c r="AE33" s="2">
        <v>1.5</v>
      </c>
      <c r="AF33" s="2" t="s">
        <v>117</v>
      </c>
      <c r="AG33" s="16" t="s">
        <v>176</v>
      </c>
      <c r="AH33" s="16"/>
      <c r="AI33">
        <v>28</v>
      </c>
      <c r="AJ33" s="2" t="s">
        <v>174</v>
      </c>
      <c r="AK33" s="17">
        <v>155.4</v>
      </c>
      <c r="AL33" s="2" t="s">
        <v>181</v>
      </c>
      <c r="AM33" s="2" t="s">
        <v>121</v>
      </c>
      <c r="AN33" s="27">
        <v>5.5E-2</v>
      </c>
      <c r="AO33" s="2" t="s">
        <v>182</v>
      </c>
      <c r="AP33" s="2" t="s">
        <v>183</v>
      </c>
      <c r="AQ33" s="2">
        <v>28</v>
      </c>
      <c r="AR33" s="2" t="s">
        <v>180</v>
      </c>
      <c r="AS33" s="17">
        <v>1468.6</v>
      </c>
      <c r="AT33" s="2" t="s">
        <v>88</v>
      </c>
      <c r="AU33" s="2" t="s">
        <v>123</v>
      </c>
      <c r="AV33">
        <v>28</v>
      </c>
      <c r="AW33" s="2" t="s">
        <v>184</v>
      </c>
      <c r="AX33" s="16">
        <v>79.610254350736284</v>
      </c>
      <c r="AY33" s="16">
        <f>3116*0.055*1000</f>
        <v>171380</v>
      </c>
      <c r="AZ33" s="2" t="s">
        <v>104</v>
      </c>
      <c r="BA33" s="2" t="s">
        <v>172</v>
      </c>
      <c r="BB33" s="2">
        <v>2024</v>
      </c>
      <c r="BC33" s="2">
        <v>49</v>
      </c>
      <c r="BD33">
        <v>28</v>
      </c>
      <c r="BE33" s="2" t="s">
        <v>173</v>
      </c>
      <c r="BF33"/>
      <c r="BG33" s="16">
        <v>4.64524765729585E-4</v>
      </c>
      <c r="BH33" s="16">
        <v>464.524765729585</v>
      </c>
      <c r="BI33" s="16">
        <v>4.64524765729585E-4</v>
      </c>
      <c r="BJ33" s="28">
        <v>0.46452476572958501</v>
      </c>
      <c r="BK33" s="28">
        <v>0.46452476572958501</v>
      </c>
      <c r="BL33" s="3">
        <v>1.1183216399999998</v>
      </c>
      <c r="BM33" s="3">
        <v>0.69678714859437751</v>
      </c>
      <c r="BN33" s="3">
        <v>0.69678714859437751</v>
      </c>
    </row>
    <row r="34" spans="1:66" ht="15" customHeight="1" x14ac:dyDescent="0.3">
      <c r="A34" s="2" t="s">
        <v>52</v>
      </c>
      <c r="B34" s="2"/>
      <c r="C34" s="2" t="s">
        <v>350</v>
      </c>
      <c r="D34" s="15">
        <v>-27.49</v>
      </c>
      <c r="E34" s="15">
        <v>-68.66</v>
      </c>
      <c r="F34" s="2" t="s">
        <v>13</v>
      </c>
      <c r="G34" s="14" t="s">
        <v>13</v>
      </c>
      <c r="H34" s="2"/>
      <c r="I34" s="2"/>
      <c r="J34" s="16">
        <v>1315.1055766107202</v>
      </c>
      <c r="K34" s="16">
        <v>244.23389279913377</v>
      </c>
      <c r="L34" s="2" t="s">
        <v>73</v>
      </c>
      <c r="M34" s="2" t="s">
        <v>73</v>
      </c>
      <c r="N34" s="2">
        <v>144</v>
      </c>
      <c r="O34" s="3">
        <v>3.7572797294758593</v>
      </c>
      <c r="P34" s="3">
        <v>3.7572797294758593</v>
      </c>
      <c r="Q34" s="2" t="s">
        <v>1403</v>
      </c>
      <c r="R34" s="2">
        <v>4</v>
      </c>
      <c r="S34" s="16">
        <v>7</v>
      </c>
      <c r="T34" s="2" t="s">
        <v>79</v>
      </c>
      <c r="U34" s="16" t="s">
        <v>352</v>
      </c>
      <c r="V34" s="16" t="s">
        <v>353</v>
      </c>
      <c r="W34" s="3"/>
      <c r="X34" s="3"/>
      <c r="Y34" s="3"/>
      <c r="Z34" s="2">
        <v>37</v>
      </c>
      <c r="AA34" s="2" t="s">
        <v>49</v>
      </c>
      <c r="AB34" s="3">
        <v>1.3</v>
      </c>
      <c r="AC34" s="2" t="s">
        <v>79</v>
      </c>
      <c r="AD34" s="16"/>
      <c r="AE34" s="2">
        <v>790</v>
      </c>
      <c r="AF34" s="2" t="s">
        <v>154</v>
      </c>
      <c r="AG34" s="16"/>
      <c r="AH34" s="2">
        <v>400</v>
      </c>
      <c r="AI34">
        <v>37</v>
      </c>
      <c r="AJ34" s="2" t="s">
        <v>49</v>
      </c>
      <c r="AK34" s="17">
        <v>2914</v>
      </c>
      <c r="AL34" s="18" t="s">
        <v>10</v>
      </c>
      <c r="AM34" s="18" t="s">
        <v>31</v>
      </c>
      <c r="AN34" s="2"/>
      <c r="AO34" s="18" t="s">
        <v>47</v>
      </c>
      <c r="AP34" s="2" t="s">
        <v>354</v>
      </c>
      <c r="AQ34" s="2">
        <v>37</v>
      </c>
      <c r="AR34" s="2" t="s">
        <v>309</v>
      </c>
      <c r="AS34" s="17">
        <v>319</v>
      </c>
      <c r="AT34" s="2" t="s">
        <v>88</v>
      </c>
      <c r="AU34" s="2" t="s">
        <v>355</v>
      </c>
      <c r="AV34">
        <v>37</v>
      </c>
      <c r="AW34" s="2" t="s">
        <v>309</v>
      </c>
      <c r="AX34" s="16">
        <v>3.7574445046020579</v>
      </c>
      <c r="AY34" s="16">
        <v>20000</v>
      </c>
      <c r="AZ34" s="2" t="s">
        <v>343</v>
      </c>
      <c r="BA34" s="2"/>
      <c r="BB34" s="2" t="s">
        <v>153</v>
      </c>
      <c r="BC34" s="2">
        <v>35</v>
      </c>
      <c r="BD34">
        <v>37</v>
      </c>
      <c r="BE34" s="2" t="s">
        <v>309</v>
      </c>
      <c r="BF34"/>
      <c r="BG34" s="16">
        <v>1.8787222523010289E-4</v>
      </c>
      <c r="BH34" s="16">
        <v>187.87222523010288</v>
      </c>
      <c r="BI34" s="16">
        <v>187.87222523010288</v>
      </c>
      <c r="BJ34" s="2">
        <v>1E-4</v>
      </c>
      <c r="BK34" s="2" t="s">
        <v>1048</v>
      </c>
      <c r="BL34" s="3">
        <v>1.0469999999999999</v>
      </c>
      <c r="BM34" s="3">
        <v>7.9000000000000001E-2</v>
      </c>
      <c r="BN34" s="3" t="s">
        <v>1048</v>
      </c>
    </row>
    <row r="35" spans="1:66" ht="15" customHeight="1" x14ac:dyDescent="0.3">
      <c r="A35" s="2" t="s">
        <v>52</v>
      </c>
      <c r="B35" s="2"/>
      <c r="C35" s="2" t="s">
        <v>432</v>
      </c>
      <c r="D35" s="15">
        <v>-25.37</v>
      </c>
      <c r="E35" s="15">
        <v>-67.23</v>
      </c>
      <c r="F35" s="2" t="s">
        <v>13</v>
      </c>
      <c r="G35" s="14" t="s">
        <v>13</v>
      </c>
      <c r="H35" s="2"/>
      <c r="I35" s="2"/>
      <c r="J35" s="16">
        <v>1237</v>
      </c>
      <c r="K35" s="16">
        <v>70.2</v>
      </c>
      <c r="L35" s="2" t="s">
        <v>73</v>
      </c>
      <c r="M35" s="2" t="s">
        <v>73</v>
      </c>
      <c r="N35" s="2">
        <v>145</v>
      </c>
      <c r="O35" s="3"/>
      <c r="P35" s="3"/>
      <c r="Q35" s="2"/>
      <c r="R35" s="2"/>
      <c r="S35" s="16">
        <v>1237</v>
      </c>
      <c r="T35" s="4" t="s">
        <v>273</v>
      </c>
      <c r="U35" s="16" t="s">
        <v>438</v>
      </c>
      <c r="V35" s="16"/>
      <c r="W35" s="3">
        <v>880</v>
      </c>
      <c r="X35" s="3" t="s">
        <v>22</v>
      </c>
      <c r="Y35" s="3" t="s">
        <v>439</v>
      </c>
      <c r="Z35" s="2">
        <v>42</v>
      </c>
      <c r="AA35" s="2" t="s">
        <v>309</v>
      </c>
      <c r="AB35" s="16">
        <v>70.2</v>
      </c>
      <c r="AC35" s="2" t="s">
        <v>273</v>
      </c>
      <c r="AD35" s="16" t="s">
        <v>436</v>
      </c>
      <c r="AE35" s="2">
        <v>890.6</v>
      </c>
      <c r="AF35" s="2" t="s">
        <v>22</v>
      </c>
      <c r="AG35" s="16" t="s">
        <v>437</v>
      </c>
      <c r="AH35" s="2"/>
      <c r="AI35">
        <v>42</v>
      </c>
      <c r="AJ35" s="2" t="s">
        <v>435</v>
      </c>
      <c r="AK35" s="17">
        <v>3963</v>
      </c>
      <c r="AL35" s="18" t="s">
        <v>10</v>
      </c>
      <c r="AM35" s="18" t="s">
        <v>31</v>
      </c>
      <c r="AN35" s="2"/>
      <c r="AO35" s="18" t="s">
        <v>47</v>
      </c>
      <c r="AP35" s="2" t="s">
        <v>440</v>
      </c>
      <c r="AQ35" s="2">
        <v>42</v>
      </c>
      <c r="AR35" s="2" t="s">
        <v>23</v>
      </c>
      <c r="AS35" s="17">
        <v>104</v>
      </c>
      <c r="AT35" s="2" t="s">
        <v>88</v>
      </c>
      <c r="AU35" s="2" t="s">
        <v>441</v>
      </c>
      <c r="AV35">
        <v>42</v>
      </c>
      <c r="AW35" s="2" t="s">
        <v>23</v>
      </c>
      <c r="AX35" s="16">
        <v>7.5148890092041158</v>
      </c>
      <c r="AY35" s="16">
        <v>40000</v>
      </c>
      <c r="AZ35" s="2" t="s">
        <v>36</v>
      </c>
      <c r="BA35" s="2" t="s">
        <v>434</v>
      </c>
      <c r="BB35" s="2" t="s">
        <v>107</v>
      </c>
      <c r="BC35" s="2">
        <v>40</v>
      </c>
      <c r="BD35">
        <v>42</v>
      </c>
      <c r="BE35" s="2" t="s">
        <v>49</v>
      </c>
      <c r="BF35"/>
      <c r="BG35" s="21">
        <v>1.8787222523010289E-4</v>
      </c>
      <c r="BH35" s="16">
        <v>1</v>
      </c>
      <c r="BI35" s="16">
        <v>1</v>
      </c>
      <c r="BJ35" s="2">
        <v>1E-4</v>
      </c>
      <c r="BK35" s="2">
        <v>1E-4</v>
      </c>
      <c r="BL35" s="3">
        <v>0.91996320147194111</v>
      </c>
      <c r="BM35" s="3">
        <v>8.906E-2</v>
      </c>
      <c r="BN35" s="3">
        <v>8.8000000000000009E-2</v>
      </c>
    </row>
    <row r="36" spans="1:66" ht="15" customHeight="1" x14ac:dyDescent="0.3">
      <c r="A36" s="2" t="s">
        <v>356</v>
      </c>
      <c r="B36" s="2"/>
      <c r="C36" s="2" t="s">
        <v>357</v>
      </c>
      <c r="D36" s="15">
        <v>44.42</v>
      </c>
      <c r="E36" s="15">
        <v>19.52</v>
      </c>
      <c r="F36" s="2" t="s">
        <v>72</v>
      </c>
      <c r="G36" s="14" t="s">
        <v>72</v>
      </c>
      <c r="H36" s="2"/>
      <c r="I36" s="2"/>
      <c r="J36" s="16">
        <v>1199.867469879518</v>
      </c>
      <c r="K36" s="16">
        <v>139.57111111111115</v>
      </c>
      <c r="L36" s="15" t="s">
        <v>1052</v>
      </c>
      <c r="M36" s="2" t="s">
        <v>358</v>
      </c>
      <c r="N36" s="2">
        <v>146</v>
      </c>
      <c r="O36" s="3"/>
      <c r="P36" s="3">
        <v>9.8065000939319926</v>
      </c>
      <c r="Q36" s="2" t="s">
        <v>1404</v>
      </c>
      <c r="R36" s="2">
        <v>4</v>
      </c>
      <c r="S36" s="16">
        <f>143.5*0.018</f>
        <v>2.5829999999999997</v>
      </c>
      <c r="T36" s="2" t="s">
        <v>206</v>
      </c>
      <c r="U36" s="16" t="s">
        <v>365</v>
      </c>
      <c r="V36" s="16" t="s">
        <v>367</v>
      </c>
      <c r="W36" s="3">
        <v>1.8</v>
      </c>
      <c r="X36" s="2" t="s">
        <v>117</v>
      </c>
      <c r="Y36" s="3" t="s">
        <v>368</v>
      </c>
      <c r="Z36" s="2">
        <v>35</v>
      </c>
      <c r="AA36" s="2" t="s">
        <v>366</v>
      </c>
      <c r="AB36" s="28">
        <f>16.6*0.0181</f>
        <v>0.30046000000000006</v>
      </c>
      <c r="AC36" s="2" t="s">
        <v>206</v>
      </c>
      <c r="AD36" s="16" t="s">
        <v>363</v>
      </c>
      <c r="AE36" s="2">
        <v>1.81</v>
      </c>
      <c r="AF36" s="2" t="s">
        <v>117</v>
      </c>
      <c r="AG36" s="16" t="s">
        <v>364</v>
      </c>
      <c r="AH36" s="2"/>
      <c r="AI36">
        <v>35</v>
      </c>
      <c r="AJ36" s="2" t="s">
        <v>362</v>
      </c>
      <c r="AK36" s="17"/>
      <c r="AL36"/>
      <c r="AM36"/>
      <c r="AN36"/>
      <c r="AO36"/>
      <c r="AP36"/>
      <c r="AQ36" s="2"/>
      <c r="AR36"/>
      <c r="AS36" s="17"/>
      <c r="AT36"/>
      <c r="AU36"/>
      <c r="AV36"/>
      <c r="AW36"/>
      <c r="AX36" s="16" t="s">
        <v>1048</v>
      </c>
      <c r="AY36" s="16"/>
      <c r="AZ36"/>
      <c r="BA36"/>
      <c r="BB36" s="2" t="s">
        <v>361</v>
      </c>
      <c r="BC36"/>
      <c r="BD36"/>
      <c r="BE36"/>
      <c r="BF36"/>
      <c r="BG36" s="2" t="s">
        <v>1048</v>
      </c>
      <c r="BH36" s="16">
        <v>464.524765729585</v>
      </c>
      <c r="BI36" s="16">
        <v>464.524765729585</v>
      </c>
      <c r="BJ36" s="28">
        <v>0.46452476572958501</v>
      </c>
      <c r="BK36" s="28">
        <v>0.46452476572958501</v>
      </c>
      <c r="BL36" s="3">
        <v>1</v>
      </c>
      <c r="BM36" s="3">
        <v>0.84078982597054885</v>
      </c>
      <c r="BN36" s="3">
        <v>0.83614457831325306</v>
      </c>
    </row>
    <row r="37" spans="1:66" ht="15" customHeight="1" x14ac:dyDescent="0.3">
      <c r="A37" s="2" t="s">
        <v>235</v>
      </c>
      <c r="B37" s="2"/>
      <c r="C37" s="2" t="s">
        <v>912</v>
      </c>
      <c r="D37" s="14">
        <v>50.44</v>
      </c>
      <c r="E37" s="39">
        <v>-104.4</v>
      </c>
      <c r="F37" s="2" t="s">
        <v>13</v>
      </c>
      <c r="G37" s="14" t="s">
        <v>13</v>
      </c>
      <c r="H37" s="2"/>
      <c r="I37" s="2"/>
      <c r="J37" s="16">
        <v>1190</v>
      </c>
      <c r="K37" s="16" t="s">
        <v>1048</v>
      </c>
      <c r="L37" s="15" t="s">
        <v>1051</v>
      </c>
      <c r="M37"/>
      <c r="N37"/>
      <c r="O37" s="3"/>
      <c r="P37" s="3"/>
      <c r="Q37" s="2" t="s">
        <v>1402</v>
      </c>
      <c r="R37" s="2">
        <v>4</v>
      </c>
      <c r="S37" s="16">
        <f>340000+850000</f>
        <v>1190000</v>
      </c>
      <c r="T37" s="2" t="s">
        <v>156</v>
      </c>
      <c r="U37" s="16" t="s">
        <v>914</v>
      </c>
      <c r="V37" s="16" t="s">
        <v>762</v>
      </c>
      <c r="W37" s="3">
        <f>(101*340+106*850)/(340+850)</f>
        <v>104.57142857142857</v>
      </c>
      <c r="X37" s="3" t="s">
        <v>22</v>
      </c>
      <c r="Y37" s="3" t="s">
        <v>915</v>
      </c>
      <c r="Z37" s="2">
        <v>68</v>
      </c>
      <c r="AA37" s="2" t="s">
        <v>110</v>
      </c>
      <c r="AB37" s="16"/>
      <c r="AC37"/>
      <c r="AD37" s="16"/>
      <c r="AE37"/>
      <c r="AF37"/>
      <c r="AG37" s="16"/>
      <c r="AH37" s="16"/>
      <c r="AI37"/>
      <c r="AJ37"/>
      <c r="AK37" s="17">
        <v>2819</v>
      </c>
      <c r="AL37" s="18" t="s">
        <v>10</v>
      </c>
      <c r="AM37" s="18" t="s">
        <v>31</v>
      </c>
      <c r="AN37" s="2"/>
      <c r="AO37" s="18" t="s">
        <v>47</v>
      </c>
      <c r="AP37" s="2" t="s">
        <v>66</v>
      </c>
      <c r="AQ37" s="2">
        <v>68</v>
      </c>
      <c r="AR37" s="2" t="s">
        <v>168</v>
      </c>
      <c r="AS37" s="17">
        <v>334</v>
      </c>
      <c r="AT37" s="2" t="s">
        <v>223</v>
      </c>
      <c r="AU37" s="2" t="s">
        <v>123</v>
      </c>
      <c r="AV37">
        <v>68</v>
      </c>
      <c r="AW37" s="2" t="s">
        <v>892</v>
      </c>
      <c r="AX37" s="16">
        <v>1.1272333513806174</v>
      </c>
      <c r="AY37" s="16">
        <v>6000</v>
      </c>
      <c r="AZ37" s="2" t="s">
        <v>904</v>
      </c>
      <c r="BA37"/>
      <c r="BB37"/>
      <c r="BC37" s="2">
        <v>20</v>
      </c>
      <c r="BD37">
        <v>68</v>
      </c>
      <c r="BE37" s="2" t="s">
        <v>15</v>
      </c>
      <c r="BF37"/>
      <c r="BG37" s="16">
        <v>1.8787222523010289E-4</v>
      </c>
      <c r="BH37" s="16" t="s">
        <v>1048</v>
      </c>
      <c r="BI37" s="16">
        <v>1E-3</v>
      </c>
      <c r="BJ37" s="2" t="s">
        <v>1048</v>
      </c>
      <c r="BK37" s="2">
        <v>1E-4</v>
      </c>
      <c r="BL37" s="3">
        <v>0.91996320147194111</v>
      </c>
      <c r="BM37" s="3" t="s">
        <v>1048</v>
      </c>
      <c r="BN37" s="3">
        <v>1.0457142857142858E-2</v>
      </c>
    </row>
    <row r="38" spans="1:66" ht="15" customHeight="1" x14ac:dyDescent="0.3">
      <c r="A38" s="2" t="s">
        <v>69</v>
      </c>
      <c r="B38" s="29" t="s">
        <v>70</v>
      </c>
      <c r="C38" s="2" t="s">
        <v>255</v>
      </c>
      <c r="D38" s="15">
        <v>37.772737399999997</v>
      </c>
      <c r="E38" s="15">
        <v>-117.5011243</v>
      </c>
      <c r="F38" s="2" t="s">
        <v>72</v>
      </c>
      <c r="G38" s="14" t="s">
        <v>72</v>
      </c>
      <c r="H38" s="2"/>
      <c r="I38" s="2"/>
      <c r="J38" s="16">
        <v>1176.7570000000001</v>
      </c>
      <c r="K38" s="16" t="s">
        <v>1048</v>
      </c>
      <c r="L38" s="15" t="s">
        <v>1052</v>
      </c>
      <c r="M38" s="2" t="s">
        <v>256</v>
      </c>
      <c r="N38" s="2">
        <v>147</v>
      </c>
      <c r="O38" s="3"/>
      <c r="P38" s="3">
        <v>5.9928611685139952</v>
      </c>
      <c r="Q38" s="2" t="s">
        <v>1404</v>
      </c>
      <c r="R38" s="2">
        <v>4</v>
      </c>
      <c r="S38" s="16">
        <f>972079+204678</f>
        <v>1176757</v>
      </c>
      <c r="T38" s="2" t="s">
        <v>61</v>
      </c>
      <c r="U38" s="16" t="s">
        <v>260</v>
      </c>
      <c r="V38" s="16" t="s">
        <v>262</v>
      </c>
      <c r="W38" s="3">
        <f>+(972*941+204*871)/(972+204)</f>
        <v>928.85714285714289</v>
      </c>
      <c r="X38" s="3" t="s">
        <v>78</v>
      </c>
      <c r="Y38" s="3" t="s">
        <v>263</v>
      </c>
      <c r="Z38" s="2">
        <v>94</v>
      </c>
      <c r="AA38" s="2" t="s">
        <v>261</v>
      </c>
      <c r="AB38" s="16"/>
      <c r="AC38"/>
      <c r="AD38" s="16"/>
      <c r="AE38"/>
      <c r="AF38"/>
      <c r="AG38" s="16"/>
      <c r="AH38" s="2"/>
      <c r="AI38"/>
      <c r="AJ38"/>
      <c r="AK38" s="17">
        <v>3355</v>
      </c>
      <c r="AL38" s="18" t="s">
        <v>10</v>
      </c>
      <c r="AM38" s="18" t="s">
        <v>31</v>
      </c>
      <c r="AN38" s="3"/>
      <c r="AO38" s="18" t="s">
        <v>47</v>
      </c>
      <c r="AP38" s="3" t="s">
        <v>265</v>
      </c>
      <c r="AQ38" s="2">
        <v>94</v>
      </c>
      <c r="AR38" s="3" t="s">
        <v>264</v>
      </c>
      <c r="AS38" s="17">
        <v>528</v>
      </c>
      <c r="AT38" s="2" t="s">
        <v>88</v>
      </c>
      <c r="AU38"/>
      <c r="AV38">
        <v>94</v>
      </c>
      <c r="AW38" s="2" t="s">
        <v>266</v>
      </c>
      <c r="AX38" s="16">
        <v>5.993123984840282</v>
      </c>
      <c r="AY38" s="16">
        <v>31900</v>
      </c>
      <c r="AZ38" s="2" t="s">
        <v>36</v>
      </c>
      <c r="BA38" s="2" t="s">
        <v>258</v>
      </c>
      <c r="BB38"/>
      <c r="BC38" s="2">
        <v>40</v>
      </c>
      <c r="BD38">
        <v>94</v>
      </c>
      <c r="BE38" s="2" t="s">
        <v>259</v>
      </c>
      <c r="BF38"/>
      <c r="BG38" s="21">
        <v>1.8787222523010289E-4</v>
      </c>
      <c r="BH38" s="16" t="s">
        <v>1048</v>
      </c>
      <c r="BI38" s="21">
        <v>1E-3</v>
      </c>
      <c r="BJ38" s="2" t="s">
        <v>1048</v>
      </c>
      <c r="BK38" s="2">
        <v>1E-4</v>
      </c>
      <c r="BL38" s="3">
        <v>1.0469999999999999</v>
      </c>
      <c r="BM38" s="3" t="s">
        <v>1048</v>
      </c>
      <c r="BN38" s="3">
        <v>9.2885714285714294E-2</v>
      </c>
    </row>
    <row r="39" spans="1:66" ht="15" customHeight="1" x14ac:dyDescent="0.3">
      <c r="A39" s="2" t="s">
        <v>235</v>
      </c>
      <c r="B39" s="2"/>
      <c r="C39" s="2" t="s">
        <v>988</v>
      </c>
      <c r="D39" s="14">
        <v>54.36</v>
      </c>
      <c r="E39" s="14">
        <v>-116.91</v>
      </c>
      <c r="F39" s="2" t="s">
        <v>13</v>
      </c>
      <c r="G39" s="14" t="s">
        <v>13</v>
      </c>
      <c r="H39" s="2" t="s">
        <v>1045</v>
      </c>
      <c r="I39" s="2">
        <v>1</v>
      </c>
      <c r="J39" s="16">
        <v>1151</v>
      </c>
      <c r="K39" s="16" t="s">
        <v>1048</v>
      </c>
      <c r="L39" s="15" t="s">
        <v>1052</v>
      </c>
      <c r="M39" s="2" t="s">
        <v>268</v>
      </c>
      <c r="N39" s="2">
        <v>4</v>
      </c>
      <c r="O39" s="3"/>
      <c r="P39" s="3">
        <v>5.1827916588390002</v>
      </c>
      <c r="Q39" s="2" t="s">
        <v>1404</v>
      </c>
      <c r="R39" s="2">
        <v>4</v>
      </c>
      <c r="S39" s="16">
        <f>74000+1077000</f>
        <v>1151000</v>
      </c>
      <c r="T39" s="2" t="s">
        <v>991</v>
      </c>
      <c r="U39" s="16" t="s">
        <v>992</v>
      </c>
      <c r="V39" s="16" t="s">
        <v>762</v>
      </c>
      <c r="W39" s="3">
        <f>(71.6+68)/2</f>
        <v>69.8</v>
      </c>
      <c r="X39" s="17" t="s">
        <v>154</v>
      </c>
      <c r="Y39" s="17" t="s">
        <v>994</v>
      </c>
      <c r="Z39" s="2">
        <v>119</v>
      </c>
      <c r="AA39" s="2" t="s">
        <v>993</v>
      </c>
      <c r="AB39" s="16"/>
      <c r="AC39"/>
      <c r="AD39" s="16"/>
      <c r="AE39"/>
      <c r="AF39"/>
      <c r="AG39" s="16"/>
      <c r="AH39" s="16"/>
      <c r="AI39"/>
      <c r="AJ39"/>
      <c r="AK39" s="17">
        <v>4533</v>
      </c>
      <c r="AL39" s="2" t="s">
        <v>380</v>
      </c>
      <c r="AM39" s="2" t="s">
        <v>381</v>
      </c>
      <c r="AN39" s="2"/>
      <c r="AO39" s="18" t="s">
        <v>47</v>
      </c>
      <c r="AP39" s="2" t="s">
        <v>164</v>
      </c>
      <c r="AQ39" s="2">
        <v>119</v>
      </c>
      <c r="AR39" s="2" t="s">
        <v>21</v>
      </c>
      <c r="AS39" s="17">
        <v>2159.6999999999998</v>
      </c>
      <c r="AT39" s="2" t="s">
        <v>33</v>
      </c>
      <c r="AU39" s="2" t="s">
        <v>965</v>
      </c>
      <c r="AV39">
        <v>119</v>
      </c>
      <c r="AW39" s="2" t="s">
        <v>21</v>
      </c>
      <c r="AX39" s="16">
        <v>5.6678321411540313</v>
      </c>
      <c r="AY39" s="16">
        <v>34252</v>
      </c>
      <c r="AZ39" s="2" t="s">
        <v>989</v>
      </c>
      <c r="BA39"/>
      <c r="BB39"/>
      <c r="BC39" s="2">
        <v>20</v>
      </c>
      <c r="BD39">
        <v>119</v>
      </c>
      <c r="BE39" s="2" t="s">
        <v>990</v>
      </c>
      <c r="BF39"/>
      <c r="BG39" s="16">
        <v>1.6547448736289942E-4</v>
      </c>
      <c r="BH39" s="16" t="s">
        <v>1048</v>
      </c>
      <c r="BI39" s="16">
        <v>1E-3</v>
      </c>
      <c r="BJ39" s="2" t="s">
        <v>1048</v>
      </c>
      <c r="BK39" s="2">
        <v>1E-4</v>
      </c>
      <c r="BL39" s="3">
        <v>0.86138876542316578</v>
      </c>
      <c r="BM39" s="3" t="s">
        <v>1048</v>
      </c>
      <c r="BN39" s="3">
        <v>6.9800000000000001E-3</v>
      </c>
    </row>
    <row r="40" spans="1:66" ht="15" customHeight="1" x14ac:dyDescent="0.3">
      <c r="A40" s="2" t="s">
        <v>52</v>
      </c>
      <c r="B40" s="2"/>
      <c r="C40" s="2" t="s">
        <v>267</v>
      </c>
      <c r="D40" s="15">
        <v>-23.77</v>
      </c>
      <c r="E40" s="15">
        <v>-66.8</v>
      </c>
      <c r="F40" s="2" t="s">
        <v>13</v>
      </c>
      <c r="G40" s="14" t="s">
        <v>13</v>
      </c>
      <c r="H40" s="2"/>
      <c r="I40" s="2"/>
      <c r="J40" s="16">
        <v>1119.9999999999998</v>
      </c>
      <c r="K40" s="16">
        <v>212</v>
      </c>
      <c r="L40" s="15" t="s">
        <v>1052</v>
      </c>
      <c r="M40" s="2" t="s">
        <v>268</v>
      </c>
      <c r="N40" s="2">
        <v>148</v>
      </c>
      <c r="O40" s="3"/>
      <c r="P40" s="3"/>
      <c r="Q40" s="2"/>
      <c r="R40" s="2"/>
      <c r="S40" s="3">
        <f>0.835+0.285</f>
        <v>1.1199999999999999</v>
      </c>
      <c r="T40" s="4" t="s">
        <v>16</v>
      </c>
      <c r="U40" s="3" t="s">
        <v>276</v>
      </c>
      <c r="V40" s="16"/>
      <c r="W40" s="3">
        <f>(0.835*476+0.285*473)/(0.835+0.285)</f>
        <v>475.23660714285717</v>
      </c>
      <c r="X40" s="3" t="s">
        <v>22</v>
      </c>
      <c r="Y40" s="3" t="s">
        <v>278</v>
      </c>
      <c r="Z40" s="2">
        <v>23</v>
      </c>
      <c r="AA40" s="2" t="s">
        <v>277</v>
      </c>
      <c r="AB40" s="16">
        <v>212</v>
      </c>
      <c r="AC40" s="2" t="s">
        <v>273</v>
      </c>
      <c r="AD40" s="16" t="s">
        <v>274</v>
      </c>
      <c r="AE40" s="2">
        <v>501</v>
      </c>
      <c r="AF40" s="2" t="s">
        <v>22</v>
      </c>
      <c r="AG40" s="16" t="s">
        <v>275</v>
      </c>
      <c r="AH40" s="2">
        <v>300</v>
      </c>
      <c r="AI40">
        <v>23</v>
      </c>
      <c r="AJ40" s="2" t="s">
        <v>272</v>
      </c>
      <c r="AK40" s="17">
        <v>4081</v>
      </c>
      <c r="AL40" s="18" t="s">
        <v>10</v>
      </c>
      <c r="AM40" s="18" t="s">
        <v>31</v>
      </c>
      <c r="AN40" s="18"/>
      <c r="AO40" s="18" t="s">
        <v>47</v>
      </c>
      <c r="AP40" s="2" t="s">
        <v>86</v>
      </c>
      <c r="AQ40" s="2">
        <v>23</v>
      </c>
      <c r="AR40" s="2" t="s">
        <v>279</v>
      </c>
      <c r="AS40" s="17">
        <v>659</v>
      </c>
      <c r="AT40" s="2" t="s">
        <v>68</v>
      </c>
      <c r="AU40" s="2" t="s">
        <v>123</v>
      </c>
      <c r="AV40">
        <v>23</v>
      </c>
      <c r="AW40" s="2" t="s">
        <v>280</v>
      </c>
      <c r="AX40" s="16">
        <v>4.6968056307525723</v>
      </c>
      <c r="AY40" s="16">
        <v>25000</v>
      </c>
      <c r="AZ40" s="2" t="s">
        <v>36</v>
      </c>
      <c r="BA40" s="2" t="s">
        <v>270</v>
      </c>
      <c r="BB40" s="2" t="s">
        <v>271</v>
      </c>
      <c r="BC40" s="2">
        <v>30</v>
      </c>
      <c r="BD40">
        <v>23</v>
      </c>
      <c r="BE40" s="2" t="s">
        <v>174</v>
      </c>
      <c r="BF40"/>
      <c r="BG40" s="21">
        <v>1.8787222523010289E-4</v>
      </c>
      <c r="BH40" s="16">
        <v>1</v>
      </c>
      <c r="BI40" s="16">
        <v>1000</v>
      </c>
      <c r="BJ40" s="2">
        <v>1E-4</v>
      </c>
      <c r="BK40" s="2">
        <v>1E-4</v>
      </c>
      <c r="BL40" s="3">
        <v>0.91996320147194111</v>
      </c>
      <c r="BM40" s="3">
        <v>5.0100000000000006E-2</v>
      </c>
      <c r="BN40" s="3">
        <v>4.7523660714285716E-2</v>
      </c>
    </row>
    <row r="41" spans="1:66" ht="15" customHeight="1" x14ac:dyDescent="0.3">
      <c r="A41" s="2" t="s">
        <v>839</v>
      </c>
      <c r="B41" s="2"/>
      <c r="C41" s="2" t="s">
        <v>960</v>
      </c>
      <c r="D41" s="14">
        <v>-3.97</v>
      </c>
      <c r="E41" s="14">
        <v>37.25</v>
      </c>
      <c r="F41" s="2" t="s">
        <v>72</v>
      </c>
      <c r="G41" s="14" t="s">
        <v>72</v>
      </c>
      <c r="H41" s="2"/>
      <c r="I41" s="2"/>
      <c r="J41" s="16">
        <v>1102</v>
      </c>
      <c r="K41" s="16" t="s">
        <v>1048</v>
      </c>
      <c r="L41" s="15" t="s">
        <v>1051</v>
      </c>
      <c r="M41"/>
      <c r="N41"/>
      <c r="O41" s="3"/>
      <c r="P41" s="3"/>
      <c r="Q41" s="2"/>
      <c r="R41" s="2"/>
      <c r="S41" s="16">
        <v>1102</v>
      </c>
      <c r="T41" s="2" t="s">
        <v>545</v>
      </c>
      <c r="U41" s="16" t="s">
        <v>465</v>
      </c>
      <c r="V41" s="16" t="s">
        <v>465</v>
      </c>
      <c r="W41" s="16">
        <v>7000</v>
      </c>
      <c r="X41" s="3" t="s">
        <v>78</v>
      </c>
      <c r="Y41" s="17"/>
      <c r="Z41" s="2">
        <v>105</v>
      </c>
      <c r="AA41" s="2" t="s">
        <v>792</v>
      </c>
      <c r="AB41" s="16"/>
      <c r="AC41"/>
      <c r="AD41" s="16"/>
      <c r="AE41"/>
      <c r="AF41"/>
      <c r="AG41" s="16"/>
      <c r="AH41" s="16"/>
      <c r="AI41"/>
      <c r="AJ41"/>
      <c r="AK41" s="17"/>
      <c r="AL41"/>
      <c r="AM41"/>
      <c r="AN41"/>
      <c r="AO41"/>
      <c r="AP41"/>
      <c r="AQ41" s="2"/>
      <c r="AR41"/>
      <c r="AS41" s="17"/>
      <c r="AT41"/>
      <c r="AU41"/>
      <c r="AV41"/>
      <c r="AW41"/>
      <c r="AX41" s="16" t="s">
        <v>1048</v>
      </c>
      <c r="AY41" s="16"/>
      <c r="AZ41"/>
      <c r="BA41"/>
      <c r="BB41"/>
      <c r="BC41"/>
      <c r="BD41"/>
      <c r="BE41"/>
      <c r="BF41"/>
      <c r="BG41" s="2" t="s">
        <v>1048</v>
      </c>
      <c r="BH41" s="16" t="s">
        <v>1048</v>
      </c>
      <c r="BI41" s="16">
        <v>1</v>
      </c>
      <c r="BJ41" s="2" t="s">
        <v>1048</v>
      </c>
      <c r="BK41" s="2">
        <v>1E-4</v>
      </c>
      <c r="BL41" s="3">
        <v>0.91996320147194111</v>
      </c>
      <c r="BM41" s="3" t="s">
        <v>1048</v>
      </c>
      <c r="BN41" s="3">
        <v>0.70000000000000007</v>
      </c>
    </row>
    <row r="42" spans="1:66" ht="15" customHeight="1" x14ac:dyDescent="0.3">
      <c r="A42" s="2" t="s">
        <v>132</v>
      </c>
      <c r="B42" s="2"/>
      <c r="C42" s="2" t="s">
        <v>311</v>
      </c>
      <c r="D42" s="15">
        <v>-27.48</v>
      </c>
      <c r="E42" s="15">
        <v>120.55</v>
      </c>
      <c r="F42" s="2" t="s">
        <v>101</v>
      </c>
      <c r="G42" s="14" t="s">
        <v>101</v>
      </c>
      <c r="H42" s="2"/>
      <c r="I42" s="2"/>
      <c r="J42" s="16">
        <v>992.68942436412317</v>
      </c>
      <c r="K42" s="16">
        <v>426.08208969210176</v>
      </c>
      <c r="L42" s="2" t="s">
        <v>73</v>
      </c>
      <c r="M42" s="2" t="s">
        <v>73</v>
      </c>
      <c r="N42" s="2">
        <v>149</v>
      </c>
      <c r="O42" s="3">
        <v>15.253428517753147</v>
      </c>
      <c r="P42" s="3">
        <v>16.948149539733233</v>
      </c>
      <c r="Q42" s="2" t="s">
        <v>1403</v>
      </c>
      <c r="R42" s="2">
        <v>4</v>
      </c>
      <c r="S42" s="3">
        <f>(20*0.013)+(109*0.014)+(27*0.013)</f>
        <v>2.137</v>
      </c>
      <c r="T42" s="2" t="s">
        <v>139</v>
      </c>
      <c r="U42" s="16" t="s">
        <v>315</v>
      </c>
      <c r="V42" s="16" t="s">
        <v>316</v>
      </c>
      <c r="W42" s="3">
        <v>1.4</v>
      </c>
      <c r="X42" s="2" t="s">
        <v>117</v>
      </c>
      <c r="Y42" s="3" t="s">
        <v>317</v>
      </c>
      <c r="Z42" s="2">
        <v>62</v>
      </c>
      <c r="AA42" s="2" t="s">
        <v>15</v>
      </c>
      <c r="AB42" s="16">
        <f>33581+883662</f>
        <v>917243</v>
      </c>
      <c r="AC42" s="2" t="s">
        <v>177</v>
      </c>
      <c r="AD42" s="16" t="s">
        <v>313</v>
      </c>
      <c r="AE42" s="2">
        <v>1.34</v>
      </c>
      <c r="AF42" s="2" t="s">
        <v>117</v>
      </c>
      <c r="AG42" s="16" t="s">
        <v>314</v>
      </c>
      <c r="AH42" s="2">
        <v>0.5</v>
      </c>
      <c r="AI42">
        <v>62</v>
      </c>
      <c r="AJ42" s="2" t="s">
        <v>15</v>
      </c>
      <c r="AK42" s="17"/>
      <c r="AL42"/>
      <c r="AM42"/>
      <c r="AN42"/>
      <c r="AO42"/>
      <c r="AP42"/>
      <c r="AQ42" s="2"/>
      <c r="AR42"/>
      <c r="AS42" s="17"/>
      <c r="AT42"/>
      <c r="AU42"/>
      <c r="AV42"/>
      <c r="AW42"/>
      <c r="AX42" s="16" t="s">
        <v>1048</v>
      </c>
      <c r="AY42" s="16"/>
      <c r="AZ42"/>
      <c r="BA42"/>
      <c r="BB42"/>
      <c r="BC42"/>
      <c r="BD42"/>
      <c r="BE42"/>
      <c r="BF42"/>
      <c r="BG42" s="2" t="s">
        <v>1048</v>
      </c>
      <c r="BH42" s="16">
        <v>4.64524765729585E-4</v>
      </c>
      <c r="BI42" s="16">
        <v>464.524765729585</v>
      </c>
      <c r="BJ42" s="28">
        <v>0.46452476572958501</v>
      </c>
      <c r="BK42" s="28">
        <v>0.46452476572958501</v>
      </c>
      <c r="BL42" s="3">
        <v>1.0469999999999999</v>
      </c>
      <c r="BM42" s="3">
        <v>0.62246318607764395</v>
      </c>
      <c r="BN42" s="3">
        <v>0.65033467202141892</v>
      </c>
    </row>
    <row r="43" spans="1:66" ht="15" customHeight="1" x14ac:dyDescent="0.3">
      <c r="A43" s="2" t="s">
        <v>241</v>
      </c>
      <c r="B43" s="2"/>
      <c r="C43" s="2" t="s">
        <v>242</v>
      </c>
      <c r="D43" s="15">
        <v>35.380000000000003</v>
      </c>
      <c r="E43" s="15">
        <v>71</v>
      </c>
      <c r="F43" s="2" t="s">
        <v>101</v>
      </c>
      <c r="G43" s="14" t="s">
        <v>101</v>
      </c>
      <c r="H43" s="2"/>
      <c r="I43" s="2"/>
      <c r="J43" s="16">
        <v>987.03365200000007</v>
      </c>
      <c r="K43" s="16" t="s">
        <v>1048</v>
      </c>
      <c r="L43" s="15" t="s">
        <v>1051</v>
      </c>
      <c r="M43" s="2"/>
      <c r="N43" s="2"/>
      <c r="O43" s="3"/>
      <c r="P43" s="3"/>
      <c r="Q43" s="2"/>
      <c r="R43" s="2"/>
      <c r="S43" s="16">
        <f>+J43/1000</f>
        <v>0.98703365200000004</v>
      </c>
      <c r="T43" t="s">
        <v>1452</v>
      </c>
      <c r="U43" s="16"/>
      <c r="V43" s="16"/>
      <c r="W43" s="3"/>
      <c r="X43" s="3"/>
      <c r="Y43" s="3"/>
      <c r="Z43" s="2">
        <v>2</v>
      </c>
      <c r="AA43"/>
      <c r="AB43" s="16"/>
      <c r="AC43"/>
      <c r="AD43" s="16"/>
      <c r="AE43"/>
      <c r="AF43"/>
      <c r="AG43" s="16"/>
      <c r="AH43" s="2"/>
      <c r="AI43"/>
      <c r="AJ43"/>
      <c r="AK43" s="17"/>
      <c r="AL43"/>
      <c r="AM43"/>
      <c r="AN43"/>
      <c r="AO43"/>
      <c r="AP43"/>
      <c r="AQ43" s="2"/>
      <c r="AR43"/>
      <c r="AS43" s="17"/>
      <c r="AT43"/>
      <c r="AU43"/>
      <c r="AV43"/>
      <c r="AW43"/>
      <c r="AX43" s="16" t="s">
        <v>1048</v>
      </c>
      <c r="AY43" s="16"/>
      <c r="AZ43"/>
      <c r="BA43"/>
      <c r="BB43"/>
      <c r="BC43"/>
      <c r="BD43"/>
      <c r="BE43"/>
      <c r="BF43"/>
      <c r="BG43" s="2" t="s">
        <v>1048</v>
      </c>
      <c r="BH43" s="16" t="s">
        <v>1048</v>
      </c>
      <c r="BI43" s="2">
        <v>1</v>
      </c>
      <c r="BJ43" s="2" t="s">
        <v>1048</v>
      </c>
      <c r="BK43" s="2" t="s">
        <v>1048</v>
      </c>
      <c r="BL43" s="3" t="s">
        <v>1048</v>
      </c>
      <c r="BM43" s="3" t="s">
        <v>1048</v>
      </c>
      <c r="BN43" s="3" t="s">
        <v>1048</v>
      </c>
    </row>
    <row r="44" spans="1:66" ht="15" customHeight="1" x14ac:dyDescent="0.3">
      <c r="A44" s="2" t="s">
        <v>52</v>
      </c>
      <c r="B44" s="2"/>
      <c r="C44" s="2" t="s">
        <v>542</v>
      </c>
      <c r="D44" s="15">
        <v>-25.24</v>
      </c>
      <c r="E44" s="15">
        <v>-66.760000000000005</v>
      </c>
      <c r="F44" s="2" t="s">
        <v>13</v>
      </c>
      <c r="G44" s="14" t="s">
        <v>13</v>
      </c>
      <c r="H44" s="2" t="s">
        <v>1045</v>
      </c>
      <c r="I44" s="2">
        <v>1</v>
      </c>
      <c r="J44" s="16">
        <v>930</v>
      </c>
      <c r="K44" s="16" t="s">
        <v>1048</v>
      </c>
      <c r="L44" s="2" t="s">
        <v>73</v>
      </c>
      <c r="M44" s="2" t="s">
        <v>73</v>
      </c>
      <c r="N44" s="2">
        <v>4</v>
      </c>
      <c r="O44" s="3">
        <v>3.7572797294758593</v>
      </c>
      <c r="P44" s="3">
        <v>9.3931993236896485</v>
      </c>
      <c r="Q44" s="2" t="s">
        <v>1403</v>
      </c>
      <c r="R44" s="2">
        <v>4</v>
      </c>
      <c r="S44" s="16">
        <v>930</v>
      </c>
      <c r="T44" s="2" t="s">
        <v>545</v>
      </c>
      <c r="U44" s="16" t="s">
        <v>546</v>
      </c>
      <c r="V44" s="16" t="s">
        <v>547</v>
      </c>
      <c r="W44" s="3">
        <v>556</v>
      </c>
      <c r="X44" s="3" t="s">
        <v>22</v>
      </c>
      <c r="Y44" s="3" t="s">
        <v>548</v>
      </c>
      <c r="Z44" s="2">
        <v>17</v>
      </c>
      <c r="AA44" s="2" t="s">
        <v>110</v>
      </c>
      <c r="AB44" s="16"/>
      <c r="AC44"/>
      <c r="AD44" s="16"/>
      <c r="AE44" s="2"/>
      <c r="AF44" s="2"/>
      <c r="AG44" s="16"/>
      <c r="AH44" s="2"/>
      <c r="AI44"/>
      <c r="AJ44" s="20"/>
      <c r="AK44" s="17"/>
      <c r="AL44"/>
      <c r="AM44"/>
      <c r="AN44"/>
      <c r="AO44"/>
      <c r="AP44"/>
      <c r="AQ44" s="2"/>
      <c r="AR44"/>
      <c r="AS44" s="17"/>
      <c r="AT44"/>
      <c r="AU44"/>
      <c r="AV44"/>
      <c r="AW44"/>
      <c r="AX44" s="16">
        <v>0.46968056307525724</v>
      </c>
      <c r="AY44" s="16">
        <v>2500</v>
      </c>
      <c r="AZ44" s="2" t="s">
        <v>36</v>
      </c>
      <c r="BA44"/>
      <c r="BB44" s="2" t="s">
        <v>544</v>
      </c>
      <c r="BC44"/>
      <c r="BD44">
        <v>17</v>
      </c>
      <c r="BE44" s="7" t="s">
        <v>543</v>
      </c>
      <c r="BF44"/>
      <c r="BG44" s="21">
        <v>1.8787222523010289E-4</v>
      </c>
      <c r="BH44" s="16" t="s">
        <v>1048</v>
      </c>
      <c r="BI44" s="16">
        <v>1</v>
      </c>
      <c r="BJ44" s="2" t="s">
        <v>1048</v>
      </c>
      <c r="BK44" s="2">
        <v>1E-4</v>
      </c>
      <c r="BL44" s="3">
        <v>1.2291283880485644</v>
      </c>
      <c r="BM44" s="3" t="s">
        <v>1048</v>
      </c>
      <c r="BN44" s="3">
        <v>5.5600000000000004E-2</v>
      </c>
    </row>
    <row r="45" spans="1:66" ht="15" customHeight="1" x14ac:dyDescent="0.3">
      <c r="A45" s="2" t="s">
        <v>52</v>
      </c>
      <c r="B45" s="2"/>
      <c r="C45" s="2" t="s">
        <v>340</v>
      </c>
      <c r="D45" s="15">
        <v>-24.53</v>
      </c>
      <c r="E45" s="15">
        <v>-66.73</v>
      </c>
      <c r="F45" s="2" t="s">
        <v>13</v>
      </c>
      <c r="G45" s="14" t="s">
        <v>13</v>
      </c>
      <c r="H45" s="2"/>
      <c r="I45" s="2"/>
      <c r="J45" s="16">
        <v>920.19815917704386</v>
      </c>
      <c r="K45" s="16">
        <v>177</v>
      </c>
      <c r="L45" s="15" t="s">
        <v>1052</v>
      </c>
      <c r="M45" s="2" t="s">
        <v>102</v>
      </c>
      <c r="N45" s="2">
        <v>150</v>
      </c>
      <c r="O45" s="3"/>
      <c r="P45" s="3">
        <v>1.7696787525831297</v>
      </c>
      <c r="Q45" s="2" t="s">
        <v>1401</v>
      </c>
      <c r="R45" s="2">
        <v>4</v>
      </c>
      <c r="S45" s="24">
        <f>4.1+0.798</f>
        <v>4.8979999999999997</v>
      </c>
      <c r="T45" s="2" t="s">
        <v>79</v>
      </c>
      <c r="U45" s="24" t="s">
        <v>348</v>
      </c>
      <c r="V45" s="16" t="s">
        <v>349</v>
      </c>
      <c r="W45" s="3"/>
      <c r="X45" s="3"/>
      <c r="Y45" s="3"/>
      <c r="Z45" s="2">
        <v>7</v>
      </c>
      <c r="AA45" s="2" t="s">
        <v>15</v>
      </c>
      <c r="AB45" s="16">
        <v>177000</v>
      </c>
      <c r="AC45" s="2" t="s">
        <v>345</v>
      </c>
      <c r="AD45" s="24" t="s">
        <v>346</v>
      </c>
      <c r="AE45" s="16">
        <v>439</v>
      </c>
      <c r="AF45" s="2" t="s">
        <v>154</v>
      </c>
      <c r="AG45" s="24" t="s">
        <v>347</v>
      </c>
      <c r="AH45" s="2"/>
      <c r="AI45">
        <v>7</v>
      </c>
      <c r="AJ45" s="2" t="s">
        <v>168</v>
      </c>
      <c r="AK45" s="17">
        <v>3388</v>
      </c>
      <c r="AL45" s="18" t="s">
        <v>10</v>
      </c>
      <c r="AM45" s="18" t="s">
        <v>31</v>
      </c>
      <c r="AN45" s="2"/>
      <c r="AO45" s="18" t="s">
        <v>47</v>
      </c>
      <c r="AP45" s="2" t="s">
        <v>66</v>
      </c>
      <c r="AQ45" s="2">
        <v>7</v>
      </c>
      <c r="AR45" s="2" t="s">
        <v>168</v>
      </c>
      <c r="AS45" s="17">
        <v>448</v>
      </c>
      <c r="AT45" s="2" t="s">
        <v>88</v>
      </c>
      <c r="AU45" s="2" t="s">
        <v>123</v>
      </c>
      <c r="AV45">
        <v>7</v>
      </c>
      <c r="AW45" s="2" t="s">
        <v>168</v>
      </c>
      <c r="AX45" s="16">
        <v>4.5089334055224697</v>
      </c>
      <c r="AY45" s="16">
        <v>24000</v>
      </c>
      <c r="AZ45" s="2" t="s">
        <v>343</v>
      </c>
      <c r="BA45" s="2"/>
      <c r="BB45" s="16" t="s">
        <v>344</v>
      </c>
      <c r="BC45" s="16">
        <v>40</v>
      </c>
      <c r="BD45">
        <v>7</v>
      </c>
      <c r="BE45" s="2" t="s">
        <v>168</v>
      </c>
      <c r="BF45"/>
      <c r="BG45" s="16">
        <v>1.8787222523010289E-4</v>
      </c>
      <c r="BH45" s="16">
        <v>1E-3</v>
      </c>
      <c r="BI45" s="16">
        <v>187.87222523010288</v>
      </c>
      <c r="BJ45" s="2">
        <v>1E-4</v>
      </c>
      <c r="BK45" s="2" t="s">
        <v>1048</v>
      </c>
      <c r="BL45" s="3">
        <v>1.1183216399999998</v>
      </c>
      <c r="BM45" s="3">
        <v>4.3900000000000002E-2</v>
      </c>
      <c r="BN45" s="3" t="s">
        <v>1048</v>
      </c>
    </row>
    <row r="46" spans="1:66" ht="15" customHeight="1" x14ac:dyDescent="0.3">
      <c r="A46" s="2" t="s">
        <v>570</v>
      </c>
      <c r="B46" s="2"/>
      <c r="C46" s="2" t="s">
        <v>571</v>
      </c>
      <c r="D46" s="15">
        <v>-13.997999999999999</v>
      </c>
      <c r="E46" s="15">
        <v>-70.668999999999997</v>
      </c>
      <c r="F46" s="2" t="s">
        <v>72</v>
      </c>
      <c r="G46" s="14" t="s">
        <v>572</v>
      </c>
      <c r="H46" s="2"/>
      <c r="I46" s="2"/>
      <c r="J46" s="16">
        <v>884.87818083378454</v>
      </c>
      <c r="K46" s="16" t="s">
        <v>1048</v>
      </c>
      <c r="L46" s="15" t="s">
        <v>1052</v>
      </c>
      <c r="M46" s="2" t="s">
        <v>102</v>
      </c>
      <c r="N46" s="2">
        <v>151</v>
      </c>
      <c r="O46" s="3"/>
      <c r="P46" s="3">
        <v>6.7920345669735109</v>
      </c>
      <c r="Q46" s="2" t="s">
        <v>1404</v>
      </c>
      <c r="R46" s="2">
        <v>4</v>
      </c>
      <c r="S46" s="24">
        <f>0.96+3.75</f>
        <v>4.71</v>
      </c>
      <c r="T46" s="2" t="s">
        <v>79</v>
      </c>
      <c r="U46" s="16" t="s">
        <v>575</v>
      </c>
      <c r="V46" s="16" t="s">
        <v>576</v>
      </c>
      <c r="W46" s="3">
        <f>(60.92*2954+260.07*2706)/(60.92+260.07)</f>
        <v>2753.0673852767995</v>
      </c>
      <c r="X46" s="2" t="s">
        <v>78</v>
      </c>
      <c r="Y46" s="3" t="s">
        <v>577</v>
      </c>
      <c r="Z46" s="2">
        <v>52</v>
      </c>
      <c r="AA46" s="2" t="s">
        <v>539</v>
      </c>
      <c r="AB46" s="3"/>
      <c r="AC46"/>
      <c r="AD46" s="16"/>
      <c r="AE46"/>
      <c r="AF46"/>
      <c r="AG46" s="16"/>
      <c r="AH46" s="2"/>
      <c r="AI46"/>
      <c r="AJ46"/>
      <c r="AK46" s="17"/>
      <c r="AL46"/>
      <c r="AM46"/>
      <c r="AN46"/>
      <c r="AO46"/>
      <c r="AP46"/>
      <c r="AQ46" s="2"/>
      <c r="AR46"/>
      <c r="AS46" s="17"/>
      <c r="AT46"/>
      <c r="AU46"/>
      <c r="AV46"/>
      <c r="AW46"/>
      <c r="AX46" s="16" t="s">
        <v>1048</v>
      </c>
      <c r="AY46" s="16"/>
      <c r="AZ46"/>
      <c r="BA46"/>
      <c r="BB46" s="2" t="s">
        <v>271</v>
      </c>
      <c r="BC46"/>
      <c r="BD46"/>
      <c r="BE46"/>
      <c r="BF46"/>
      <c r="BG46" s="2" t="s">
        <v>1048</v>
      </c>
      <c r="BH46" s="16" t="s">
        <v>1048</v>
      </c>
      <c r="BI46" s="16">
        <v>187.87222523010288</v>
      </c>
      <c r="BJ46" s="2" t="s">
        <v>1048</v>
      </c>
      <c r="BK46" s="2">
        <v>1E-4</v>
      </c>
      <c r="BL46" s="3">
        <v>1.1183216399999998</v>
      </c>
      <c r="BM46" s="3" t="s">
        <v>1048</v>
      </c>
      <c r="BN46" s="3">
        <v>0.27530673852767995</v>
      </c>
    </row>
    <row r="47" spans="1:66" ht="15" customHeight="1" x14ac:dyDescent="0.3">
      <c r="A47" s="2" t="s">
        <v>17</v>
      </c>
      <c r="B47" s="30"/>
      <c r="C47" s="30" t="s">
        <v>946</v>
      </c>
      <c r="D47" s="14">
        <v>-19.09</v>
      </c>
      <c r="E47" s="39">
        <v>-68.900000000000006</v>
      </c>
      <c r="F47" s="2" t="s">
        <v>13</v>
      </c>
      <c r="G47" s="14" t="s">
        <v>13</v>
      </c>
      <c r="H47" s="2"/>
      <c r="I47" s="2"/>
      <c r="J47" s="16">
        <v>877.89778830536011</v>
      </c>
      <c r="K47" s="16" t="s">
        <v>1048</v>
      </c>
      <c r="L47" s="15" t="s">
        <v>1051</v>
      </c>
      <c r="M47"/>
      <c r="N47"/>
      <c r="O47" s="3"/>
      <c r="P47" s="3"/>
      <c r="Q47" s="2"/>
      <c r="R47" s="2"/>
      <c r="S47" s="16">
        <v>4672845</v>
      </c>
      <c r="T47" s="2" t="s">
        <v>725</v>
      </c>
      <c r="U47" s="16" t="s">
        <v>947</v>
      </c>
      <c r="V47" s="16"/>
      <c r="W47" s="3">
        <v>588</v>
      </c>
      <c r="X47" s="17" t="s">
        <v>78</v>
      </c>
      <c r="Y47" s="16" t="s">
        <v>948</v>
      </c>
      <c r="Z47" s="2">
        <v>89</v>
      </c>
      <c r="AA47" s="2" t="s">
        <v>110</v>
      </c>
      <c r="AB47" s="16"/>
      <c r="AC47"/>
      <c r="AD47" s="16"/>
      <c r="AE47"/>
      <c r="AF47"/>
      <c r="AG47" s="16"/>
      <c r="AH47" s="16"/>
      <c r="AI47"/>
      <c r="AJ47"/>
      <c r="AK47" s="17"/>
      <c r="AL47"/>
      <c r="AM47"/>
      <c r="AN47"/>
      <c r="AO47"/>
      <c r="AP47"/>
      <c r="AQ47" s="2"/>
      <c r="AR47"/>
      <c r="AS47" s="17"/>
      <c r="AT47"/>
      <c r="AU47"/>
      <c r="AV47"/>
      <c r="AW47"/>
      <c r="AX47" s="16" t="s">
        <v>1048</v>
      </c>
      <c r="AY47" s="16"/>
      <c r="AZ47"/>
      <c r="BA47"/>
      <c r="BB47"/>
      <c r="BC47"/>
      <c r="BD47"/>
      <c r="BE47"/>
      <c r="BF47"/>
      <c r="BG47" s="2" t="s">
        <v>1048</v>
      </c>
      <c r="BH47" s="16" t="s">
        <v>1048</v>
      </c>
      <c r="BI47" s="16">
        <v>1.8787222523010289E-4</v>
      </c>
      <c r="BJ47" s="2" t="s">
        <v>1048</v>
      </c>
      <c r="BK47" s="2">
        <v>1E-4</v>
      </c>
      <c r="BL47" s="3" t="s">
        <v>1048</v>
      </c>
      <c r="BM47" s="3" t="s">
        <v>1048</v>
      </c>
      <c r="BN47" s="3">
        <v>5.8800000000000005E-2</v>
      </c>
    </row>
    <row r="48" spans="1:66" ht="15" customHeight="1" x14ac:dyDescent="0.3">
      <c r="A48" s="2" t="s">
        <v>17</v>
      </c>
      <c r="B48" s="2"/>
      <c r="C48" s="2" t="s">
        <v>921</v>
      </c>
      <c r="D48" s="14">
        <v>-25.74</v>
      </c>
      <c r="E48" s="39">
        <v>-68.64</v>
      </c>
      <c r="F48" s="2" t="s">
        <v>13</v>
      </c>
      <c r="G48" s="14" t="s">
        <v>13</v>
      </c>
      <c r="H48" s="2"/>
      <c r="I48" s="2"/>
      <c r="J48" s="16">
        <v>853.61500000000001</v>
      </c>
      <c r="K48" s="16" t="s">
        <v>1048</v>
      </c>
      <c r="L48" s="15" t="s">
        <v>1051</v>
      </c>
      <c r="M48"/>
      <c r="N48"/>
      <c r="O48" s="3"/>
      <c r="P48" s="3"/>
      <c r="Q48" s="2"/>
      <c r="R48" s="2"/>
      <c r="S48" s="16">
        <v>853615</v>
      </c>
      <c r="T48" s="2" t="s">
        <v>156</v>
      </c>
      <c r="U48" s="16" t="s">
        <v>923</v>
      </c>
      <c r="V48" s="16" t="s">
        <v>401</v>
      </c>
      <c r="W48" s="3">
        <v>841</v>
      </c>
      <c r="X48" s="3" t="s">
        <v>22</v>
      </c>
      <c r="Y48" s="17" t="s">
        <v>925</v>
      </c>
      <c r="Z48" s="2">
        <v>85</v>
      </c>
      <c r="AA48" s="2" t="s">
        <v>924</v>
      </c>
      <c r="AB48" s="16"/>
      <c r="AC48"/>
      <c r="AD48" s="16"/>
      <c r="AE48"/>
      <c r="AF48"/>
      <c r="AG48" s="16"/>
      <c r="AH48" s="16"/>
      <c r="AI48"/>
      <c r="AJ48"/>
      <c r="AK48" s="17"/>
      <c r="AL48"/>
      <c r="AM48"/>
      <c r="AN48"/>
      <c r="AO48"/>
      <c r="AP48"/>
      <c r="AQ48" s="2"/>
      <c r="AR48"/>
      <c r="AS48" s="17"/>
      <c r="AT48"/>
      <c r="AU48"/>
      <c r="AV48"/>
      <c r="AW48"/>
      <c r="AX48" s="16" t="s">
        <v>1048</v>
      </c>
      <c r="AY48" s="16"/>
      <c r="AZ48"/>
      <c r="BA48"/>
      <c r="BB48"/>
      <c r="BC48"/>
      <c r="BD48"/>
      <c r="BE48"/>
      <c r="BF48"/>
      <c r="BG48" s="2" t="s">
        <v>1048</v>
      </c>
      <c r="BH48" s="16" t="s">
        <v>1048</v>
      </c>
      <c r="BI48" s="16">
        <v>1E-3</v>
      </c>
      <c r="BJ48" s="2" t="s">
        <v>1048</v>
      </c>
      <c r="BK48" s="2">
        <v>1E-4</v>
      </c>
      <c r="BL48" s="3">
        <v>1.1183216399999998</v>
      </c>
      <c r="BM48" s="3" t="s">
        <v>1048</v>
      </c>
      <c r="BN48" s="3">
        <v>8.4100000000000008E-2</v>
      </c>
    </row>
    <row r="49" spans="1:66" ht="15" customHeight="1" x14ac:dyDescent="0.3">
      <c r="A49" s="2" t="s">
        <v>17</v>
      </c>
      <c r="B49" s="2"/>
      <c r="C49" s="2" t="s">
        <v>937</v>
      </c>
      <c r="D49" s="14">
        <v>-26.2</v>
      </c>
      <c r="E49" s="39">
        <v>-69.12</v>
      </c>
      <c r="F49" s="2" t="s">
        <v>13</v>
      </c>
      <c r="G49" s="14" t="s">
        <v>13</v>
      </c>
      <c r="H49" s="2"/>
      <c r="I49" s="2"/>
      <c r="J49" s="16">
        <v>807.42015322144027</v>
      </c>
      <c r="K49" s="16" t="s">
        <v>1048</v>
      </c>
      <c r="L49" s="15" t="s">
        <v>1051</v>
      </c>
      <c r="M49"/>
      <c r="N49"/>
      <c r="O49" s="3"/>
      <c r="P49" s="3"/>
      <c r="Q49" s="2"/>
      <c r="R49" s="2"/>
      <c r="S49" s="16">
        <v>4297709</v>
      </c>
      <c r="T49" s="2" t="s">
        <v>725</v>
      </c>
      <c r="U49" s="16" t="s">
        <v>938</v>
      </c>
      <c r="V49" s="16"/>
      <c r="W49" s="3">
        <v>500</v>
      </c>
      <c r="X49" s="17" t="s">
        <v>78</v>
      </c>
      <c r="Y49" s="17" t="s">
        <v>939</v>
      </c>
      <c r="Z49" s="2">
        <v>89</v>
      </c>
      <c r="AA49" s="2" t="s">
        <v>110</v>
      </c>
      <c r="AB49" s="16"/>
      <c r="AC49"/>
      <c r="AD49" s="16"/>
      <c r="AE49"/>
      <c r="AF49"/>
      <c r="AG49" s="16"/>
      <c r="AH49" s="16"/>
      <c r="AI49"/>
      <c r="AJ49"/>
      <c r="AK49" s="17"/>
      <c r="AL49"/>
      <c r="AM49"/>
      <c r="AN49"/>
      <c r="AO49"/>
      <c r="AP49"/>
      <c r="AQ49" s="2"/>
      <c r="AR49"/>
      <c r="AS49" s="17"/>
      <c r="AT49"/>
      <c r="AU49"/>
      <c r="AV49"/>
      <c r="AW49"/>
      <c r="AX49" s="16" t="s">
        <v>1048</v>
      </c>
      <c r="AY49" s="16"/>
      <c r="AZ49"/>
      <c r="BA49"/>
      <c r="BB49"/>
      <c r="BC49"/>
      <c r="BD49"/>
      <c r="BE49"/>
      <c r="BF49"/>
      <c r="BG49" s="2" t="s">
        <v>1048</v>
      </c>
      <c r="BH49" s="16" t="s">
        <v>1048</v>
      </c>
      <c r="BI49" s="16">
        <v>1.8787222523010289E-4</v>
      </c>
      <c r="BJ49" s="2" t="s">
        <v>1048</v>
      </c>
      <c r="BK49" s="2">
        <v>1E-4</v>
      </c>
      <c r="BL49" s="3" t="s">
        <v>1048</v>
      </c>
      <c r="BM49" s="3" t="s">
        <v>1048</v>
      </c>
      <c r="BN49" s="3">
        <v>0.05</v>
      </c>
    </row>
    <row r="50" spans="1:66" ht="15" customHeight="1" x14ac:dyDescent="0.3">
      <c r="A50" s="2" t="s">
        <v>52</v>
      </c>
      <c r="B50" s="2"/>
      <c r="C50" s="2" t="s">
        <v>1010</v>
      </c>
      <c r="D50" s="14">
        <v>-24.37</v>
      </c>
      <c r="E50" s="14">
        <v>-67.22</v>
      </c>
      <c r="F50" s="2" t="s">
        <v>13</v>
      </c>
      <c r="G50" s="14" t="s">
        <v>13</v>
      </c>
      <c r="H50" s="14"/>
      <c r="I50" s="14"/>
      <c r="J50" s="16">
        <v>774.40931239848408</v>
      </c>
      <c r="K50" s="16" t="s">
        <v>1048</v>
      </c>
      <c r="L50" s="15" t="s">
        <v>1052</v>
      </c>
      <c r="M50" s="2" t="s">
        <v>268</v>
      </c>
      <c r="N50" s="2">
        <v>5</v>
      </c>
      <c r="O50"/>
      <c r="P50"/>
      <c r="Q50" s="2"/>
      <c r="R50" s="2"/>
      <c r="S50" s="16">
        <f>261000+2237000+1624000</f>
        <v>4122000</v>
      </c>
      <c r="T50" s="2" t="s">
        <v>725</v>
      </c>
      <c r="U50" s="16" t="s">
        <v>1012</v>
      </c>
      <c r="V50" s="16" t="s">
        <v>997</v>
      </c>
      <c r="W50" s="16">
        <f>(261+302+362)/3</f>
        <v>308.33333333333331</v>
      </c>
      <c r="X50" s="17" t="s">
        <v>154</v>
      </c>
      <c r="Y50" s="17" t="s">
        <v>1014</v>
      </c>
      <c r="Z50" s="2">
        <v>123</v>
      </c>
      <c r="AA50" s="2" t="s">
        <v>1013</v>
      </c>
      <c r="AB50" s="16"/>
      <c r="AC50"/>
      <c r="AD50" s="16"/>
      <c r="AE50"/>
      <c r="AF50"/>
      <c r="AG50" s="16"/>
      <c r="AH50" s="16"/>
      <c r="AI50"/>
      <c r="AJ50"/>
      <c r="AK50" s="17">
        <v>5197</v>
      </c>
      <c r="AL50" s="18" t="s">
        <v>10</v>
      </c>
      <c r="AM50" s="18" t="s">
        <v>31</v>
      </c>
      <c r="AN50" s="2"/>
      <c r="AO50" s="18" t="s">
        <v>47</v>
      </c>
      <c r="AP50" s="2" t="s">
        <v>164</v>
      </c>
      <c r="AQ50" s="2">
        <v>124</v>
      </c>
      <c r="AR50" s="2" t="s">
        <v>15</v>
      </c>
      <c r="AS50" s="17">
        <v>823</v>
      </c>
      <c r="AT50" s="2" t="s">
        <v>33</v>
      </c>
      <c r="AU50" s="2" t="s">
        <v>1009</v>
      </c>
      <c r="AV50">
        <v>124</v>
      </c>
      <c r="AW50" s="2" t="s">
        <v>1008</v>
      </c>
      <c r="AX50" s="16">
        <v>4.6968056307525723</v>
      </c>
      <c r="AY50" s="16">
        <v>25000</v>
      </c>
      <c r="AZ50" s="2" t="s">
        <v>36</v>
      </c>
      <c r="BA50"/>
      <c r="BB50"/>
      <c r="BC50" s="2">
        <v>19</v>
      </c>
      <c r="BD50">
        <v>123</v>
      </c>
      <c r="BE50" s="2" t="s">
        <v>1011</v>
      </c>
      <c r="BF50"/>
      <c r="BG50" s="16">
        <v>1.8787222523010289E-4</v>
      </c>
      <c r="BH50" s="16" t="s">
        <v>1048</v>
      </c>
      <c r="BI50" s="16">
        <v>1.8787222523010289E-4</v>
      </c>
      <c r="BJ50" s="2" t="s">
        <v>1048</v>
      </c>
      <c r="BK50" s="2">
        <v>1E-4</v>
      </c>
      <c r="BL50" s="3">
        <v>0.91996320147194111</v>
      </c>
      <c r="BM50" s="3" t="s">
        <v>1048</v>
      </c>
      <c r="BN50" s="3">
        <v>3.0833333333333334E-2</v>
      </c>
    </row>
    <row r="51" spans="1:66" ht="15" customHeight="1" x14ac:dyDescent="0.3">
      <c r="A51" s="2" t="s">
        <v>235</v>
      </c>
      <c r="B51" s="2"/>
      <c r="C51" s="2" t="s">
        <v>875</v>
      </c>
      <c r="D51" s="15">
        <v>52.381999999999998</v>
      </c>
      <c r="E51" s="15">
        <v>-113.387</v>
      </c>
      <c r="F51" s="2" t="s">
        <v>13</v>
      </c>
      <c r="G51" s="14" t="s">
        <v>384</v>
      </c>
      <c r="H51" s="2"/>
      <c r="I51" s="2"/>
      <c r="J51" s="16">
        <v>732.70167839740122</v>
      </c>
      <c r="K51" s="16" t="s">
        <v>1048</v>
      </c>
      <c r="L51" s="15" t="s">
        <v>1051</v>
      </c>
      <c r="M51"/>
      <c r="N51"/>
      <c r="O51" s="3"/>
      <c r="P51" s="3"/>
      <c r="Q51" s="2"/>
      <c r="R51" s="2"/>
      <c r="S51" s="3">
        <v>3.9</v>
      </c>
      <c r="T51" s="2" t="s">
        <v>79</v>
      </c>
      <c r="U51" s="3" t="s">
        <v>876</v>
      </c>
      <c r="V51" s="16" t="s">
        <v>401</v>
      </c>
      <c r="W51" s="3">
        <v>75</v>
      </c>
      <c r="X51" s="3" t="s">
        <v>22</v>
      </c>
      <c r="Y51" s="3" t="s">
        <v>878</v>
      </c>
      <c r="Z51" s="2">
        <v>81</v>
      </c>
      <c r="AA51" s="2" t="s">
        <v>877</v>
      </c>
      <c r="AB51" s="16"/>
      <c r="AC51"/>
      <c r="AD51" s="16"/>
      <c r="AE51"/>
      <c r="AF51"/>
      <c r="AG51" s="16"/>
      <c r="AH51" s="3"/>
      <c r="AI51"/>
      <c r="AJ51"/>
      <c r="AK51" s="17"/>
      <c r="AL51"/>
      <c r="AM51"/>
      <c r="AN51"/>
      <c r="AO51"/>
      <c r="AP51"/>
      <c r="AQ51" s="2"/>
      <c r="AR51"/>
      <c r="AS51" s="17"/>
      <c r="AT51"/>
      <c r="AU51"/>
      <c r="AV51"/>
      <c r="AW51"/>
      <c r="AX51" s="16" t="s">
        <v>1048</v>
      </c>
      <c r="AY51" s="16"/>
      <c r="AZ51"/>
      <c r="BA51"/>
      <c r="BB51"/>
      <c r="BC51"/>
      <c r="BD51"/>
      <c r="BE51"/>
      <c r="BF51"/>
      <c r="BG51" s="2" t="s">
        <v>1048</v>
      </c>
      <c r="BH51" s="16" t="s">
        <v>1048</v>
      </c>
      <c r="BI51" s="16">
        <v>187.87222523010288</v>
      </c>
      <c r="BJ51" s="2" t="s">
        <v>1048</v>
      </c>
      <c r="BK51" s="2">
        <v>1E-4</v>
      </c>
      <c r="BL51" s="3">
        <v>1.0469999999999999</v>
      </c>
      <c r="BM51" s="3" t="s">
        <v>1048</v>
      </c>
      <c r="BN51" s="3">
        <v>7.5000000000000006E-3</v>
      </c>
    </row>
    <row r="52" spans="1:66" ht="15" customHeight="1" x14ac:dyDescent="0.3">
      <c r="A52" s="2" t="s">
        <v>412</v>
      </c>
      <c r="B52" s="2"/>
      <c r="C52" s="2" t="s">
        <v>413</v>
      </c>
      <c r="D52" s="15">
        <v>11.34</v>
      </c>
      <c r="E52" s="15">
        <v>-7.96</v>
      </c>
      <c r="F52" s="2" t="s">
        <v>101</v>
      </c>
      <c r="G52" s="14" t="s">
        <v>101</v>
      </c>
      <c r="H52" s="2"/>
      <c r="I52" s="2"/>
      <c r="J52" s="16">
        <v>729.30388219544852</v>
      </c>
      <c r="K52" s="16">
        <v>364.6519410977242</v>
      </c>
      <c r="L52" s="2" t="s">
        <v>73</v>
      </c>
      <c r="M52" s="2" t="s">
        <v>73</v>
      </c>
      <c r="N52" s="2">
        <v>152</v>
      </c>
      <c r="O52" s="3">
        <v>18.213601352620699</v>
      </c>
      <c r="P52" s="3">
        <v>20.237460078902874</v>
      </c>
      <c r="Q52" s="2" t="s">
        <v>1403</v>
      </c>
      <c r="R52" s="2">
        <v>4</v>
      </c>
      <c r="S52" s="3">
        <v>1.57</v>
      </c>
      <c r="T52" s="2" t="s">
        <v>424</v>
      </c>
      <c r="U52" s="3" t="s">
        <v>425</v>
      </c>
      <c r="V52" s="16" t="s">
        <v>426</v>
      </c>
      <c r="W52" s="3">
        <v>1.45</v>
      </c>
      <c r="X52" s="2" t="s">
        <v>117</v>
      </c>
      <c r="Y52" s="3" t="s">
        <v>427</v>
      </c>
      <c r="Z52" s="2">
        <v>13</v>
      </c>
      <c r="AA52" s="2" t="s">
        <v>49</v>
      </c>
      <c r="AB52" s="16">
        <v>785000</v>
      </c>
      <c r="AC52" s="2" t="s">
        <v>421</v>
      </c>
      <c r="AD52" s="3" t="s">
        <v>422</v>
      </c>
      <c r="AE52" s="2">
        <v>1.51</v>
      </c>
      <c r="AF52" s="2" t="s">
        <v>420</v>
      </c>
      <c r="AG52" s="3" t="s">
        <v>423</v>
      </c>
      <c r="AH52" s="2">
        <v>0</v>
      </c>
      <c r="AI52">
        <v>13</v>
      </c>
      <c r="AJ52" s="2" t="s">
        <v>49</v>
      </c>
      <c r="AK52" s="17">
        <v>312</v>
      </c>
      <c r="AL52" s="2" t="s">
        <v>326</v>
      </c>
      <c r="AM52" s="2" t="s">
        <v>121</v>
      </c>
      <c r="AN52" s="27">
        <v>0.06</v>
      </c>
      <c r="AO52" s="18" t="s">
        <v>47</v>
      </c>
      <c r="AP52" s="2" t="s">
        <v>429</v>
      </c>
      <c r="AQ52" s="2">
        <v>13</v>
      </c>
      <c r="AR52" s="2" t="s">
        <v>428</v>
      </c>
      <c r="AS52" s="17">
        <v>255</v>
      </c>
      <c r="AT52" s="2" t="s">
        <v>88</v>
      </c>
      <c r="AU52" s="2" t="s">
        <v>431</v>
      </c>
      <c r="AV52">
        <v>13</v>
      </c>
      <c r="AW52" s="2" t="s">
        <v>430</v>
      </c>
      <c r="AX52" s="16">
        <v>14.102971887550201</v>
      </c>
      <c r="AY52" s="16">
        <f>506000*0.06</f>
        <v>30360</v>
      </c>
      <c r="AZ52" s="2" t="s">
        <v>416</v>
      </c>
      <c r="BA52" s="2" t="s">
        <v>417</v>
      </c>
      <c r="BB52" s="2"/>
      <c r="BC52" s="2" t="s">
        <v>419</v>
      </c>
      <c r="BD52">
        <v>13</v>
      </c>
      <c r="BE52" s="2" t="s">
        <v>418</v>
      </c>
      <c r="BF52"/>
      <c r="BG52" s="16">
        <v>4.64524765729585E-4</v>
      </c>
      <c r="BH52" s="16">
        <v>4.64524765729585E-4</v>
      </c>
      <c r="BI52" s="16">
        <v>464.524765729585</v>
      </c>
      <c r="BJ52" s="28">
        <v>0.46452476572958501</v>
      </c>
      <c r="BK52" s="28">
        <v>0.46452476572958501</v>
      </c>
      <c r="BL52" s="3">
        <v>1.0469999999999999</v>
      </c>
      <c r="BM52" s="3">
        <v>0.70143239625167342</v>
      </c>
      <c r="BN52" s="3">
        <v>0.67356091030789822</v>
      </c>
    </row>
    <row r="53" spans="1:66" ht="15" customHeight="1" x14ac:dyDescent="0.3">
      <c r="A53" s="2" t="s">
        <v>235</v>
      </c>
      <c r="B53" s="2"/>
      <c r="C53" s="2" t="s">
        <v>879</v>
      </c>
      <c r="D53" s="15">
        <v>53.55</v>
      </c>
      <c r="E53" s="15">
        <v>-73.930000000000007</v>
      </c>
      <c r="F53" s="2" t="s">
        <v>101</v>
      </c>
      <c r="G53" s="14" t="s">
        <v>101</v>
      </c>
      <c r="H53" s="2"/>
      <c r="I53" s="2"/>
      <c r="J53" s="16">
        <v>720.01338688085673</v>
      </c>
      <c r="K53" s="16" t="s">
        <v>1048</v>
      </c>
      <c r="L53" s="15" t="s">
        <v>1051</v>
      </c>
      <c r="M53"/>
      <c r="N53"/>
      <c r="O53" s="3"/>
      <c r="P53" s="3"/>
      <c r="Q53" s="2"/>
      <c r="R53" s="2"/>
      <c r="S53" s="3">
        <v>1.55</v>
      </c>
      <c r="T53" s="2" t="s">
        <v>139</v>
      </c>
      <c r="U53" s="3" t="s">
        <v>880</v>
      </c>
      <c r="V53" s="16" t="s">
        <v>401</v>
      </c>
      <c r="W53" s="3">
        <v>1.42</v>
      </c>
      <c r="X53" s="2" t="s">
        <v>117</v>
      </c>
      <c r="Y53" s="30" t="s">
        <v>882</v>
      </c>
      <c r="Z53" s="2">
        <v>80</v>
      </c>
      <c r="AA53" s="2" t="s">
        <v>881</v>
      </c>
      <c r="AB53" s="16"/>
      <c r="AC53"/>
      <c r="AD53" s="16"/>
      <c r="AE53"/>
      <c r="AF53"/>
      <c r="AG53" s="16"/>
      <c r="AH53" s="3"/>
      <c r="AI53"/>
      <c r="AJ53"/>
      <c r="AK53" s="17"/>
      <c r="AL53"/>
      <c r="AM53"/>
      <c r="AN53"/>
      <c r="AO53"/>
      <c r="AP53"/>
      <c r="AQ53" s="2"/>
      <c r="AR53"/>
      <c r="AS53" s="17"/>
      <c r="AT53"/>
      <c r="AU53"/>
      <c r="AV53"/>
      <c r="AW53"/>
      <c r="AX53" s="16" t="s">
        <v>1048</v>
      </c>
      <c r="AY53" s="16"/>
      <c r="AZ53"/>
      <c r="BA53"/>
      <c r="BB53"/>
      <c r="BC53"/>
      <c r="BD53"/>
      <c r="BE53"/>
      <c r="BF53"/>
      <c r="BG53" s="2" t="s">
        <v>1048</v>
      </c>
      <c r="BH53" s="16" t="s">
        <v>1048</v>
      </c>
      <c r="BI53" s="16">
        <v>464.524765729585</v>
      </c>
      <c r="BJ53" s="2" t="s">
        <v>1048</v>
      </c>
      <c r="BK53" s="28">
        <v>0.46452476572958501</v>
      </c>
      <c r="BL53" s="3">
        <v>0.91996320147194111</v>
      </c>
      <c r="BM53" s="3" t="s">
        <v>1048</v>
      </c>
      <c r="BN53" s="3">
        <v>0.65962516733601073</v>
      </c>
    </row>
    <row r="54" spans="1:66" ht="15" customHeight="1" x14ac:dyDescent="0.3">
      <c r="A54" s="2" t="s">
        <v>17</v>
      </c>
      <c r="B54" s="30"/>
      <c r="C54" s="30" t="s">
        <v>949</v>
      </c>
      <c r="D54" s="14">
        <v>-19.91</v>
      </c>
      <c r="E54" s="39">
        <v>-68.59</v>
      </c>
      <c r="F54" s="2" t="s">
        <v>13</v>
      </c>
      <c r="G54" s="14" t="s">
        <v>13</v>
      </c>
      <c r="H54" s="2"/>
      <c r="I54" s="2"/>
      <c r="J54" s="16">
        <v>669.09002165674076</v>
      </c>
      <c r="K54" s="16" t="s">
        <v>1048</v>
      </c>
      <c r="L54" s="15" t="s">
        <v>1051</v>
      </c>
      <c r="M54"/>
      <c r="N54"/>
      <c r="O54" s="3"/>
      <c r="P54" s="3"/>
      <c r="Q54" s="2"/>
      <c r="R54" s="2"/>
      <c r="S54" s="16">
        <v>3561410</v>
      </c>
      <c r="T54" s="2" t="s">
        <v>725</v>
      </c>
      <c r="U54" s="16" t="s">
        <v>950</v>
      </c>
      <c r="V54" s="16"/>
      <c r="W54" s="3">
        <v>322</v>
      </c>
      <c r="X54" s="17" t="s">
        <v>78</v>
      </c>
      <c r="Y54" s="16" t="s">
        <v>951</v>
      </c>
      <c r="Z54" s="2">
        <v>89</v>
      </c>
      <c r="AA54" s="2" t="s">
        <v>110</v>
      </c>
      <c r="AB54" s="16"/>
      <c r="AC54"/>
      <c r="AD54" s="16"/>
      <c r="AE54"/>
      <c r="AF54"/>
      <c r="AG54" s="16"/>
      <c r="AH54" s="16"/>
      <c r="AI54"/>
      <c r="AJ54"/>
      <c r="AK54" s="17"/>
      <c r="AL54"/>
      <c r="AM54"/>
      <c r="AN54"/>
      <c r="AO54"/>
      <c r="AP54"/>
      <c r="AQ54" s="2"/>
      <c r="AR54"/>
      <c r="AS54" s="17"/>
      <c r="AT54"/>
      <c r="AU54"/>
      <c r="AV54"/>
      <c r="AW54"/>
      <c r="AX54" s="16" t="s">
        <v>1048</v>
      </c>
      <c r="AY54" s="16"/>
      <c r="AZ54"/>
      <c r="BA54"/>
      <c r="BB54"/>
      <c r="BC54"/>
      <c r="BD54"/>
      <c r="BE54"/>
      <c r="BF54"/>
      <c r="BG54" s="2" t="s">
        <v>1048</v>
      </c>
      <c r="BH54" s="16" t="s">
        <v>1048</v>
      </c>
      <c r="BI54" s="16">
        <v>1.8787222523010289E-4</v>
      </c>
      <c r="BJ54" s="2" t="s">
        <v>1048</v>
      </c>
      <c r="BK54" s="2">
        <v>1E-4</v>
      </c>
      <c r="BL54" s="3" t="s">
        <v>1048</v>
      </c>
      <c r="BM54" s="3" t="s">
        <v>1048</v>
      </c>
      <c r="BN54" s="3">
        <v>3.2199999999999999E-2</v>
      </c>
    </row>
    <row r="55" spans="1:66" ht="15" customHeight="1" x14ac:dyDescent="0.3">
      <c r="A55" s="2" t="s">
        <v>52</v>
      </c>
      <c r="B55" s="2"/>
      <c r="C55" s="2" t="s">
        <v>404</v>
      </c>
      <c r="D55" s="15">
        <v>-24.71</v>
      </c>
      <c r="E55" s="15">
        <v>-66.819999999999993</v>
      </c>
      <c r="F55" s="2" t="s">
        <v>13</v>
      </c>
      <c r="G55" s="14" t="s">
        <v>13</v>
      </c>
      <c r="H55" s="2"/>
      <c r="I55" s="2"/>
      <c r="J55" s="16">
        <v>667.78499999999997</v>
      </c>
      <c r="K55" s="16" t="s">
        <v>1048</v>
      </c>
      <c r="L55" s="2" t="s">
        <v>73</v>
      </c>
      <c r="M55" s="2" t="s">
        <v>73</v>
      </c>
      <c r="N55" s="2">
        <v>153</v>
      </c>
      <c r="O55" s="3">
        <v>3.7572797294758593</v>
      </c>
      <c r="P55" s="3">
        <v>9.3931993236896485</v>
      </c>
      <c r="Q55" s="2" t="s">
        <v>1404</v>
      </c>
      <c r="R55" s="2">
        <v>4</v>
      </c>
      <c r="S55" s="16">
        <f>180000+135000+118600+168090+8335+57760</f>
        <v>667785</v>
      </c>
      <c r="T55" s="2" t="s">
        <v>407</v>
      </c>
      <c r="U55" s="34" t="s">
        <v>408</v>
      </c>
      <c r="V55"/>
      <c r="W55" s="16">
        <f>(464*176.425+505*315+518*118.6+467*57.76)/(176.425+315+118.6+57.76)</f>
        <v>493.19005368494351</v>
      </c>
      <c r="X55" s="3" t="s">
        <v>22</v>
      </c>
      <c r="Y55" s="3" t="s">
        <v>410</v>
      </c>
      <c r="Z55" s="2">
        <v>47</v>
      </c>
      <c r="AA55" s="2" t="s">
        <v>409</v>
      </c>
      <c r="AB55" s="16"/>
      <c r="AC55"/>
      <c r="AD55"/>
      <c r="AE55"/>
      <c r="AF55" s="2"/>
      <c r="AG55" s="16"/>
      <c r="AH55" s="2"/>
      <c r="AI55"/>
      <c r="AJ55" s="2"/>
      <c r="AK55" s="17">
        <v>2994</v>
      </c>
      <c r="AL55" s="18" t="s">
        <v>10</v>
      </c>
      <c r="AM55" s="18" t="s">
        <v>31</v>
      </c>
      <c r="AN55" s="2"/>
      <c r="AO55" s="18" t="s">
        <v>47</v>
      </c>
      <c r="AP55" s="2" t="s">
        <v>66</v>
      </c>
      <c r="AQ55" s="2">
        <v>47</v>
      </c>
      <c r="AR55" s="2" t="s">
        <v>411</v>
      </c>
      <c r="AS55" s="17">
        <v>337.7</v>
      </c>
      <c r="AT55" s="2" t="s">
        <v>88</v>
      </c>
      <c r="AU55" s="2" t="s">
        <v>123</v>
      </c>
      <c r="AV55">
        <v>47</v>
      </c>
      <c r="AW55" s="2" t="s">
        <v>411</v>
      </c>
      <c r="AX55" s="16" t="s">
        <v>1048</v>
      </c>
      <c r="AY55" s="16"/>
      <c r="AZ55"/>
      <c r="BA55"/>
      <c r="BB55"/>
      <c r="BC55"/>
      <c r="BD55"/>
      <c r="BE55"/>
      <c r="BF55"/>
      <c r="BG55" s="2" t="s">
        <v>1048</v>
      </c>
      <c r="BH55" s="16" t="s">
        <v>1048</v>
      </c>
      <c r="BI55" s="16">
        <v>1E-3</v>
      </c>
      <c r="BJ55" s="2" t="s">
        <v>1048</v>
      </c>
      <c r="BK55" s="2">
        <v>1E-4</v>
      </c>
      <c r="BL55" s="3">
        <v>1.1183216399999998</v>
      </c>
      <c r="BM55" s="3" t="s">
        <v>1048</v>
      </c>
      <c r="BN55" s="3">
        <v>4.9319005368494352E-2</v>
      </c>
    </row>
    <row r="56" spans="1:66" ht="15" customHeight="1" x14ac:dyDescent="0.3">
      <c r="A56" s="2" t="s">
        <v>235</v>
      </c>
      <c r="B56" s="2"/>
      <c r="C56" s="2" t="s">
        <v>383</v>
      </c>
      <c r="D56" s="15">
        <v>54.363</v>
      </c>
      <c r="E56" s="15">
        <v>-116.562</v>
      </c>
      <c r="F56" s="2" t="s">
        <v>13</v>
      </c>
      <c r="G56" s="14" t="s">
        <v>384</v>
      </c>
      <c r="H56" s="2"/>
      <c r="I56" s="2"/>
      <c r="J56" s="16">
        <v>594.86396000000002</v>
      </c>
      <c r="K56" s="16" t="s">
        <v>1048</v>
      </c>
      <c r="L56" s="15" t="s">
        <v>1051</v>
      </c>
      <c r="M56" s="2"/>
      <c r="N56" s="2"/>
      <c r="O56" s="3"/>
      <c r="P56" s="3"/>
      <c r="Q56" s="2"/>
      <c r="R56" s="2"/>
      <c r="S56" s="16">
        <f t="shared" ref="S56:S57" si="0">+J56/1000</f>
        <v>0.59486395999999997</v>
      </c>
      <c r="T56" t="s">
        <v>1452</v>
      </c>
      <c r="U56" s="16"/>
      <c r="V56" s="16"/>
      <c r="W56" s="3"/>
      <c r="X56" s="3"/>
      <c r="Y56" s="3"/>
      <c r="Z56" s="2">
        <v>2</v>
      </c>
      <c r="AA56"/>
      <c r="AB56" s="16"/>
      <c r="AC56"/>
      <c r="AD56" s="16"/>
      <c r="AE56"/>
      <c r="AF56"/>
      <c r="AG56" s="16"/>
      <c r="AH56" s="2"/>
      <c r="AI56"/>
      <c r="AJ56"/>
      <c r="AK56" s="17"/>
      <c r="AL56"/>
      <c r="AM56"/>
      <c r="AN56"/>
      <c r="AO56"/>
      <c r="AP56"/>
      <c r="AQ56" s="2"/>
      <c r="AR56"/>
      <c r="AS56" s="17"/>
      <c r="AT56"/>
      <c r="AU56"/>
      <c r="AV56"/>
      <c r="AW56"/>
      <c r="AX56" s="16" t="s">
        <v>1048</v>
      </c>
      <c r="AY56" s="16"/>
      <c r="AZ56"/>
      <c r="BA56"/>
      <c r="BB56"/>
      <c r="BC56"/>
      <c r="BD56"/>
      <c r="BE56"/>
      <c r="BF56"/>
      <c r="BG56" s="2" t="s">
        <v>1048</v>
      </c>
      <c r="BH56" s="16" t="s">
        <v>1048</v>
      </c>
      <c r="BI56" s="2">
        <v>1</v>
      </c>
      <c r="BJ56" s="2" t="s">
        <v>1048</v>
      </c>
      <c r="BK56" s="2" t="s">
        <v>1048</v>
      </c>
      <c r="BL56" s="3" t="s">
        <v>1048</v>
      </c>
      <c r="BM56" s="3" t="s">
        <v>1048</v>
      </c>
      <c r="BN56" s="3" t="s">
        <v>1048</v>
      </c>
    </row>
    <row r="57" spans="1:66" ht="15" customHeight="1" x14ac:dyDescent="0.3">
      <c r="A57" s="2" t="s">
        <v>69</v>
      </c>
      <c r="B57" s="29" t="s">
        <v>391</v>
      </c>
      <c r="C57" s="2" t="s">
        <v>392</v>
      </c>
      <c r="D57" s="15">
        <v>33.177999999999997</v>
      </c>
      <c r="E57" s="15">
        <v>-92.72</v>
      </c>
      <c r="F57" s="2" t="s">
        <v>13</v>
      </c>
      <c r="G57" s="14" t="s">
        <v>384</v>
      </c>
      <c r="H57" s="2" t="s">
        <v>1045</v>
      </c>
      <c r="I57" s="2">
        <v>1</v>
      </c>
      <c r="J57" s="16">
        <v>590.32000000000005</v>
      </c>
      <c r="K57" s="16" t="s">
        <v>1048</v>
      </c>
      <c r="L57" s="15" t="s">
        <v>1051</v>
      </c>
      <c r="M57"/>
      <c r="N57"/>
      <c r="O57" s="3">
        <v>1.570542926920909</v>
      </c>
      <c r="P57" s="3">
        <v>3.9263573173022728</v>
      </c>
      <c r="Q57" s="2" t="s">
        <v>1404</v>
      </c>
      <c r="R57" s="2">
        <v>4</v>
      </c>
      <c r="S57" s="16">
        <f t="shared" si="0"/>
        <v>0.59032000000000007</v>
      </c>
      <c r="T57" t="s">
        <v>1452</v>
      </c>
      <c r="U57" s="16"/>
      <c r="V57" s="16"/>
      <c r="W57" s="3"/>
      <c r="X57" s="3"/>
      <c r="Y57" s="3"/>
      <c r="Z57" s="2">
        <v>2</v>
      </c>
      <c r="AA57"/>
      <c r="AB57" s="16"/>
      <c r="AC57"/>
      <c r="AD57" s="16"/>
      <c r="AE57"/>
      <c r="AF57"/>
      <c r="AG57" s="16"/>
      <c r="AH57" s="2"/>
      <c r="AI57"/>
      <c r="AJ57"/>
      <c r="AK57" s="17"/>
      <c r="AL57"/>
      <c r="AM57"/>
      <c r="AN57"/>
      <c r="AO57"/>
      <c r="AP57"/>
      <c r="AQ57" s="2"/>
      <c r="AR57"/>
      <c r="AS57" s="17"/>
      <c r="AT57"/>
      <c r="AU57"/>
      <c r="AV57"/>
      <c r="AW57"/>
      <c r="AX57" s="16" t="s">
        <v>1048</v>
      </c>
      <c r="AY57" s="16"/>
      <c r="AZ57"/>
      <c r="BA57"/>
      <c r="BB57"/>
      <c r="BC57"/>
      <c r="BD57"/>
      <c r="BE57"/>
      <c r="BF57"/>
      <c r="BG57" s="2" t="s">
        <v>1048</v>
      </c>
      <c r="BH57" s="16" t="s">
        <v>1048</v>
      </c>
      <c r="BI57" s="2">
        <v>1</v>
      </c>
      <c r="BJ57" s="2" t="s">
        <v>1048</v>
      </c>
      <c r="BK57" s="2" t="s">
        <v>1048</v>
      </c>
      <c r="BL57" s="3" t="s">
        <v>1048</v>
      </c>
      <c r="BM57" s="3" t="s">
        <v>1048</v>
      </c>
      <c r="BN57" s="3" t="s">
        <v>1048</v>
      </c>
    </row>
    <row r="58" spans="1:66" ht="15" customHeight="1" x14ac:dyDescent="0.3">
      <c r="A58" s="2" t="s">
        <v>17</v>
      </c>
      <c r="B58" s="2"/>
      <c r="C58" s="2" t="s">
        <v>149</v>
      </c>
      <c r="D58" s="15">
        <v>-26.92</v>
      </c>
      <c r="E58" s="15">
        <v>-69.069999999999993</v>
      </c>
      <c r="F58" s="2" t="s">
        <v>13</v>
      </c>
      <c r="G58" s="14" t="s">
        <v>13</v>
      </c>
      <c r="H58" s="2"/>
      <c r="I58" s="2"/>
      <c r="J58" s="16">
        <v>542</v>
      </c>
      <c r="K58" s="16">
        <v>90</v>
      </c>
      <c r="L58" s="15" t="s">
        <v>1052</v>
      </c>
      <c r="M58" s="2" t="s">
        <v>150</v>
      </c>
      <c r="N58" s="2">
        <v>154</v>
      </c>
      <c r="O58" s="3">
        <v>1.1422130377606612</v>
      </c>
      <c r="P58" s="3">
        <v>2.5699793349614874</v>
      </c>
      <c r="Q58" s="2" t="s">
        <v>1401</v>
      </c>
      <c r="R58" s="2">
        <v>4</v>
      </c>
      <c r="S58" s="16">
        <f>154500+203500+184000</f>
        <v>542000</v>
      </c>
      <c r="T58" s="2" t="s">
        <v>156</v>
      </c>
      <c r="U58" s="16" t="s">
        <v>159</v>
      </c>
      <c r="V58" s="16" t="s">
        <v>161</v>
      </c>
      <c r="W58" s="3">
        <v>953</v>
      </c>
      <c r="X58" s="3" t="s">
        <v>22</v>
      </c>
      <c r="Y58" s="3" t="s">
        <v>162</v>
      </c>
      <c r="Z58" s="2">
        <v>26</v>
      </c>
      <c r="AA58" s="2" t="s">
        <v>160</v>
      </c>
      <c r="AB58" s="16">
        <v>90000</v>
      </c>
      <c r="AC58" s="2" t="s">
        <v>156</v>
      </c>
      <c r="AD58" s="16" t="s">
        <v>157</v>
      </c>
      <c r="AE58" s="2">
        <v>976</v>
      </c>
      <c r="AF58" s="2" t="s">
        <v>154</v>
      </c>
      <c r="AG58" s="16" t="s">
        <v>158</v>
      </c>
      <c r="AH58" s="16"/>
      <c r="AI58">
        <v>26</v>
      </c>
      <c r="AJ58" s="2" t="s">
        <v>155</v>
      </c>
      <c r="AK58" s="23">
        <v>3864</v>
      </c>
      <c r="AL58" s="18" t="s">
        <v>10</v>
      </c>
      <c r="AM58" s="18" t="s">
        <v>31</v>
      </c>
      <c r="AN58" s="18"/>
      <c r="AO58" s="18" t="s">
        <v>47</v>
      </c>
      <c r="AP58" s="2" t="s">
        <v>164</v>
      </c>
      <c r="AQ58" s="2">
        <v>26</v>
      </c>
      <c r="AR58" s="2" t="s">
        <v>163</v>
      </c>
      <c r="AS58" s="17">
        <v>626.37199999999996</v>
      </c>
      <c r="AT58" s="2" t="s">
        <v>88</v>
      </c>
      <c r="AU58" s="2" t="s">
        <v>166</v>
      </c>
      <c r="AV58">
        <v>26</v>
      </c>
      <c r="AW58" s="2" t="s">
        <v>165</v>
      </c>
      <c r="AX58" s="16">
        <v>2.8556578234975638</v>
      </c>
      <c r="AY58" s="16">
        <v>15200</v>
      </c>
      <c r="AZ58" s="2" t="s">
        <v>36</v>
      </c>
      <c r="BA58"/>
      <c r="BB58" s="2" t="s">
        <v>153</v>
      </c>
      <c r="BC58" s="2">
        <v>20</v>
      </c>
      <c r="BD58">
        <v>26</v>
      </c>
      <c r="BE58" s="2" t="s">
        <v>152</v>
      </c>
      <c r="BF58"/>
      <c r="BG58" s="21">
        <v>1.8787222523010289E-4</v>
      </c>
      <c r="BH58" s="16">
        <v>1E-3</v>
      </c>
      <c r="BI58" s="16">
        <v>1E-3</v>
      </c>
      <c r="BJ58" s="2">
        <v>1E-4</v>
      </c>
      <c r="BK58" s="2">
        <v>1E-4</v>
      </c>
      <c r="BL58" s="3">
        <v>1.0805039999999999</v>
      </c>
      <c r="BM58" s="3">
        <v>9.7600000000000006E-2</v>
      </c>
      <c r="BN58" s="3">
        <v>9.530000000000001E-2</v>
      </c>
    </row>
    <row r="59" spans="1:66" ht="15" customHeight="1" x14ac:dyDescent="0.3">
      <c r="A59" s="2" t="s">
        <v>69</v>
      </c>
      <c r="B59" s="29" t="s">
        <v>442</v>
      </c>
      <c r="C59" s="2" t="s">
        <v>443</v>
      </c>
      <c r="D59" s="14">
        <v>35.22</v>
      </c>
      <c r="E59" s="14">
        <v>-81.349999999999994</v>
      </c>
      <c r="F59" s="2" t="s">
        <v>101</v>
      </c>
      <c r="G59" s="14" t="s">
        <v>101</v>
      </c>
      <c r="H59" s="2"/>
      <c r="I59" s="2"/>
      <c r="J59" s="16">
        <v>516.98735662650608</v>
      </c>
      <c r="K59" s="16" t="s">
        <v>1048</v>
      </c>
      <c r="L59" s="15" t="s">
        <v>1051</v>
      </c>
      <c r="M59"/>
      <c r="N59"/>
      <c r="O59" s="3"/>
      <c r="P59" s="3"/>
      <c r="Q59" s="2" t="s">
        <v>1402</v>
      </c>
      <c r="R59" s="2">
        <v>4</v>
      </c>
      <c r="S59" s="16">
        <f>46816*0.0137+42869*0.011</f>
        <v>1112.9382000000001</v>
      </c>
      <c r="T59" s="2" t="s">
        <v>446</v>
      </c>
      <c r="U59" s="2" t="s">
        <v>447</v>
      </c>
      <c r="V59" s="2" t="s">
        <v>448</v>
      </c>
      <c r="W59" s="3">
        <f>(46816*1.37+42869*1.1)/(46816+42869)</f>
        <v>1.240941294530858</v>
      </c>
      <c r="X59" s="2" t="s">
        <v>117</v>
      </c>
      <c r="Y59" s="3" t="s">
        <v>449</v>
      </c>
      <c r="Z59" s="2">
        <v>78</v>
      </c>
      <c r="AA59" s="2" t="s">
        <v>203</v>
      </c>
      <c r="AB59"/>
      <c r="AC59"/>
      <c r="AD59"/>
      <c r="AE59" s="2"/>
      <c r="AF59" s="2"/>
      <c r="AG59"/>
      <c r="AH59" s="2"/>
      <c r="AI59"/>
      <c r="AJ59"/>
      <c r="AK59" s="17"/>
      <c r="AL59"/>
      <c r="AM59"/>
      <c r="AN59"/>
      <c r="AO59"/>
      <c r="AP59"/>
      <c r="AQ59" s="2"/>
      <c r="AR59"/>
      <c r="AS59"/>
      <c r="AT59"/>
      <c r="AU59"/>
      <c r="AV59"/>
      <c r="AW59"/>
      <c r="AX59" s="16">
        <v>9.3936112615051446</v>
      </c>
      <c r="AY59" s="2">
        <v>50000</v>
      </c>
      <c r="AZ59" s="2" t="s">
        <v>36</v>
      </c>
      <c r="BA59"/>
      <c r="BB59" s="2" t="s">
        <v>445</v>
      </c>
      <c r="BC59"/>
      <c r="BD59">
        <v>78</v>
      </c>
      <c r="BE59" s="7" t="s">
        <v>444</v>
      </c>
      <c r="BF59"/>
      <c r="BG59" s="21">
        <v>1.8787222523010289E-4</v>
      </c>
      <c r="BH59" s="16" t="s">
        <v>1048</v>
      </c>
      <c r="BI59" s="16">
        <v>0.46452476572958501</v>
      </c>
      <c r="BJ59" s="2" t="s">
        <v>1048</v>
      </c>
      <c r="BK59" s="28">
        <v>0.46452476572958501</v>
      </c>
      <c r="BL59" s="3">
        <v>1</v>
      </c>
      <c r="BM59" s="3" t="s">
        <v>1048</v>
      </c>
      <c r="BN59" s="3">
        <v>0.57644796412611476</v>
      </c>
    </row>
    <row r="60" spans="1:66" ht="15" customHeight="1" x14ac:dyDescent="0.3">
      <c r="A60" s="2" t="s">
        <v>852</v>
      </c>
      <c r="B60" s="2"/>
      <c r="C60" s="2" t="s">
        <v>853</v>
      </c>
      <c r="D60" s="15">
        <v>46.18</v>
      </c>
      <c r="E60" s="15">
        <v>2.95</v>
      </c>
      <c r="F60" s="2" t="s">
        <v>101</v>
      </c>
      <c r="G60" s="14" t="s">
        <v>101</v>
      </c>
      <c r="H60" s="2"/>
      <c r="I60" s="2"/>
      <c r="J60" s="16">
        <v>510.97724230254352</v>
      </c>
      <c r="K60" s="16" t="s">
        <v>1048</v>
      </c>
      <c r="L60" s="15" t="s">
        <v>1051</v>
      </c>
      <c r="M60"/>
      <c r="N60"/>
      <c r="O60" s="3"/>
      <c r="P60" s="3"/>
      <c r="Q60" s="2"/>
      <c r="R60" s="2"/>
      <c r="S60" s="24">
        <v>1.1000000000000001</v>
      </c>
      <c r="T60" s="2" t="s">
        <v>827</v>
      </c>
      <c r="U60" s="16" t="s">
        <v>465</v>
      </c>
      <c r="V60" s="16" t="s">
        <v>856</v>
      </c>
      <c r="W60" s="3">
        <v>0.9</v>
      </c>
      <c r="X60" s="3" t="s">
        <v>117</v>
      </c>
      <c r="Y60" s="3"/>
      <c r="Z60" s="2">
        <v>106</v>
      </c>
      <c r="AA60" s="2" t="s">
        <v>15</v>
      </c>
      <c r="AB60" s="16"/>
      <c r="AC60"/>
      <c r="AD60" s="16"/>
      <c r="AE60"/>
      <c r="AF60"/>
      <c r="AG60" s="16"/>
      <c r="AH60" s="16"/>
      <c r="AI60"/>
      <c r="AJ60"/>
      <c r="AK60" s="17"/>
      <c r="AL60"/>
      <c r="AM60"/>
      <c r="AN60"/>
      <c r="AO60"/>
      <c r="AP60"/>
      <c r="AQ60" s="2"/>
      <c r="AR60"/>
      <c r="AS60" s="17"/>
      <c r="AT60"/>
      <c r="AU60"/>
      <c r="AV60"/>
      <c r="AW60"/>
      <c r="AX60" s="16">
        <v>5.6261325703385801</v>
      </c>
      <c r="AY60" s="16">
        <v>34000</v>
      </c>
      <c r="AZ60" s="2" t="s">
        <v>854</v>
      </c>
      <c r="BA60" s="2" t="s">
        <v>855</v>
      </c>
      <c r="BB60" s="2">
        <v>2028</v>
      </c>
      <c r="BC60" s="2">
        <v>25</v>
      </c>
      <c r="BD60">
        <v>106</v>
      </c>
      <c r="BE60" s="2" t="s">
        <v>15</v>
      </c>
      <c r="BF60"/>
      <c r="BG60" s="16">
        <v>1.6547448736289942E-4</v>
      </c>
      <c r="BH60" s="16" t="s">
        <v>1048</v>
      </c>
      <c r="BI60" s="16">
        <v>464.524765729585</v>
      </c>
      <c r="BJ60" s="2" t="s">
        <v>1048</v>
      </c>
      <c r="BK60" s="28">
        <v>0.46452476572958501</v>
      </c>
      <c r="BL60" s="3">
        <v>1</v>
      </c>
      <c r="BM60" s="3" t="s">
        <v>1048</v>
      </c>
      <c r="BN60" s="3">
        <v>0.41807228915662653</v>
      </c>
    </row>
    <row r="61" spans="1:66" ht="15" customHeight="1" x14ac:dyDescent="0.3">
      <c r="A61" s="2" t="s">
        <v>235</v>
      </c>
      <c r="B61" s="2"/>
      <c r="C61" s="2" t="s">
        <v>451</v>
      </c>
      <c r="D61" s="15">
        <v>48.41</v>
      </c>
      <c r="E61" s="15">
        <v>-77.81</v>
      </c>
      <c r="F61" s="2" t="s">
        <v>101</v>
      </c>
      <c r="G61" s="14" t="s">
        <v>101</v>
      </c>
      <c r="H61" s="2"/>
      <c r="I61" s="2"/>
      <c r="J61" s="16">
        <v>502.15127175368139</v>
      </c>
      <c r="K61" s="16">
        <v>130.20629183400268</v>
      </c>
      <c r="L61" s="15" t="s">
        <v>14</v>
      </c>
      <c r="M61" s="4" t="s">
        <v>14</v>
      </c>
      <c r="N61" s="2">
        <v>4</v>
      </c>
      <c r="O61" s="3">
        <v>5.6359195942137887</v>
      </c>
      <c r="P61" s="3">
        <v>5.6359195942137887</v>
      </c>
      <c r="Q61" s="2" t="s">
        <v>1400</v>
      </c>
      <c r="R61" s="2">
        <v>4</v>
      </c>
      <c r="S61" s="16">
        <v>1081000</v>
      </c>
      <c r="T61" s="2" t="s">
        <v>455</v>
      </c>
      <c r="U61" s="16" t="s">
        <v>456</v>
      </c>
      <c r="V61" s="16" t="s">
        <v>457</v>
      </c>
      <c r="W61" s="3">
        <v>1.06</v>
      </c>
      <c r="X61" s="2" t="s">
        <v>117</v>
      </c>
      <c r="Y61" s="3" t="s">
        <v>458</v>
      </c>
      <c r="Z61" s="2">
        <v>48</v>
      </c>
      <c r="AA61" s="2" t="s">
        <v>28</v>
      </c>
      <c r="AB61" s="24">
        <v>280.3</v>
      </c>
      <c r="AC61" s="2" t="s">
        <v>446</v>
      </c>
      <c r="AD61" s="16" t="s">
        <v>453</v>
      </c>
      <c r="AE61" s="2">
        <v>0.96</v>
      </c>
      <c r="AF61" s="2" t="s">
        <v>117</v>
      </c>
      <c r="AG61" s="16" t="s">
        <v>454</v>
      </c>
      <c r="AH61" s="2">
        <v>0.6</v>
      </c>
      <c r="AI61">
        <v>48</v>
      </c>
      <c r="AJ61" s="2" t="s">
        <v>83</v>
      </c>
      <c r="AK61" s="17">
        <v>385</v>
      </c>
      <c r="AL61" s="2" t="s">
        <v>460</v>
      </c>
      <c r="AM61" s="2" t="s">
        <v>121</v>
      </c>
      <c r="AN61" s="27">
        <v>0.06</v>
      </c>
      <c r="AO61" s="18" t="s">
        <v>47</v>
      </c>
      <c r="AP61" s="2" t="s">
        <v>461</v>
      </c>
      <c r="AQ61" s="2">
        <v>48</v>
      </c>
      <c r="AR61" s="2" t="s">
        <v>459</v>
      </c>
      <c r="AS61" s="25">
        <f>(102+236.4)*69/102</f>
        <v>228.91764705882352</v>
      </c>
      <c r="AT61" s="2" t="s">
        <v>88</v>
      </c>
      <c r="AU61" s="2" t="s">
        <v>463</v>
      </c>
      <c r="AV61">
        <v>48</v>
      </c>
      <c r="AW61" s="2" t="s">
        <v>462</v>
      </c>
      <c r="AX61" s="16">
        <v>4.5504660240963855</v>
      </c>
      <c r="AY61" s="16">
        <f>163266*0.06</f>
        <v>9795.9599999999991</v>
      </c>
      <c r="AZ61" s="2" t="s">
        <v>321</v>
      </c>
      <c r="BA61" s="2" t="s">
        <v>452</v>
      </c>
      <c r="BB61"/>
      <c r="BC61" s="2">
        <v>27</v>
      </c>
      <c r="BD61">
        <v>48</v>
      </c>
      <c r="BE61" s="2" t="s">
        <v>428</v>
      </c>
      <c r="BF61"/>
      <c r="BG61" s="16">
        <v>4.64524765729585E-4</v>
      </c>
      <c r="BH61" s="16">
        <v>0.46452476572958501</v>
      </c>
      <c r="BI61" s="16">
        <v>4.64524765729585E-4</v>
      </c>
      <c r="BJ61" s="28">
        <v>0.46452476572958501</v>
      </c>
      <c r="BK61" s="28">
        <v>0.46452476572958501</v>
      </c>
      <c r="BL61" s="3">
        <v>1</v>
      </c>
      <c r="BM61" s="3">
        <v>0.44594377510040162</v>
      </c>
      <c r="BN61" s="3">
        <v>0.49239625167336015</v>
      </c>
    </row>
    <row r="62" spans="1:66" ht="15" customHeight="1" x14ac:dyDescent="0.3">
      <c r="A62" s="2" t="s">
        <v>369</v>
      </c>
      <c r="B62" s="2"/>
      <c r="C62" s="2" t="s">
        <v>660</v>
      </c>
      <c r="D62" s="15">
        <v>50.736388888888889</v>
      </c>
      <c r="E62" s="15">
        <v>13.765277777777778</v>
      </c>
      <c r="F62" s="2" t="s">
        <v>101</v>
      </c>
      <c r="G62" s="14" t="s">
        <v>101</v>
      </c>
      <c r="H62" s="14"/>
      <c r="I62" s="14"/>
      <c r="J62" s="16">
        <v>500</v>
      </c>
      <c r="K62" s="16" t="s">
        <v>1048</v>
      </c>
      <c r="L62" s="15" t="s">
        <v>1052</v>
      </c>
      <c r="M62" s="2" t="s">
        <v>102</v>
      </c>
      <c r="N62" s="2">
        <v>155</v>
      </c>
      <c r="O62" s="3"/>
      <c r="P62" s="3">
        <v>1.9857223370279917</v>
      </c>
      <c r="Q62" s="2" t="s">
        <v>1405</v>
      </c>
      <c r="R62" s="2">
        <v>4</v>
      </c>
      <c r="S62" s="16">
        <f>39+390+71</f>
        <v>500</v>
      </c>
      <c r="T62" s="2" t="s">
        <v>273</v>
      </c>
      <c r="U62" s="16" t="s">
        <v>662</v>
      </c>
      <c r="V62" s="16" t="s">
        <v>316</v>
      </c>
      <c r="W62" s="3">
        <f>(193.5*0.478+33.3*0.461)/(193.5+33.3)</f>
        <v>0.47550396825396818</v>
      </c>
      <c r="X62" s="2" t="s">
        <v>117</v>
      </c>
      <c r="Y62" s="38" t="s">
        <v>664</v>
      </c>
      <c r="Z62" s="2">
        <v>57</v>
      </c>
      <c r="AA62" s="2" t="s">
        <v>663</v>
      </c>
      <c r="AB62" s="16"/>
      <c r="AC62"/>
      <c r="AD62" s="16"/>
      <c r="AE62"/>
      <c r="AF62"/>
      <c r="AG62" s="16"/>
      <c r="AH62" s="2"/>
      <c r="AI62"/>
      <c r="AJ62"/>
      <c r="AK62" s="17"/>
      <c r="AL62"/>
      <c r="AM62"/>
      <c r="AN62"/>
      <c r="AO62"/>
      <c r="AP62"/>
      <c r="AQ62" s="2"/>
      <c r="AR62"/>
      <c r="AS62" s="17"/>
      <c r="AT62"/>
      <c r="AU62"/>
      <c r="AV62"/>
      <c r="AW62"/>
      <c r="AX62" s="16" t="s">
        <v>1048</v>
      </c>
      <c r="AY62" s="16"/>
      <c r="AZ62"/>
      <c r="BA62"/>
      <c r="BB62"/>
      <c r="BC62"/>
      <c r="BD62"/>
      <c r="BE62"/>
      <c r="BF62"/>
      <c r="BG62" s="2" t="s">
        <v>1048</v>
      </c>
      <c r="BH62" s="16" t="s">
        <v>1048</v>
      </c>
      <c r="BI62" s="16">
        <v>1</v>
      </c>
      <c r="BJ62" s="2" t="s">
        <v>1048</v>
      </c>
      <c r="BK62" s="28">
        <v>0.46452476572958501</v>
      </c>
      <c r="BL62" s="3">
        <v>0.91996320147194111</v>
      </c>
      <c r="BM62" s="3" t="s">
        <v>1048</v>
      </c>
      <c r="BN62" s="3">
        <v>0.22088336945666259</v>
      </c>
    </row>
    <row r="63" spans="1:66" ht="15" customHeight="1" x14ac:dyDescent="0.3">
      <c r="A63" s="2" t="s">
        <v>132</v>
      </c>
      <c r="B63" s="2"/>
      <c r="C63" s="2" t="s">
        <v>637</v>
      </c>
      <c r="D63" s="15">
        <v>-31.08</v>
      </c>
      <c r="E63" s="15">
        <v>121.43</v>
      </c>
      <c r="F63" s="2" t="s">
        <v>101</v>
      </c>
      <c r="G63" s="14" t="s">
        <v>101</v>
      </c>
      <c r="H63" s="14"/>
      <c r="I63" s="14"/>
      <c r="J63" s="16">
        <v>453.48765729585006</v>
      </c>
      <c r="K63" s="16" t="s">
        <v>1048</v>
      </c>
      <c r="L63" s="15" t="s">
        <v>14</v>
      </c>
      <c r="M63" s="2" t="s">
        <v>14</v>
      </c>
      <c r="N63" s="2">
        <v>3</v>
      </c>
      <c r="O63" s="3">
        <v>22.543678376855155</v>
      </c>
      <c r="P63" s="3">
        <v>22.543678376855155</v>
      </c>
      <c r="Q63" s="2" t="s">
        <v>1400</v>
      </c>
      <c r="R63" s="2">
        <v>4</v>
      </c>
      <c r="S63" s="24">
        <f>(22.7*0.0134)+(48.7*0.0138)</f>
        <v>0.97624</v>
      </c>
      <c r="T63" s="2" t="s">
        <v>139</v>
      </c>
      <c r="U63" s="16" t="s">
        <v>639</v>
      </c>
      <c r="V63" s="16" t="s">
        <v>640</v>
      </c>
      <c r="W63" s="3">
        <v>1.37</v>
      </c>
      <c r="X63" s="2" t="s">
        <v>117</v>
      </c>
      <c r="Y63" s="3" t="s">
        <v>641</v>
      </c>
      <c r="Z63" s="2">
        <v>55</v>
      </c>
      <c r="AA63" s="2" t="s">
        <v>15</v>
      </c>
      <c r="AB63" s="16"/>
      <c r="AC63"/>
      <c r="AD63" s="16"/>
      <c r="AE63"/>
      <c r="AF63" s="2"/>
      <c r="AG63" s="16"/>
      <c r="AH63" s="2"/>
      <c r="AI63"/>
      <c r="AJ63"/>
      <c r="AK63" s="17"/>
      <c r="AL63"/>
      <c r="AM63"/>
      <c r="AN63"/>
      <c r="AO63"/>
      <c r="AP63"/>
      <c r="AQ63" s="2"/>
      <c r="AR63"/>
      <c r="AS63" s="17"/>
      <c r="AT63"/>
      <c r="AU63"/>
      <c r="AV63"/>
      <c r="AW63"/>
      <c r="AX63" s="16" t="s">
        <v>1048</v>
      </c>
      <c r="AY63" s="16"/>
      <c r="AZ63"/>
      <c r="BA63"/>
      <c r="BB63"/>
      <c r="BC63"/>
      <c r="BD63"/>
      <c r="BE63"/>
      <c r="BF63"/>
      <c r="BG63" s="2" t="s">
        <v>1048</v>
      </c>
      <c r="BH63" s="16" t="s">
        <v>1048</v>
      </c>
      <c r="BI63" s="16">
        <v>464.524765729585</v>
      </c>
      <c r="BJ63" s="2" t="s">
        <v>1048</v>
      </c>
      <c r="BK63" s="28">
        <v>0.46452476572958501</v>
      </c>
      <c r="BL63" s="3">
        <v>1.1585812190399998</v>
      </c>
      <c r="BM63" s="3" t="s">
        <v>1048</v>
      </c>
      <c r="BN63" s="3">
        <v>0.63639892904953155</v>
      </c>
    </row>
    <row r="64" spans="1:66" ht="15" customHeight="1" x14ac:dyDescent="0.3">
      <c r="A64" s="2" t="s">
        <v>69</v>
      </c>
      <c r="B64" s="2" t="s">
        <v>393</v>
      </c>
      <c r="C64" s="2" t="s">
        <v>394</v>
      </c>
      <c r="D64" s="15">
        <v>40.79</v>
      </c>
      <c r="E64" s="15">
        <v>-112.68</v>
      </c>
      <c r="F64" s="2" t="s">
        <v>13</v>
      </c>
      <c r="G64" s="14" t="s">
        <v>13</v>
      </c>
      <c r="H64" s="2" t="s">
        <v>1045</v>
      </c>
      <c r="I64" s="2">
        <v>1</v>
      </c>
      <c r="J64" s="16">
        <v>439.38900000000001</v>
      </c>
      <c r="K64" s="16" t="s">
        <v>1048</v>
      </c>
      <c r="L64" s="15" t="s">
        <v>1051</v>
      </c>
      <c r="M64"/>
      <c r="N64"/>
      <c r="O64" s="3"/>
      <c r="P64" s="3"/>
      <c r="Q64" s="2"/>
      <c r="R64" s="2"/>
      <c r="S64" s="16">
        <v>439389</v>
      </c>
      <c r="T64" s="2" t="s">
        <v>395</v>
      </c>
      <c r="U64" s="16" t="s">
        <v>396</v>
      </c>
      <c r="V64" s="16" t="s">
        <v>397</v>
      </c>
      <c r="W64" s="3">
        <f>(27+76)/2</f>
        <v>51.5</v>
      </c>
      <c r="X64" s="3" t="s">
        <v>398</v>
      </c>
      <c r="Y64" s="3"/>
      <c r="Z64" s="2">
        <v>112</v>
      </c>
      <c r="AA64" s="2" t="s">
        <v>309</v>
      </c>
      <c r="AB64" s="16"/>
      <c r="AC64"/>
      <c r="AD64" s="16"/>
      <c r="AE64"/>
      <c r="AF64"/>
      <c r="AG64" s="16"/>
      <c r="AH64" s="2"/>
      <c r="AI64"/>
      <c r="AJ64"/>
      <c r="AK64" s="17"/>
      <c r="AL64"/>
      <c r="AM64"/>
      <c r="AN64"/>
      <c r="AO64"/>
      <c r="AP64"/>
      <c r="AQ64" s="2"/>
      <c r="AR64"/>
      <c r="AS64" s="17"/>
      <c r="AT64"/>
      <c r="AU64"/>
      <c r="AV64"/>
      <c r="AW64"/>
      <c r="AX64" s="16" t="s">
        <v>1048</v>
      </c>
      <c r="AY64" s="16"/>
      <c r="AZ64"/>
      <c r="BA64"/>
      <c r="BB64"/>
      <c r="BC64"/>
      <c r="BD64"/>
      <c r="BE64"/>
      <c r="BF64"/>
      <c r="BG64" s="2" t="s">
        <v>1048</v>
      </c>
      <c r="BH64" s="16" t="s">
        <v>1048</v>
      </c>
      <c r="BI64" s="16">
        <v>1E-3</v>
      </c>
      <c r="BJ64" s="2" t="s">
        <v>1048</v>
      </c>
      <c r="BK64" s="2">
        <v>1E-4</v>
      </c>
      <c r="BL64" s="3">
        <v>0.91996320147194111</v>
      </c>
      <c r="BM64" s="3" t="s">
        <v>1048</v>
      </c>
      <c r="BN64" s="3">
        <v>5.1500000000000001E-3</v>
      </c>
    </row>
    <row r="65" spans="1:66" ht="15" customHeight="1" x14ac:dyDescent="0.3">
      <c r="A65" s="2" t="s">
        <v>235</v>
      </c>
      <c r="B65" s="2"/>
      <c r="C65" s="2" t="s">
        <v>862</v>
      </c>
      <c r="D65" s="15">
        <v>51.795999999999999</v>
      </c>
      <c r="E65" s="15">
        <v>-113.88</v>
      </c>
      <c r="F65" s="2" t="s">
        <v>13</v>
      </c>
      <c r="G65" s="14" t="s">
        <v>384</v>
      </c>
      <c r="H65" s="2" t="s">
        <v>1045</v>
      </c>
      <c r="I65" s="2">
        <v>1</v>
      </c>
      <c r="J65" s="16">
        <v>413.3188955062264</v>
      </c>
      <c r="K65" s="16" t="s">
        <v>1048</v>
      </c>
      <c r="L65" s="15" t="s">
        <v>1052</v>
      </c>
      <c r="M65" s="2" t="s">
        <v>256</v>
      </c>
      <c r="N65" s="2">
        <v>156</v>
      </c>
      <c r="O65" s="3"/>
      <c r="P65" s="3">
        <v>3.3064061619387561</v>
      </c>
      <c r="Q65" s="2" t="s">
        <v>1404</v>
      </c>
      <c r="R65" s="2">
        <v>4</v>
      </c>
      <c r="S65" s="3">
        <v>2.2000000000000002</v>
      </c>
      <c r="T65" s="2" t="s">
        <v>79</v>
      </c>
      <c r="U65" s="3" t="s">
        <v>865</v>
      </c>
      <c r="V65" s="16" t="s">
        <v>401</v>
      </c>
      <c r="W65" s="3">
        <v>74.599999999999994</v>
      </c>
      <c r="X65" s="3" t="s">
        <v>22</v>
      </c>
      <c r="Y65" s="3" t="s">
        <v>867</v>
      </c>
      <c r="Z65" s="2">
        <v>83</v>
      </c>
      <c r="AA65" s="2" t="s">
        <v>866</v>
      </c>
      <c r="AB65" s="16"/>
      <c r="AC65"/>
      <c r="AD65" s="16"/>
      <c r="AE65"/>
      <c r="AF65"/>
      <c r="AG65" s="16"/>
      <c r="AH65" s="3"/>
      <c r="AI65"/>
      <c r="AJ65"/>
      <c r="AK65" s="17">
        <v>3656</v>
      </c>
      <c r="AL65" s="2" t="s">
        <v>380</v>
      </c>
      <c r="AM65" s="2" t="s">
        <v>381</v>
      </c>
      <c r="AN65" s="2"/>
      <c r="AO65" s="18" t="s">
        <v>47</v>
      </c>
      <c r="AP65" s="2" t="s">
        <v>869</v>
      </c>
      <c r="AQ65" s="2">
        <v>83</v>
      </c>
      <c r="AR65" s="2" t="s">
        <v>868</v>
      </c>
      <c r="AS65" s="17">
        <v>812.7</v>
      </c>
      <c r="AT65" s="2" t="s">
        <v>870</v>
      </c>
      <c r="AU65" s="2" t="s">
        <v>589</v>
      </c>
      <c r="AV65">
        <v>83</v>
      </c>
      <c r="AW65" s="2" t="s">
        <v>864</v>
      </c>
      <c r="AX65" s="16">
        <v>3.3094897472579885</v>
      </c>
      <c r="AY65" s="16">
        <v>20000</v>
      </c>
      <c r="AZ65" s="2" t="s">
        <v>374</v>
      </c>
      <c r="BA65"/>
      <c r="BB65"/>
      <c r="BC65"/>
      <c r="BD65">
        <v>83</v>
      </c>
      <c r="BE65" s="2" t="s">
        <v>864</v>
      </c>
      <c r="BF65"/>
      <c r="BG65" s="16">
        <v>1.6547448736289942E-4</v>
      </c>
      <c r="BH65" s="16" t="s">
        <v>1048</v>
      </c>
      <c r="BI65" s="16">
        <v>187.87222523010288</v>
      </c>
      <c r="BJ65" s="2" t="s">
        <v>1048</v>
      </c>
      <c r="BK65" s="2">
        <v>1E-4</v>
      </c>
      <c r="BL65" s="3">
        <v>1.0469999999999999</v>
      </c>
      <c r="BM65" s="3" t="s">
        <v>1048</v>
      </c>
      <c r="BN65" s="3">
        <v>7.4599999999999996E-3</v>
      </c>
    </row>
    <row r="66" spans="1:66" ht="15" customHeight="1" x14ac:dyDescent="0.3">
      <c r="A66" s="2" t="s">
        <v>235</v>
      </c>
      <c r="B66" s="2"/>
      <c r="C66" s="2" t="s">
        <v>549</v>
      </c>
      <c r="D66" s="15">
        <v>52.59</v>
      </c>
      <c r="E66" s="15">
        <v>-93.38</v>
      </c>
      <c r="F66" s="2" t="s">
        <v>101</v>
      </c>
      <c r="G66" s="14" t="s">
        <v>101</v>
      </c>
      <c r="H66" s="2"/>
      <c r="I66" s="2"/>
      <c r="J66" s="16">
        <v>409.27047389558231</v>
      </c>
      <c r="K66" s="16">
        <v>159.12295850066934</v>
      </c>
      <c r="L66" s="15" t="s">
        <v>1052</v>
      </c>
      <c r="M66" s="2" t="s">
        <v>268</v>
      </c>
      <c r="N66" s="2">
        <v>157</v>
      </c>
      <c r="O66" s="3"/>
      <c r="P66" s="3">
        <v>3.452564343415367</v>
      </c>
      <c r="Q66" s="2" t="s">
        <v>1404</v>
      </c>
      <c r="R66" s="2">
        <v>4</v>
      </c>
      <c r="S66" s="16">
        <f>28790+79246+11893+27127+49214+18828000*0.0152+29746000*0.0134</f>
        <v>881052</v>
      </c>
      <c r="T66" s="2" t="s">
        <v>177</v>
      </c>
      <c r="U66" s="16" t="s">
        <v>554</v>
      </c>
      <c r="V66" s="16" t="s">
        <v>556</v>
      </c>
      <c r="W66" s="3">
        <f>(1344600*2.14+4075300*1.94+603100*1.97+1261700*2.15+2070850*2.38+18828000*1.52+29746000*1.34)/(1344600+4075300+603100+1261700+2070850+18828000+29746000)</f>
        <v>1.5206593353478493</v>
      </c>
      <c r="X66" s="2" t="s">
        <v>117</v>
      </c>
      <c r="Y66" s="3" t="s">
        <v>557</v>
      </c>
      <c r="Z66" s="2">
        <v>50</v>
      </c>
      <c r="AA66" s="2" t="s">
        <v>555</v>
      </c>
      <c r="AB66" s="28">
        <f>22.1*0.0155</f>
        <v>0.34255000000000002</v>
      </c>
      <c r="AC66" s="2" t="s">
        <v>551</v>
      </c>
      <c r="AD66" s="16" t="s">
        <v>552</v>
      </c>
      <c r="AE66" s="2">
        <v>1.55</v>
      </c>
      <c r="AF66" s="2" t="s">
        <v>420</v>
      </c>
      <c r="AG66" s="16" t="s">
        <v>553</v>
      </c>
      <c r="AH66" s="2">
        <v>0.65</v>
      </c>
      <c r="AI66">
        <v>50</v>
      </c>
      <c r="AJ66" s="2" t="s">
        <v>49</v>
      </c>
      <c r="AK66" s="17"/>
      <c r="AL66"/>
      <c r="AM66"/>
      <c r="AN66"/>
      <c r="AO66"/>
      <c r="AP66"/>
      <c r="AQ66" s="2"/>
      <c r="AR66"/>
      <c r="AS66" s="17">
        <v>386.2</v>
      </c>
      <c r="AT66" s="2" t="s">
        <v>88</v>
      </c>
      <c r="AU66" s="2" t="s">
        <v>558</v>
      </c>
      <c r="AV66">
        <v>50</v>
      </c>
      <c r="AW66" s="2" t="s">
        <v>23</v>
      </c>
      <c r="AX66" s="16" t="s">
        <v>1048</v>
      </c>
      <c r="AY66" s="16"/>
      <c r="AZ66" s="2"/>
      <c r="BA66"/>
      <c r="BB66"/>
      <c r="BC66" s="2">
        <v>25</v>
      </c>
      <c r="BD66"/>
      <c r="BE66"/>
      <c r="BF66"/>
      <c r="BG66" s="2" t="s">
        <v>1048</v>
      </c>
      <c r="BH66" s="16">
        <v>464.524765729585</v>
      </c>
      <c r="BI66" s="16">
        <v>4.64524765729585E-4</v>
      </c>
      <c r="BJ66" s="28">
        <v>0.46452476572958501</v>
      </c>
      <c r="BK66" s="28">
        <v>0.46452476572958501</v>
      </c>
      <c r="BL66" s="3">
        <v>0.91996320147194111</v>
      </c>
      <c r="BM66" s="3">
        <v>0.72001338688085681</v>
      </c>
      <c r="BN66" s="3">
        <v>0.70638392150696616</v>
      </c>
    </row>
    <row r="67" spans="1:66" ht="15" customHeight="1" x14ac:dyDescent="0.3">
      <c r="A67" s="2" t="s">
        <v>235</v>
      </c>
      <c r="B67" s="2"/>
      <c r="C67" s="2" t="s">
        <v>450</v>
      </c>
      <c r="D67" s="15">
        <v>48.44</v>
      </c>
      <c r="E67" s="15">
        <v>-77.64</v>
      </c>
      <c r="F67" s="2" t="s">
        <v>101</v>
      </c>
      <c r="G67" s="14" t="s">
        <v>101</v>
      </c>
      <c r="H67" s="2"/>
      <c r="I67" s="2"/>
      <c r="J67" s="16">
        <v>370.26787999999999</v>
      </c>
      <c r="K67" s="16" t="s">
        <v>1048</v>
      </c>
      <c r="L67" s="15" t="s">
        <v>1051</v>
      </c>
      <c r="M67"/>
      <c r="N67"/>
      <c r="O67" s="3"/>
      <c r="P67" s="3"/>
      <c r="Q67" s="2"/>
      <c r="R67" s="2"/>
      <c r="S67" s="16">
        <f>+J67/1000</f>
        <v>0.37026787999999999</v>
      </c>
      <c r="T67" t="s">
        <v>1452</v>
      </c>
      <c r="U67" s="16"/>
      <c r="V67" s="16"/>
      <c r="W67" s="3"/>
      <c r="X67" s="3"/>
      <c r="Y67" s="3"/>
      <c r="Z67" s="2">
        <v>2</v>
      </c>
      <c r="AA67"/>
      <c r="AB67" s="16"/>
      <c r="AC67"/>
      <c r="AD67" s="16"/>
      <c r="AE67"/>
      <c r="AF67"/>
      <c r="AG67" s="16"/>
      <c r="AH67" s="2"/>
      <c r="AI67"/>
      <c r="AJ67"/>
      <c r="AK67" s="17"/>
      <c r="AL67"/>
      <c r="AM67"/>
      <c r="AN67"/>
      <c r="AO67"/>
      <c r="AP67"/>
      <c r="AQ67" s="2"/>
      <c r="AR67"/>
      <c r="AS67" s="17"/>
      <c r="AT67"/>
      <c r="AU67"/>
      <c r="AV67"/>
      <c r="AW67"/>
      <c r="AX67" s="16" t="s">
        <v>1048</v>
      </c>
      <c r="AY67" s="16"/>
      <c r="AZ67"/>
      <c r="BA67"/>
      <c r="BB67"/>
      <c r="BC67"/>
      <c r="BD67"/>
      <c r="BE67"/>
      <c r="BF67"/>
      <c r="BG67" s="2" t="s">
        <v>1048</v>
      </c>
      <c r="BH67" s="16" t="s">
        <v>1048</v>
      </c>
      <c r="BI67" s="2">
        <v>1</v>
      </c>
      <c r="BJ67" s="2" t="s">
        <v>1048</v>
      </c>
      <c r="BK67" s="2" t="s">
        <v>1048</v>
      </c>
      <c r="BL67" s="3" t="s">
        <v>1048</v>
      </c>
      <c r="BM67" s="3" t="s">
        <v>1048</v>
      </c>
      <c r="BN67" s="3" t="s">
        <v>1048</v>
      </c>
    </row>
    <row r="68" spans="1:66" ht="15" customHeight="1" x14ac:dyDescent="0.3">
      <c r="A68" s="2" t="s">
        <v>467</v>
      </c>
      <c r="B68" s="2"/>
      <c r="C68" s="2" t="s">
        <v>468</v>
      </c>
      <c r="D68" s="15">
        <v>-17.78</v>
      </c>
      <c r="E68" s="15">
        <v>31.41</v>
      </c>
      <c r="F68" s="2" t="s">
        <v>101</v>
      </c>
      <c r="G68" s="14" t="s">
        <v>101</v>
      </c>
      <c r="H68" s="2"/>
      <c r="I68" s="2"/>
      <c r="J68" s="16">
        <v>357.77697456492638</v>
      </c>
      <c r="K68" s="16">
        <v>234.12048192771084</v>
      </c>
      <c r="L68" s="15" t="s">
        <v>14</v>
      </c>
      <c r="M68" s="2" t="s">
        <v>14</v>
      </c>
      <c r="N68" s="2">
        <v>158</v>
      </c>
      <c r="O68" s="3">
        <v>4.0954349051286867</v>
      </c>
      <c r="P68" s="3">
        <v>4.0954349051286867</v>
      </c>
      <c r="Q68" s="2" t="s">
        <v>1400</v>
      </c>
      <c r="R68" s="2">
        <v>4</v>
      </c>
      <c r="S68" s="16">
        <v>770200</v>
      </c>
      <c r="T68" s="2" t="s">
        <v>455</v>
      </c>
      <c r="U68" s="16" t="s">
        <v>475</v>
      </c>
      <c r="V68" s="16"/>
      <c r="W68" s="3">
        <v>1.06</v>
      </c>
      <c r="X68" s="2" t="s">
        <v>117</v>
      </c>
      <c r="Y68" s="3" t="s">
        <v>476</v>
      </c>
      <c r="Z68" s="2">
        <v>63</v>
      </c>
      <c r="AA68" s="2" t="s">
        <v>83</v>
      </c>
      <c r="AB68" s="16">
        <v>504000</v>
      </c>
      <c r="AC68" s="2" t="s">
        <v>177</v>
      </c>
      <c r="AD68" s="16" t="s">
        <v>473</v>
      </c>
      <c r="AE68" s="2">
        <v>1.19</v>
      </c>
      <c r="AF68" s="2" t="s">
        <v>420</v>
      </c>
      <c r="AG68" s="16" t="s">
        <v>474</v>
      </c>
      <c r="AH68" s="2"/>
      <c r="AI68">
        <v>63</v>
      </c>
      <c r="AJ68" s="2" t="s">
        <v>49</v>
      </c>
      <c r="AK68" s="17">
        <v>357</v>
      </c>
      <c r="AL68" s="2" t="s">
        <v>477</v>
      </c>
      <c r="AM68" s="2" t="s">
        <v>121</v>
      </c>
      <c r="AN68" s="27">
        <v>0.06</v>
      </c>
      <c r="AO68" s="18" t="s">
        <v>47</v>
      </c>
      <c r="AP68" s="2" t="s">
        <v>478</v>
      </c>
      <c r="AQ68" s="2">
        <v>63</v>
      </c>
      <c r="AR68" s="2" t="s">
        <v>411</v>
      </c>
      <c r="AS68" s="17">
        <v>192.46</v>
      </c>
      <c r="AT68" s="2" t="s">
        <v>88</v>
      </c>
      <c r="AU68" s="2" t="s">
        <v>479</v>
      </c>
      <c r="AV68">
        <v>63</v>
      </c>
      <c r="AW68" s="2" t="s">
        <v>411</v>
      </c>
      <c r="AX68" s="16">
        <v>6.2896653279785806</v>
      </c>
      <c r="AY68" s="16">
        <f>147*0.06+94*0.04+24*0.04</f>
        <v>13.54</v>
      </c>
      <c r="AZ68" s="2" t="s">
        <v>470</v>
      </c>
      <c r="BA68" s="2" t="s">
        <v>471</v>
      </c>
      <c r="BB68" s="2"/>
      <c r="BC68" s="2">
        <v>18.3</v>
      </c>
      <c r="BD68">
        <v>63</v>
      </c>
      <c r="BE68" s="2" t="s">
        <v>472</v>
      </c>
      <c r="BF68"/>
      <c r="BG68" s="16">
        <v>0.46452476572958501</v>
      </c>
      <c r="BH68" s="16">
        <v>4.64524765729585E-4</v>
      </c>
      <c r="BI68" s="16">
        <v>4.64524765729585E-4</v>
      </c>
      <c r="BJ68" s="28">
        <v>0.46452476572958501</v>
      </c>
      <c r="BK68" s="28">
        <v>0.46452476572958501</v>
      </c>
      <c r="BL68" s="3">
        <v>1.0469999999999999</v>
      </c>
      <c r="BM68" s="3">
        <v>0.55278447121820617</v>
      </c>
      <c r="BN68" s="3">
        <v>0.49239625167336015</v>
      </c>
    </row>
    <row r="69" spans="1:66" ht="15" customHeight="1" x14ac:dyDescent="0.3">
      <c r="A69" s="2" t="s">
        <v>17</v>
      </c>
      <c r="B69" s="30"/>
      <c r="C69" s="30" t="s">
        <v>943</v>
      </c>
      <c r="D69" s="14">
        <v>-18.91</v>
      </c>
      <c r="E69" s="39">
        <v>-69.09</v>
      </c>
      <c r="F69" s="2" t="s">
        <v>13</v>
      </c>
      <c r="G69" s="14" t="s">
        <v>13</v>
      </c>
      <c r="H69" s="2"/>
      <c r="I69" s="2"/>
      <c r="J69" s="16">
        <v>350.47582403898218</v>
      </c>
      <c r="K69" s="16" t="s">
        <v>1048</v>
      </c>
      <c r="L69" s="15" t="s">
        <v>1051</v>
      </c>
      <c r="M69"/>
      <c r="N69"/>
      <c r="O69" s="3"/>
      <c r="P69" s="3"/>
      <c r="Q69" s="2"/>
      <c r="R69" s="2"/>
      <c r="S69" s="16">
        <v>1865501</v>
      </c>
      <c r="T69" s="2" t="s">
        <v>725</v>
      </c>
      <c r="U69" s="16" t="s">
        <v>944</v>
      </c>
      <c r="V69" s="16"/>
      <c r="W69" s="3">
        <v>253</v>
      </c>
      <c r="X69" s="17" t="s">
        <v>78</v>
      </c>
      <c r="Y69" s="16" t="s">
        <v>945</v>
      </c>
      <c r="Z69" s="2">
        <v>89</v>
      </c>
      <c r="AA69" s="2" t="s">
        <v>110</v>
      </c>
      <c r="AB69" s="16"/>
      <c r="AC69"/>
      <c r="AD69" s="16"/>
      <c r="AE69"/>
      <c r="AF69"/>
      <c r="AG69" s="16"/>
      <c r="AH69" s="16"/>
      <c r="AI69"/>
      <c r="AJ69"/>
      <c r="AK69" s="17"/>
      <c r="AL69"/>
      <c r="AM69"/>
      <c r="AN69"/>
      <c r="AO69"/>
      <c r="AP69"/>
      <c r="AQ69" s="2"/>
      <c r="AR69"/>
      <c r="AS69" s="17"/>
      <c r="AT69"/>
      <c r="AU69"/>
      <c r="AV69"/>
      <c r="AW69"/>
      <c r="AX69" s="16" t="s">
        <v>1048</v>
      </c>
      <c r="AY69" s="16"/>
      <c r="AZ69"/>
      <c r="BA69"/>
      <c r="BB69"/>
      <c r="BC69"/>
      <c r="BD69"/>
      <c r="BE69"/>
      <c r="BF69"/>
      <c r="BG69" s="2" t="s">
        <v>1048</v>
      </c>
      <c r="BH69" s="16" t="s">
        <v>1048</v>
      </c>
      <c r="BI69" s="16">
        <v>1.8787222523010289E-4</v>
      </c>
      <c r="BJ69" s="2" t="s">
        <v>1048</v>
      </c>
      <c r="BK69" s="2">
        <v>1E-4</v>
      </c>
      <c r="BL69" s="3" t="s">
        <v>1048</v>
      </c>
      <c r="BM69" s="3" t="s">
        <v>1048</v>
      </c>
      <c r="BN69" s="3">
        <v>2.53E-2</v>
      </c>
    </row>
    <row r="70" spans="1:66" ht="15" customHeight="1" x14ac:dyDescent="0.3">
      <c r="A70" s="2" t="s">
        <v>17</v>
      </c>
      <c r="B70" s="30"/>
      <c r="C70" s="30" t="s">
        <v>961</v>
      </c>
      <c r="D70" s="14">
        <v>-26.88</v>
      </c>
      <c r="E70" s="14">
        <v>-68.47</v>
      </c>
      <c r="F70" s="2" t="s">
        <v>13</v>
      </c>
      <c r="G70" s="14" t="s">
        <v>13</v>
      </c>
      <c r="H70" s="2" t="s">
        <v>1045</v>
      </c>
      <c r="I70" s="2">
        <v>1</v>
      </c>
      <c r="J70" s="16">
        <v>338.1700054141852</v>
      </c>
      <c r="K70" s="16" t="s">
        <v>1048</v>
      </c>
      <c r="L70" s="15" t="s">
        <v>1052</v>
      </c>
      <c r="M70" s="4" t="s">
        <v>268</v>
      </c>
      <c r="N70" s="2">
        <v>116</v>
      </c>
      <c r="O70" s="3"/>
      <c r="P70" s="3">
        <v>3.7572797294758593</v>
      </c>
      <c r="Q70" s="2" t="s">
        <v>1404</v>
      </c>
      <c r="R70" s="2">
        <v>4</v>
      </c>
      <c r="S70" s="16">
        <v>1.8</v>
      </c>
      <c r="T70" s="2" t="s">
        <v>219</v>
      </c>
      <c r="U70" s="16" t="s">
        <v>963</v>
      </c>
      <c r="V70" s="16"/>
      <c r="W70" s="3">
        <v>200</v>
      </c>
      <c r="X70" s="17" t="s">
        <v>22</v>
      </c>
      <c r="Y70" s="17" t="s">
        <v>964</v>
      </c>
      <c r="Z70" s="2">
        <v>116</v>
      </c>
      <c r="AA70" s="2" t="s">
        <v>309</v>
      </c>
      <c r="AB70" s="16"/>
      <c r="AC70"/>
      <c r="AD70" s="16"/>
      <c r="AE70"/>
      <c r="AF70"/>
      <c r="AG70" s="16"/>
      <c r="AH70" s="16"/>
      <c r="AI70"/>
      <c r="AJ70"/>
      <c r="AK70" s="17">
        <v>3875</v>
      </c>
      <c r="AL70" s="18" t="s">
        <v>10</v>
      </c>
      <c r="AM70" s="18" t="s">
        <v>31</v>
      </c>
      <c r="AN70" s="18"/>
      <c r="AO70" s="18"/>
      <c r="AP70" s="2" t="s">
        <v>164</v>
      </c>
      <c r="AQ70" s="2">
        <v>116</v>
      </c>
      <c r="AR70" s="2" t="s">
        <v>435</v>
      </c>
      <c r="AS70" s="17">
        <v>383.6</v>
      </c>
      <c r="AT70" s="2" t="s">
        <v>33</v>
      </c>
      <c r="AU70" s="2" t="s">
        <v>965</v>
      </c>
      <c r="AV70">
        <v>116</v>
      </c>
      <c r="AW70" s="2" t="s">
        <v>435</v>
      </c>
      <c r="AX70" s="16">
        <v>3.7574445046020579</v>
      </c>
      <c r="AY70" s="16">
        <v>20000</v>
      </c>
      <c r="AZ70" s="2" t="s">
        <v>36</v>
      </c>
      <c r="BA70"/>
      <c r="BB70" s="2">
        <v>2027</v>
      </c>
      <c r="BC70" s="2">
        <v>30</v>
      </c>
      <c r="BD70">
        <v>116</v>
      </c>
      <c r="BE70" s="2" t="s">
        <v>435</v>
      </c>
      <c r="BF70"/>
      <c r="BG70" s="21">
        <v>1.8787222523010289E-4</v>
      </c>
      <c r="BH70" s="16" t="s">
        <v>1048</v>
      </c>
      <c r="BI70" s="16">
        <v>187.87222523010288</v>
      </c>
      <c r="BJ70" s="2" t="s">
        <v>1048</v>
      </c>
      <c r="BK70" s="2">
        <v>1E-4</v>
      </c>
      <c r="BL70" s="3" t="s">
        <v>1048</v>
      </c>
      <c r="BM70" s="3" t="s">
        <v>1048</v>
      </c>
      <c r="BN70" s="3">
        <v>0.02</v>
      </c>
    </row>
    <row r="71" spans="1:66" ht="15" customHeight="1" x14ac:dyDescent="0.3">
      <c r="A71" s="2" t="s">
        <v>128</v>
      </c>
      <c r="B71" s="2"/>
      <c r="C71" s="2" t="s">
        <v>976</v>
      </c>
      <c r="D71" s="14">
        <v>30.9</v>
      </c>
      <c r="E71" s="14">
        <v>84.15</v>
      </c>
      <c r="F71" s="2" t="s">
        <v>13</v>
      </c>
      <c r="G71" s="14" t="s">
        <v>13</v>
      </c>
      <c r="H71" s="2"/>
      <c r="I71" s="2"/>
      <c r="J71" s="16">
        <v>335.84038982133194</v>
      </c>
      <c r="K71" s="16" t="s">
        <v>1048</v>
      </c>
      <c r="L71" s="15" t="s">
        <v>14</v>
      </c>
      <c r="M71" s="2" t="s">
        <v>14</v>
      </c>
      <c r="N71" s="2">
        <v>4</v>
      </c>
      <c r="O71" s="3">
        <v>0.93931993236896483</v>
      </c>
      <c r="P71" s="3">
        <v>0.93931993236896483</v>
      </c>
      <c r="Q71" s="2" t="s">
        <v>1400</v>
      </c>
      <c r="R71" s="2">
        <v>4</v>
      </c>
      <c r="S71" s="16">
        <v>1787600</v>
      </c>
      <c r="T71" s="2" t="s">
        <v>978</v>
      </c>
      <c r="U71" s="16" t="s">
        <v>979</v>
      </c>
      <c r="V71" s="16"/>
      <c r="W71" s="3">
        <v>970</v>
      </c>
      <c r="X71" s="17" t="s">
        <v>22</v>
      </c>
      <c r="Y71" s="17"/>
      <c r="Z71" s="2">
        <v>122</v>
      </c>
      <c r="AA71" s="2" t="s">
        <v>40</v>
      </c>
      <c r="AB71" s="16"/>
      <c r="AC71"/>
      <c r="AD71" s="16"/>
      <c r="AE71"/>
      <c r="AF71"/>
      <c r="AG71" s="16"/>
      <c r="AH71" s="16"/>
      <c r="AI71"/>
      <c r="AJ71"/>
      <c r="AK71" s="17">
        <v>3819</v>
      </c>
      <c r="AL71" s="18" t="s">
        <v>10</v>
      </c>
      <c r="AM71" s="18" t="s">
        <v>31</v>
      </c>
      <c r="AN71" s="2"/>
      <c r="AO71" s="18" t="s">
        <v>47</v>
      </c>
      <c r="AP71" s="2" t="s">
        <v>981</v>
      </c>
      <c r="AQ71" s="2">
        <v>187</v>
      </c>
      <c r="AR71" s="8"/>
      <c r="AS71" s="17">
        <v>1860.47</v>
      </c>
      <c r="AT71" s="2" t="s">
        <v>88</v>
      </c>
      <c r="AU71" s="2" t="s">
        <v>983</v>
      </c>
      <c r="AV71">
        <v>192</v>
      </c>
      <c r="AW71" s="2"/>
      <c r="AX71" s="16">
        <v>0.93936112615051448</v>
      </c>
      <c r="AY71" s="16">
        <v>5000</v>
      </c>
      <c r="AZ71" s="2" t="s">
        <v>36</v>
      </c>
      <c r="BA71"/>
      <c r="BB71"/>
      <c r="BC71"/>
      <c r="BD71">
        <v>122</v>
      </c>
      <c r="BE71" s="2" t="s">
        <v>977</v>
      </c>
      <c r="BF71"/>
      <c r="BG71" s="21">
        <v>1.8787222523010289E-4</v>
      </c>
      <c r="BH71" s="16" t="s">
        <v>1048</v>
      </c>
      <c r="BI71" s="16">
        <v>1.8787222523010289E-4</v>
      </c>
      <c r="BJ71" s="2" t="s">
        <v>1048</v>
      </c>
      <c r="BK71" s="2">
        <v>1E-4</v>
      </c>
      <c r="BL71" s="3">
        <v>0.91996320147194111</v>
      </c>
      <c r="BM71" s="3" t="s">
        <v>1048</v>
      </c>
      <c r="BN71" s="3">
        <v>9.7000000000000003E-2</v>
      </c>
    </row>
    <row r="72" spans="1:66" ht="15" customHeight="1" x14ac:dyDescent="0.3">
      <c r="A72" s="2" t="s">
        <v>128</v>
      </c>
      <c r="B72" s="2"/>
      <c r="C72" s="2" t="s">
        <v>1022</v>
      </c>
      <c r="D72" s="14">
        <v>35.479999999999997</v>
      </c>
      <c r="E72" s="14">
        <v>79.17</v>
      </c>
      <c r="F72" s="2" t="s">
        <v>101</v>
      </c>
      <c r="G72" s="14" t="s">
        <v>101</v>
      </c>
      <c r="H72" s="14"/>
      <c r="I72" s="14"/>
      <c r="J72" s="16">
        <v>316.34879785809903</v>
      </c>
      <c r="K72" s="16" t="s">
        <v>1048</v>
      </c>
      <c r="L72" s="15" t="s">
        <v>14</v>
      </c>
      <c r="M72" s="2" t="s">
        <v>14</v>
      </c>
      <c r="N72" s="2">
        <v>5</v>
      </c>
      <c r="O72"/>
      <c r="P72"/>
      <c r="Q72" s="2"/>
      <c r="R72" s="2"/>
      <c r="S72" s="16">
        <v>681016</v>
      </c>
      <c r="T72" s="2" t="s">
        <v>1025</v>
      </c>
      <c r="U72" s="16" t="s">
        <v>1026</v>
      </c>
      <c r="V72" s="16" t="s">
        <v>1028</v>
      </c>
      <c r="W72" s="2">
        <v>1.49</v>
      </c>
      <c r="X72" s="17" t="s">
        <v>117</v>
      </c>
      <c r="Y72" s="17" t="s">
        <v>986</v>
      </c>
      <c r="Z72" s="2">
        <v>128</v>
      </c>
      <c r="AA72" s="5"/>
      <c r="AB72" s="16"/>
      <c r="AC72"/>
      <c r="AD72" s="16"/>
      <c r="AE72"/>
      <c r="AF72"/>
      <c r="AG72" s="16"/>
      <c r="AH72" s="16"/>
      <c r="AI72"/>
      <c r="AJ72"/>
      <c r="AK72" s="17"/>
      <c r="AL72"/>
      <c r="AM72"/>
      <c r="AN72"/>
      <c r="AO72"/>
      <c r="AP72"/>
      <c r="AQ72" s="2"/>
      <c r="AR72"/>
      <c r="AS72" s="17">
        <v>289.86</v>
      </c>
      <c r="AT72" s="2" t="s">
        <v>33</v>
      </c>
      <c r="AU72" s="2" t="s">
        <v>1029</v>
      </c>
      <c r="AV72">
        <v>129</v>
      </c>
      <c r="AW72" s="2"/>
      <c r="AX72" s="16">
        <v>13.056180292366001</v>
      </c>
      <c r="AY72" s="16">
        <f>30+15*0.871+30*0.881</f>
        <v>69.495000000000005</v>
      </c>
      <c r="AZ72" s="2" t="s">
        <v>245</v>
      </c>
      <c r="BA72" s="2" t="s">
        <v>1023</v>
      </c>
      <c r="BB72" s="2">
        <v>2024</v>
      </c>
      <c r="BC72" s="2">
        <v>22</v>
      </c>
      <c r="BD72">
        <v>128</v>
      </c>
      <c r="BE72" s="7" t="s">
        <v>1024</v>
      </c>
      <c r="BF72"/>
      <c r="BG72" s="16">
        <v>0.18787222523010288</v>
      </c>
      <c r="BH72" s="16" t="s">
        <v>1048</v>
      </c>
      <c r="BI72" s="16">
        <v>4.64524765729585E-4</v>
      </c>
      <c r="BJ72" s="2" t="s">
        <v>1048</v>
      </c>
      <c r="BK72" s="28">
        <v>0.46452476572958501</v>
      </c>
      <c r="BL72" s="3" t="s">
        <v>1048</v>
      </c>
      <c r="BM72" s="3" t="s">
        <v>1048</v>
      </c>
      <c r="BN72" s="3">
        <v>0.69214190093708161</v>
      </c>
    </row>
    <row r="73" spans="1:66" ht="15" customHeight="1" x14ac:dyDescent="0.3">
      <c r="A73" s="2" t="s">
        <v>578</v>
      </c>
      <c r="B73" s="2"/>
      <c r="C73" s="2" t="s">
        <v>579</v>
      </c>
      <c r="D73" s="15">
        <v>39.452089999999998</v>
      </c>
      <c r="E73" s="15">
        <v>-6.3476780000000002</v>
      </c>
      <c r="F73" s="2" t="s">
        <v>101</v>
      </c>
      <c r="G73" s="14" t="s">
        <v>101</v>
      </c>
      <c r="H73" s="2"/>
      <c r="I73" s="2"/>
      <c r="J73" s="16">
        <v>312.03999999999996</v>
      </c>
      <c r="K73" s="16">
        <v>141.69863453815262</v>
      </c>
      <c r="L73" s="15" t="s">
        <v>1052</v>
      </c>
      <c r="M73" s="2" t="s">
        <v>102</v>
      </c>
      <c r="N73" s="2">
        <v>159</v>
      </c>
      <c r="O73" s="3"/>
      <c r="P73" s="3">
        <v>3.2237460078902873</v>
      </c>
      <c r="Q73" s="2" t="s">
        <v>1404</v>
      </c>
      <c r="R73" s="2">
        <v>4</v>
      </c>
      <c r="S73" s="3">
        <f>(59*0.0029)+(52.2*0.0027)</f>
        <v>0.31203999999999998</v>
      </c>
      <c r="T73" s="2" t="s">
        <v>296</v>
      </c>
      <c r="U73" s="16" t="s">
        <v>585</v>
      </c>
      <c r="V73" s="16" t="s">
        <v>586</v>
      </c>
      <c r="W73" s="3">
        <v>0.61</v>
      </c>
      <c r="X73" s="2" t="s">
        <v>117</v>
      </c>
      <c r="Y73" s="3" t="s">
        <v>587</v>
      </c>
      <c r="Z73" s="2">
        <v>53</v>
      </c>
      <c r="AA73" s="2" t="s">
        <v>28</v>
      </c>
      <c r="AB73" s="28">
        <f>37.2*0.0082</f>
        <v>0.30504000000000003</v>
      </c>
      <c r="AC73" s="2" t="s">
        <v>139</v>
      </c>
      <c r="AD73" s="16" t="s">
        <v>584</v>
      </c>
      <c r="AE73" s="2">
        <v>0.82</v>
      </c>
      <c r="AF73" s="2" t="s">
        <v>117</v>
      </c>
      <c r="AG73" s="16"/>
      <c r="AH73" s="2"/>
      <c r="AI73">
        <v>53</v>
      </c>
      <c r="AJ73" s="2" t="s">
        <v>583</v>
      </c>
      <c r="AK73" s="17">
        <v>5434</v>
      </c>
      <c r="AL73" s="2" t="s">
        <v>588</v>
      </c>
      <c r="AM73" s="2" t="s">
        <v>381</v>
      </c>
      <c r="AN73" s="27"/>
      <c r="AO73" s="18" t="s">
        <v>47</v>
      </c>
      <c r="AP73" s="2" t="s">
        <v>66</v>
      </c>
      <c r="AQ73" s="2">
        <v>53</v>
      </c>
      <c r="AR73" s="2" t="s">
        <v>23</v>
      </c>
      <c r="AS73" s="17">
        <v>309</v>
      </c>
      <c r="AT73" s="2" t="s">
        <v>88</v>
      </c>
      <c r="AU73" s="2" t="s">
        <v>589</v>
      </c>
      <c r="AV73">
        <v>53</v>
      </c>
      <c r="AW73" s="2" t="s">
        <v>83</v>
      </c>
      <c r="AX73" s="16">
        <v>2.482117310443491</v>
      </c>
      <c r="AY73" s="16">
        <v>15</v>
      </c>
      <c r="AZ73" s="2" t="s">
        <v>582</v>
      </c>
      <c r="BA73"/>
      <c r="BB73" s="2">
        <v>2025</v>
      </c>
      <c r="BC73" s="2">
        <v>30</v>
      </c>
      <c r="BD73">
        <v>53</v>
      </c>
      <c r="BE73" s="2" t="s">
        <v>83</v>
      </c>
      <c r="BF73"/>
      <c r="BG73" s="16">
        <v>0.16547448736289941</v>
      </c>
      <c r="BH73" s="16">
        <v>464.524765729585</v>
      </c>
      <c r="BI73" s="16">
        <v>1000</v>
      </c>
      <c r="BJ73" s="28">
        <v>0.46452476572958501</v>
      </c>
      <c r="BK73" s="28">
        <v>0.46452476572958501</v>
      </c>
      <c r="BL73" s="3">
        <v>1.1183216399999998</v>
      </c>
      <c r="BM73" s="3">
        <v>0.38091030789825969</v>
      </c>
      <c r="BN73" s="3">
        <v>0.28336010709504683</v>
      </c>
    </row>
    <row r="74" spans="1:66" ht="15" customHeight="1" x14ac:dyDescent="0.3">
      <c r="A74" s="2" t="s">
        <v>52</v>
      </c>
      <c r="B74" s="2"/>
      <c r="C74" s="2" t="s">
        <v>524</v>
      </c>
      <c r="D74" s="15">
        <v>-25.32</v>
      </c>
      <c r="E74" s="15">
        <v>-66.900000000000006</v>
      </c>
      <c r="F74" s="2" t="s">
        <v>13</v>
      </c>
      <c r="G74" s="14" t="s">
        <v>13</v>
      </c>
      <c r="H74" s="2"/>
      <c r="I74" s="2"/>
      <c r="J74" s="16">
        <v>297.40000000000003</v>
      </c>
      <c r="K74" s="16" t="s">
        <v>1048</v>
      </c>
      <c r="L74" s="2" t="s">
        <v>73</v>
      </c>
      <c r="M74" s="2" t="s">
        <v>73</v>
      </c>
      <c r="N74" s="2">
        <v>160</v>
      </c>
      <c r="O74" s="3"/>
      <c r="P74" s="3">
        <v>0.93931993236896483</v>
      </c>
      <c r="Q74" s="2" t="s">
        <v>1404</v>
      </c>
      <c r="R74" s="2">
        <v>4</v>
      </c>
      <c r="S74" s="16">
        <v>297400</v>
      </c>
      <c r="T74" s="2" t="s">
        <v>156</v>
      </c>
      <c r="U74" s="16" t="s">
        <v>528</v>
      </c>
      <c r="V74" s="16" t="s">
        <v>63</v>
      </c>
      <c r="W74" s="3">
        <v>736</v>
      </c>
      <c r="X74" s="3" t="s">
        <v>22</v>
      </c>
      <c r="Y74" s="3" t="s">
        <v>529</v>
      </c>
      <c r="Z74" s="2">
        <v>41</v>
      </c>
      <c r="AA74" s="2" t="s">
        <v>21</v>
      </c>
      <c r="AB74" s="16"/>
      <c r="AC74" s="2"/>
      <c r="AD74" s="16"/>
      <c r="AE74" s="2"/>
      <c r="AF74" s="2"/>
      <c r="AG74" s="16"/>
      <c r="AH74" s="2"/>
      <c r="AI74"/>
      <c r="AJ74" s="2"/>
      <c r="AK74" s="17">
        <v>3122</v>
      </c>
      <c r="AL74" s="18" t="s">
        <v>10</v>
      </c>
      <c r="AM74" s="18" t="s">
        <v>31</v>
      </c>
      <c r="AN74" s="2"/>
      <c r="AO74" s="18" t="s">
        <v>47</v>
      </c>
      <c r="AP74" s="2" t="s">
        <v>66</v>
      </c>
      <c r="AQ74" s="2">
        <v>188</v>
      </c>
      <c r="AR74" s="36" t="s">
        <v>1084</v>
      </c>
      <c r="AS74" s="17">
        <v>93.355000000000004</v>
      </c>
      <c r="AT74" s="2" t="s">
        <v>88</v>
      </c>
      <c r="AU74" s="2" t="s">
        <v>123</v>
      </c>
      <c r="AV74">
        <v>188</v>
      </c>
      <c r="AW74" s="17" t="s">
        <v>1085</v>
      </c>
      <c r="AX74" s="16">
        <v>0.93936112615051448</v>
      </c>
      <c r="AY74" s="16">
        <v>5000</v>
      </c>
      <c r="AZ74" s="2" t="s">
        <v>36</v>
      </c>
      <c r="BA74"/>
      <c r="BB74" s="2" t="s">
        <v>271</v>
      </c>
      <c r="BC74" s="2">
        <v>30</v>
      </c>
      <c r="BD74">
        <v>41</v>
      </c>
      <c r="BE74" s="7" t="s">
        <v>527</v>
      </c>
      <c r="BF74"/>
      <c r="BG74" s="21">
        <v>1.8787222523010289E-4</v>
      </c>
      <c r="BH74" s="16" t="s">
        <v>1048</v>
      </c>
      <c r="BI74" s="16">
        <v>1E-3</v>
      </c>
      <c r="BJ74" s="2" t="s">
        <v>1048</v>
      </c>
      <c r="BK74" s="2">
        <v>1E-4</v>
      </c>
      <c r="BL74" s="3">
        <v>0.91996320147194111</v>
      </c>
      <c r="BM74" s="3" t="s">
        <v>1048</v>
      </c>
      <c r="BN74" s="3">
        <v>7.3599999999999999E-2</v>
      </c>
    </row>
    <row r="75" spans="1:66" ht="15" customHeight="1" x14ac:dyDescent="0.3">
      <c r="A75" s="2" t="s">
        <v>69</v>
      </c>
      <c r="B75" s="4" t="s">
        <v>393</v>
      </c>
      <c r="C75" s="4" t="s">
        <v>909</v>
      </c>
      <c r="D75" s="14">
        <v>38.840000000000003</v>
      </c>
      <c r="E75" s="39">
        <v>-110.23</v>
      </c>
      <c r="F75" s="2" t="s">
        <v>13</v>
      </c>
      <c r="G75" s="14" t="s">
        <v>13</v>
      </c>
      <c r="H75" s="2"/>
      <c r="I75" s="2"/>
      <c r="J75" s="16">
        <v>295</v>
      </c>
      <c r="K75" s="16" t="s">
        <v>1048</v>
      </c>
      <c r="L75" s="15" t="s">
        <v>1051</v>
      </c>
      <c r="M75"/>
      <c r="N75"/>
      <c r="O75" s="3"/>
      <c r="P75" s="3"/>
      <c r="Q75" s="2"/>
      <c r="R75" s="2"/>
      <c r="S75" s="16">
        <f>(200+390)/2</f>
        <v>295</v>
      </c>
      <c r="T75" s="2" t="s">
        <v>273</v>
      </c>
      <c r="U75" s="16"/>
      <c r="V75" s="16" t="s">
        <v>911</v>
      </c>
      <c r="W75" s="3">
        <v>125</v>
      </c>
      <c r="X75" s="3" t="s">
        <v>907</v>
      </c>
      <c r="Y75" s="3"/>
      <c r="Z75" s="2">
        <v>108</v>
      </c>
      <c r="AA75" s="2" t="s">
        <v>428</v>
      </c>
      <c r="AB75" s="16"/>
      <c r="AC75"/>
      <c r="AD75" s="16"/>
      <c r="AE75"/>
      <c r="AF75"/>
      <c r="AG75" s="16"/>
      <c r="AH75" s="16"/>
      <c r="AI75"/>
      <c r="AJ75"/>
      <c r="AK75" s="17"/>
      <c r="AL75"/>
      <c r="AM75"/>
      <c r="AN75"/>
      <c r="AO75"/>
      <c r="AP75"/>
      <c r="AQ75" s="2"/>
      <c r="AR75"/>
      <c r="AS75" s="17"/>
      <c r="AT75"/>
      <c r="AU75"/>
      <c r="AV75"/>
      <c r="AW75"/>
      <c r="AX75" s="16" t="s">
        <v>1048</v>
      </c>
      <c r="AY75" s="16"/>
      <c r="AZ75"/>
      <c r="BA75" s="2" t="s">
        <v>910</v>
      </c>
      <c r="BB75"/>
      <c r="BC75"/>
      <c r="BD75"/>
      <c r="BE75"/>
      <c r="BF75"/>
      <c r="BG75" s="2" t="s">
        <v>1048</v>
      </c>
      <c r="BH75" s="16" t="s">
        <v>1048</v>
      </c>
      <c r="BI75" s="16">
        <v>1</v>
      </c>
      <c r="BJ75" s="2" t="s">
        <v>1048</v>
      </c>
      <c r="BK75" s="2">
        <v>1E-4</v>
      </c>
      <c r="BL75" s="3">
        <v>0.86138876542316578</v>
      </c>
      <c r="BM75" s="3" t="s">
        <v>1048</v>
      </c>
      <c r="BN75" s="3">
        <v>1.2500000000000001E-2</v>
      </c>
    </row>
    <row r="76" spans="1:66" ht="15" customHeight="1" x14ac:dyDescent="0.3">
      <c r="A76" s="2" t="s">
        <v>69</v>
      </c>
      <c r="B76" s="2" t="s">
        <v>70</v>
      </c>
      <c r="C76" s="2" t="s">
        <v>497</v>
      </c>
      <c r="D76" s="15">
        <v>37.762686000000002</v>
      </c>
      <c r="E76" s="15">
        <v>-117.622147</v>
      </c>
      <c r="F76" s="2" t="s">
        <v>13</v>
      </c>
      <c r="G76" s="14" t="s">
        <v>13</v>
      </c>
      <c r="H76" s="2"/>
      <c r="I76" s="2"/>
      <c r="J76" s="16">
        <v>293.27999999999997</v>
      </c>
      <c r="K76" s="16" t="s">
        <v>1048</v>
      </c>
      <c r="L76" s="15" t="s">
        <v>14</v>
      </c>
      <c r="M76" s="2" t="s">
        <v>14</v>
      </c>
      <c r="N76" s="2">
        <v>3</v>
      </c>
      <c r="O76" s="3">
        <v>1.8786398647379297</v>
      </c>
      <c r="P76" s="3">
        <v>3.7572797294758593</v>
      </c>
      <c r="Q76" s="2" t="s">
        <v>1400</v>
      </c>
      <c r="R76" s="2">
        <v>4</v>
      </c>
      <c r="S76" s="16">
        <f t="shared" ref="S76:S77" si="1">+J76/1000</f>
        <v>0.29327999999999999</v>
      </c>
      <c r="T76" t="s">
        <v>1452</v>
      </c>
      <c r="U76" s="16"/>
      <c r="V76" s="16"/>
      <c r="W76" s="3"/>
      <c r="X76" s="3"/>
      <c r="Y76" s="3"/>
      <c r="Z76" s="2">
        <v>2</v>
      </c>
      <c r="AA76"/>
      <c r="AB76" s="16"/>
      <c r="AC76"/>
      <c r="AD76" s="16"/>
      <c r="AE76"/>
      <c r="AF76"/>
      <c r="AG76" s="16"/>
      <c r="AH76" s="2"/>
      <c r="AI76"/>
      <c r="AJ76"/>
      <c r="AK76" s="17"/>
      <c r="AL76"/>
      <c r="AM76"/>
      <c r="AN76"/>
      <c r="AO76"/>
      <c r="AP76"/>
      <c r="AQ76" s="2"/>
      <c r="AR76"/>
      <c r="AS76" s="17"/>
      <c r="AT76"/>
      <c r="AU76"/>
      <c r="AV76"/>
      <c r="AW76"/>
      <c r="AX76" s="16" t="s">
        <v>1048</v>
      </c>
      <c r="AY76" s="16"/>
      <c r="AZ76"/>
      <c r="BA76" s="2"/>
      <c r="BB76"/>
      <c r="BC76"/>
      <c r="BD76"/>
      <c r="BE76"/>
      <c r="BF76"/>
      <c r="BG76" s="2" t="s">
        <v>1048</v>
      </c>
      <c r="BH76" s="16" t="s">
        <v>1048</v>
      </c>
      <c r="BI76" s="2">
        <v>1</v>
      </c>
      <c r="BJ76" s="2" t="s">
        <v>1048</v>
      </c>
      <c r="BK76" s="2" t="s">
        <v>1048</v>
      </c>
      <c r="BL76" s="3" t="s">
        <v>1048</v>
      </c>
      <c r="BM76" s="3" t="s">
        <v>1048</v>
      </c>
      <c r="BN76" s="3" t="s">
        <v>1048</v>
      </c>
    </row>
    <row r="77" spans="1:66" ht="15" customHeight="1" x14ac:dyDescent="0.3">
      <c r="A77" s="2" t="s">
        <v>498</v>
      </c>
      <c r="B77" s="2"/>
      <c r="C77" s="2" t="s">
        <v>499</v>
      </c>
      <c r="D77" s="15">
        <v>67.959000000000003</v>
      </c>
      <c r="E77" s="15">
        <v>37.118000000000002</v>
      </c>
      <c r="F77" s="2" t="s">
        <v>101</v>
      </c>
      <c r="G77" s="14" t="s">
        <v>101</v>
      </c>
      <c r="H77" s="2"/>
      <c r="I77" s="2"/>
      <c r="J77" s="16">
        <v>288.20851199999998</v>
      </c>
      <c r="K77" s="16" t="s">
        <v>1048</v>
      </c>
      <c r="L77" s="15" t="s">
        <v>1051</v>
      </c>
      <c r="M77"/>
      <c r="N77"/>
      <c r="O77" s="3"/>
      <c r="P77" s="3"/>
      <c r="Q77" s="2"/>
      <c r="R77" s="2"/>
      <c r="S77" s="16">
        <f t="shared" si="1"/>
        <v>0.28820851199999997</v>
      </c>
      <c r="T77" t="s">
        <v>1452</v>
      </c>
      <c r="U77" s="16"/>
      <c r="V77" s="16"/>
      <c r="W77" s="3"/>
      <c r="X77" s="3"/>
      <c r="Y77" s="3"/>
      <c r="Z77" s="2">
        <v>2</v>
      </c>
      <c r="AA77"/>
      <c r="AB77" s="16"/>
      <c r="AC77"/>
      <c r="AD77" s="16"/>
      <c r="AE77"/>
      <c r="AF77"/>
      <c r="AG77" s="16"/>
      <c r="AH77" s="2"/>
      <c r="AI77"/>
      <c r="AJ77"/>
      <c r="AK77" s="17"/>
      <c r="AL77"/>
      <c r="AM77"/>
      <c r="AN77"/>
      <c r="AO77"/>
      <c r="AP77"/>
      <c r="AQ77" s="2"/>
      <c r="AR77"/>
      <c r="AS77" s="17"/>
      <c r="AT77"/>
      <c r="AU77"/>
      <c r="AV77"/>
      <c r="AW77"/>
      <c r="AX77" s="16" t="s">
        <v>1048</v>
      </c>
      <c r="AY77" s="16"/>
      <c r="AZ77"/>
      <c r="BA77"/>
      <c r="BB77"/>
      <c r="BC77"/>
      <c r="BD77"/>
      <c r="BE77"/>
      <c r="BF77"/>
      <c r="BG77" s="2" t="s">
        <v>1048</v>
      </c>
      <c r="BH77" s="16" t="s">
        <v>1048</v>
      </c>
      <c r="BI77" s="2">
        <v>1</v>
      </c>
      <c r="BJ77" s="2" t="s">
        <v>1048</v>
      </c>
      <c r="BK77" s="2" t="s">
        <v>1048</v>
      </c>
      <c r="BL77" s="3" t="s">
        <v>1048</v>
      </c>
      <c r="BM77" s="3" t="s">
        <v>1048</v>
      </c>
      <c r="BN77" s="3" t="s">
        <v>1048</v>
      </c>
    </row>
    <row r="78" spans="1:66" ht="15" customHeight="1" x14ac:dyDescent="0.3">
      <c r="A78" s="2" t="s">
        <v>69</v>
      </c>
      <c r="B78" s="4" t="s">
        <v>393</v>
      </c>
      <c r="C78" s="4" t="s">
        <v>903</v>
      </c>
      <c r="D78" s="14">
        <v>38.57</v>
      </c>
      <c r="E78" s="39">
        <v>-109.72</v>
      </c>
      <c r="F78" s="2" t="s">
        <v>13</v>
      </c>
      <c r="G78" s="14" t="s">
        <v>13</v>
      </c>
      <c r="H78" s="2" t="s">
        <v>1045</v>
      </c>
      <c r="I78" s="2">
        <v>1</v>
      </c>
      <c r="J78" s="16">
        <v>282.55982674607475</v>
      </c>
      <c r="K78" s="16" t="s">
        <v>1048</v>
      </c>
      <c r="L78" s="15" t="s">
        <v>1051</v>
      </c>
      <c r="M78"/>
      <c r="N78"/>
      <c r="O78" s="3"/>
      <c r="P78" s="3">
        <v>2.456133759158369</v>
      </c>
      <c r="Q78" s="2" t="s">
        <v>1405</v>
      </c>
      <c r="R78" s="2">
        <v>4</v>
      </c>
      <c r="S78" s="16">
        <v>1504</v>
      </c>
      <c r="T78" s="2" t="s">
        <v>249</v>
      </c>
      <c r="U78" s="16" t="s">
        <v>906</v>
      </c>
      <c r="V78" s="16" t="s">
        <v>762</v>
      </c>
      <c r="W78" s="3">
        <v>124</v>
      </c>
      <c r="X78" s="3" t="s">
        <v>907</v>
      </c>
      <c r="Y78" s="3" t="s">
        <v>908</v>
      </c>
      <c r="Z78" s="2">
        <v>109</v>
      </c>
      <c r="AA78" s="2" t="s">
        <v>168</v>
      </c>
      <c r="AB78" s="16"/>
      <c r="AC78"/>
      <c r="AD78" s="16"/>
      <c r="AE78"/>
      <c r="AF78"/>
      <c r="AG78" s="16"/>
      <c r="AH78" s="16"/>
      <c r="AI78"/>
      <c r="AJ78"/>
      <c r="AK78" s="17">
        <v>4368</v>
      </c>
      <c r="AL78" s="18" t="s">
        <v>10</v>
      </c>
      <c r="AM78" s="18" t="s">
        <v>31</v>
      </c>
      <c r="AN78" s="2"/>
      <c r="AO78" s="18" t="s">
        <v>47</v>
      </c>
      <c r="AP78" s="2" t="s">
        <v>66</v>
      </c>
      <c r="AQ78" s="2">
        <v>109</v>
      </c>
      <c r="AR78" s="2" t="s">
        <v>1075</v>
      </c>
      <c r="AS78" s="17">
        <v>495</v>
      </c>
      <c r="AT78" s="2" t="s">
        <v>88</v>
      </c>
      <c r="AU78" s="2" t="s">
        <v>123</v>
      </c>
      <c r="AV78">
        <v>109</v>
      </c>
      <c r="AW78" s="2" t="s">
        <v>83</v>
      </c>
      <c r="AX78" s="16">
        <v>2.4562414726583652</v>
      </c>
      <c r="AY78" s="16">
        <v>13074</v>
      </c>
      <c r="AZ78" s="2" t="s">
        <v>904</v>
      </c>
      <c r="BA78" s="2" t="s">
        <v>905</v>
      </c>
      <c r="BB78"/>
      <c r="BC78" s="2">
        <v>23</v>
      </c>
      <c r="BD78">
        <v>109</v>
      </c>
      <c r="BE78" s="2" t="s">
        <v>15</v>
      </c>
      <c r="BF78"/>
      <c r="BG78" s="16">
        <v>1.8787222523010289E-4</v>
      </c>
      <c r="BH78" s="16" t="s">
        <v>1048</v>
      </c>
      <c r="BI78" s="21">
        <v>0.18787222523010288</v>
      </c>
      <c r="BJ78" s="2" t="s">
        <v>1048</v>
      </c>
      <c r="BK78" s="2">
        <v>1E-4</v>
      </c>
      <c r="BL78" s="3">
        <v>0.86138876542316578</v>
      </c>
      <c r="BM78" s="3" t="s">
        <v>1048</v>
      </c>
      <c r="BN78" s="3">
        <v>1.2400000000000001E-2</v>
      </c>
    </row>
    <row r="79" spans="1:66" ht="15" customHeight="1" x14ac:dyDescent="0.3">
      <c r="A79" s="2" t="s">
        <v>17</v>
      </c>
      <c r="B79" s="2"/>
      <c r="C79" s="2" t="s">
        <v>926</v>
      </c>
      <c r="D79" s="14">
        <v>-25.81</v>
      </c>
      <c r="E79" s="39">
        <v>-68.900000000000006</v>
      </c>
      <c r="F79" s="2" t="s">
        <v>13</v>
      </c>
      <c r="G79" s="14" t="s">
        <v>13</v>
      </c>
      <c r="H79" s="2"/>
      <c r="I79" s="2"/>
      <c r="J79" s="16">
        <v>282.29599999999999</v>
      </c>
      <c r="K79" s="16" t="s">
        <v>1048</v>
      </c>
      <c r="L79" s="15" t="s">
        <v>1051</v>
      </c>
      <c r="M79"/>
      <c r="N79"/>
      <c r="O79" s="3"/>
      <c r="P79" s="3"/>
      <c r="Q79" s="2"/>
      <c r="R79" s="2"/>
      <c r="S79" s="16">
        <v>282296</v>
      </c>
      <c r="T79" s="2" t="s">
        <v>156</v>
      </c>
      <c r="U79" s="16" t="s">
        <v>928</v>
      </c>
      <c r="V79" s="16" t="s">
        <v>401</v>
      </c>
      <c r="W79" s="3">
        <v>284</v>
      </c>
      <c r="X79" s="3" t="s">
        <v>22</v>
      </c>
      <c r="Y79" s="17" t="s">
        <v>930</v>
      </c>
      <c r="Z79" s="2">
        <v>86</v>
      </c>
      <c r="AA79" s="2" t="s">
        <v>929</v>
      </c>
      <c r="AB79" s="16"/>
      <c r="AC79"/>
      <c r="AD79" s="16"/>
      <c r="AE79"/>
      <c r="AF79"/>
      <c r="AG79" s="16"/>
      <c r="AH79" s="16"/>
      <c r="AI79"/>
      <c r="AJ79"/>
      <c r="AK79" s="17"/>
      <c r="AL79"/>
      <c r="AM79"/>
      <c r="AN79"/>
      <c r="AO79"/>
      <c r="AP79"/>
      <c r="AQ79" s="2"/>
      <c r="AR79"/>
      <c r="AS79" s="17"/>
      <c r="AT79"/>
      <c r="AU79"/>
      <c r="AV79"/>
      <c r="AW79"/>
      <c r="AX79" s="16" t="s">
        <v>1048</v>
      </c>
      <c r="AY79" s="16"/>
      <c r="AZ79"/>
      <c r="BA79"/>
      <c r="BB79"/>
      <c r="BC79"/>
      <c r="BD79"/>
      <c r="BE79"/>
      <c r="BF79"/>
      <c r="BG79" s="2" t="s">
        <v>1048</v>
      </c>
      <c r="BH79" s="16" t="s">
        <v>1048</v>
      </c>
      <c r="BI79" s="16">
        <v>1E-3</v>
      </c>
      <c r="BJ79" s="2" t="s">
        <v>1048</v>
      </c>
      <c r="BK79" s="2">
        <v>1E-4</v>
      </c>
      <c r="BL79" s="3">
        <v>1</v>
      </c>
      <c r="BM79" s="3" t="s">
        <v>1048</v>
      </c>
      <c r="BN79" s="3">
        <v>2.8400000000000002E-2</v>
      </c>
    </row>
    <row r="80" spans="1:66" ht="15" customHeight="1" x14ac:dyDescent="0.3">
      <c r="A80" s="2" t="s">
        <v>467</v>
      </c>
      <c r="B80" s="2"/>
      <c r="C80" s="2" t="s">
        <v>500</v>
      </c>
      <c r="D80" s="15">
        <v>-18.329999999999998</v>
      </c>
      <c r="E80" s="15">
        <v>27.07</v>
      </c>
      <c r="F80" s="2" t="s">
        <v>101</v>
      </c>
      <c r="G80" s="14" t="s">
        <v>101</v>
      </c>
      <c r="H80" s="2"/>
      <c r="I80" s="2"/>
      <c r="J80" s="16">
        <v>280.20272</v>
      </c>
      <c r="K80" s="16" t="s">
        <v>1048</v>
      </c>
      <c r="L80" s="15" t="s">
        <v>1052</v>
      </c>
      <c r="M80" s="2" t="s">
        <v>102</v>
      </c>
      <c r="N80" s="2">
        <v>161</v>
      </c>
      <c r="O80" s="3"/>
      <c r="P80" s="3"/>
      <c r="Q80" s="2"/>
      <c r="R80" s="2"/>
      <c r="S80" s="16">
        <f>+J80/1000</f>
        <v>0.28020272000000002</v>
      </c>
      <c r="T80" t="s">
        <v>1452</v>
      </c>
      <c r="U80" s="16"/>
      <c r="V80" s="16"/>
      <c r="W80" s="3"/>
      <c r="X80" s="3"/>
      <c r="Y80" s="3"/>
      <c r="Z80" s="2">
        <v>2</v>
      </c>
      <c r="AA80"/>
      <c r="AB80" s="16"/>
      <c r="AC80"/>
      <c r="AD80" s="16"/>
      <c r="AE80"/>
      <c r="AF80"/>
      <c r="AG80" s="16"/>
      <c r="AH80" s="2"/>
      <c r="AI80"/>
      <c r="AJ80"/>
      <c r="AK80" s="17"/>
      <c r="AL80"/>
      <c r="AM80"/>
      <c r="AN80"/>
      <c r="AO80"/>
      <c r="AP80"/>
      <c r="AQ80" s="2"/>
      <c r="AR80"/>
      <c r="AS80" s="17"/>
      <c r="AT80"/>
      <c r="AU80"/>
      <c r="AV80"/>
      <c r="AW80"/>
      <c r="AX80" s="16" t="s">
        <v>1048</v>
      </c>
      <c r="AY80" s="16"/>
      <c r="AZ80"/>
      <c r="BA80"/>
      <c r="BB80"/>
      <c r="BC80"/>
      <c r="BD80"/>
      <c r="BE80"/>
      <c r="BF80"/>
      <c r="BG80" s="2" t="s">
        <v>1048</v>
      </c>
      <c r="BH80" s="16" t="s">
        <v>1048</v>
      </c>
      <c r="BI80" s="2">
        <v>1</v>
      </c>
      <c r="BJ80" s="2" t="s">
        <v>1048</v>
      </c>
      <c r="BK80" s="2" t="s">
        <v>1048</v>
      </c>
      <c r="BL80" s="3" t="s">
        <v>1048</v>
      </c>
      <c r="BM80" s="3" t="s">
        <v>1048</v>
      </c>
      <c r="BN80" s="3" t="s">
        <v>1048</v>
      </c>
    </row>
    <row r="81" spans="1:66" ht="15" customHeight="1" x14ac:dyDescent="0.3">
      <c r="A81" s="2" t="s">
        <v>618</v>
      </c>
      <c r="B81" s="2"/>
      <c r="C81" s="2" t="s">
        <v>656</v>
      </c>
      <c r="D81" s="15">
        <v>-21.22</v>
      </c>
      <c r="E81" s="15">
        <v>14.88</v>
      </c>
      <c r="F81" s="2" t="s">
        <v>101</v>
      </c>
      <c r="G81" s="14" t="s">
        <v>101</v>
      </c>
      <c r="H81" s="14"/>
      <c r="I81" s="14"/>
      <c r="J81" s="16">
        <v>272.67603748326638</v>
      </c>
      <c r="K81" s="16" t="s">
        <v>1048</v>
      </c>
      <c r="L81" s="15" t="s">
        <v>1051</v>
      </c>
      <c r="M81"/>
      <c r="N81"/>
      <c r="O81" s="3"/>
      <c r="P81" s="3"/>
      <c r="Q81" s="2" t="s">
        <v>1402</v>
      </c>
      <c r="R81" s="2">
        <v>4</v>
      </c>
      <c r="S81" s="16">
        <f>147000+125000+315000</f>
        <v>587000</v>
      </c>
      <c r="T81" s="2" t="s">
        <v>455</v>
      </c>
      <c r="U81" s="16" t="s">
        <v>658</v>
      </c>
      <c r="V81" s="16" t="s">
        <v>316</v>
      </c>
      <c r="W81" s="3">
        <v>0.73</v>
      </c>
      <c r="X81" s="2" t="s">
        <v>117</v>
      </c>
      <c r="Y81" s="3" t="s">
        <v>659</v>
      </c>
      <c r="Z81" s="2">
        <v>56</v>
      </c>
      <c r="AA81" s="2" t="s">
        <v>15</v>
      </c>
      <c r="AB81" s="16"/>
      <c r="AC81"/>
      <c r="AD81" s="16"/>
      <c r="AE81"/>
      <c r="AF81"/>
      <c r="AG81" s="16"/>
      <c r="AH81" s="2"/>
      <c r="AI81"/>
      <c r="AJ81"/>
      <c r="AK81" s="17"/>
      <c r="AL81"/>
      <c r="AM81"/>
      <c r="AN81"/>
      <c r="AO81"/>
      <c r="AP81"/>
      <c r="AQ81" s="2"/>
      <c r="AR81"/>
      <c r="AS81" s="17"/>
      <c r="AT81"/>
      <c r="AU81"/>
      <c r="AV81"/>
      <c r="AW81"/>
      <c r="AX81" s="16" t="s">
        <v>1048</v>
      </c>
      <c r="AY81" s="16"/>
      <c r="AZ81"/>
      <c r="BA81"/>
      <c r="BB81"/>
      <c r="BC81"/>
      <c r="BD81"/>
      <c r="BE81"/>
      <c r="BF81"/>
      <c r="BG81" s="2" t="s">
        <v>1048</v>
      </c>
      <c r="BH81" s="16" t="s">
        <v>1048</v>
      </c>
      <c r="BI81" s="16">
        <v>4.64524765729585E-4</v>
      </c>
      <c r="BJ81" s="2" t="s">
        <v>1048</v>
      </c>
      <c r="BK81" s="28">
        <v>0.46452476572958501</v>
      </c>
      <c r="BL81" s="3">
        <v>0.91996320147194111</v>
      </c>
      <c r="BM81" s="3" t="s">
        <v>1048</v>
      </c>
      <c r="BN81" s="3">
        <v>0.33910307898259706</v>
      </c>
    </row>
    <row r="82" spans="1:66" ht="15" customHeight="1" x14ac:dyDescent="0.3">
      <c r="A82" s="2" t="s">
        <v>235</v>
      </c>
      <c r="B82" s="2"/>
      <c r="C82" s="2" t="s">
        <v>502</v>
      </c>
      <c r="D82" s="15">
        <v>52.29</v>
      </c>
      <c r="E82" s="15">
        <v>-77.099999999999994</v>
      </c>
      <c r="F82" s="2" t="s">
        <v>101</v>
      </c>
      <c r="G82" s="14" t="s">
        <v>101</v>
      </c>
      <c r="H82" s="2"/>
      <c r="I82" s="2"/>
      <c r="J82" s="16">
        <v>262.08487282463187</v>
      </c>
      <c r="K82" s="16">
        <v>224.69062918340026</v>
      </c>
      <c r="L82" s="15" t="s">
        <v>1052</v>
      </c>
      <c r="M82" s="2" t="s">
        <v>503</v>
      </c>
      <c r="N82" s="2">
        <v>162</v>
      </c>
      <c r="O82" s="3">
        <v>7.7270336276535785</v>
      </c>
      <c r="P82" s="3">
        <v>8.5855720458388127</v>
      </c>
      <c r="Q82" s="2" t="s">
        <v>1401</v>
      </c>
      <c r="R82" s="2">
        <v>4</v>
      </c>
      <c r="S82" s="16">
        <v>564.20000000000005</v>
      </c>
      <c r="T82" s="2" t="s">
        <v>511</v>
      </c>
      <c r="U82" s="16" t="s">
        <v>512</v>
      </c>
      <c r="V82" s="16" t="s">
        <v>513</v>
      </c>
      <c r="W82" s="3">
        <v>1.4</v>
      </c>
      <c r="X82" s="2" t="s">
        <v>117</v>
      </c>
      <c r="Y82" s="3" t="s">
        <v>514</v>
      </c>
      <c r="Z82" s="2">
        <v>15</v>
      </c>
      <c r="AA82" s="2" t="s">
        <v>428</v>
      </c>
      <c r="AB82" s="24">
        <v>483.7</v>
      </c>
      <c r="AC82" s="2" t="s">
        <v>508</v>
      </c>
      <c r="AD82" s="16" t="s">
        <v>509</v>
      </c>
      <c r="AE82" s="2">
        <v>1.3</v>
      </c>
      <c r="AF82" s="2" t="s">
        <v>420</v>
      </c>
      <c r="AG82" s="16" t="s">
        <v>510</v>
      </c>
      <c r="AH82" s="2">
        <v>0.62</v>
      </c>
      <c r="AI82">
        <v>15</v>
      </c>
      <c r="AJ82" s="2" t="s">
        <v>428</v>
      </c>
      <c r="AK82" s="17">
        <v>332.8</v>
      </c>
      <c r="AL82" s="2" t="s">
        <v>326</v>
      </c>
      <c r="AM82" s="2" t="s">
        <v>121</v>
      </c>
      <c r="AN82" s="27">
        <v>0.06</v>
      </c>
      <c r="AO82" s="18" t="s">
        <v>47</v>
      </c>
      <c r="AP82" s="2" t="s">
        <v>515</v>
      </c>
      <c r="AQ82" s="2">
        <v>15</v>
      </c>
      <c r="AR82" s="2" t="s">
        <v>28</v>
      </c>
      <c r="AS82" s="17">
        <v>285.8</v>
      </c>
      <c r="AT82" s="2" t="s">
        <v>88</v>
      </c>
      <c r="AU82" s="2" t="s">
        <v>123</v>
      </c>
      <c r="AV82">
        <v>15</v>
      </c>
      <c r="AW82" s="2" t="s">
        <v>28</v>
      </c>
      <c r="AX82" s="16">
        <v>8.9467469879518067</v>
      </c>
      <c r="AY82" s="16">
        <f>321*0.06</f>
        <v>19.259999999999998</v>
      </c>
      <c r="AZ82" s="2" t="s">
        <v>505</v>
      </c>
      <c r="BA82" s="2" t="s">
        <v>506</v>
      </c>
      <c r="BB82" s="2" t="s">
        <v>507</v>
      </c>
      <c r="BC82" s="2">
        <v>19</v>
      </c>
      <c r="BD82">
        <v>15</v>
      </c>
      <c r="BE82" s="2" t="s">
        <v>15</v>
      </c>
      <c r="BF82"/>
      <c r="BG82" s="16">
        <v>0.46452476572958501</v>
      </c>
      <c r="BH82" s="16">
        <v>0.46452476572958501</v>
      </c>
      <c r="BI82" s="21">
        <v>0.46452476572958501</v>
      </c>
      <c r="BJ82" s="28">
        <v>0.46452476572958501</v>
      </c>
      <c r="BK82" s="28">
        <v>0.46452476572958501</v>
      </c>
      <c r="BL82" s="3">
        <v>1.0469999999999999</v>
      </c>
      <c r="BM82" s="3">
        <v>0.60388219544846056</v>
      </c>
      <c r="BN82" s="3">
        <v>0.65033467202141892</v>
      </c>
    </row>
    <row r="83" spans="1:66" ht="15" customHeight="1" x14ac:dyDescent="0.3">
      <c r="A83" s="2" t="s">
        <v>235</v>
      </c>
      <c r="B83" s="2"/>
      <c r="C83" s="2" t="s">
        <v>516</v>
      </c>
      <c r="D83" s="15">
        <v>51.69</v>
      </c>
      <c r="E83" s="15">
        <v>-75.84</v>
      </c>
      <c r="F83" s="2" t="s">
        <v>101</v>
      </c>
      <c r="G83" s="14" t="s">
        <v>101</v>
      </c>
      <c r="H83" s="2"/>
      <c r="I83" s="2"/>
      <c r="J83" s="16">
        <v>260.3182933992</v>
      </c>
      <c r="K83" s="16">
        <v>221.02088353413654</v>
      </c>
      <c r="L83" s="15" t="s">
        <v>1052</v>
      </c>
      <c r="M83" s="2" t="s">
        <v>102</v>
      </c>
      <c r="N83" s="2">
        <v>163</v>
      </c>
      <c r="O83" s="3"/>
      <c r="P83" s="3">
        <v>5.9133947022355811</v>
      </c>
      <c r="Q83" s="2" t="s">
        <v>1401</v>
      </c>
      <c r="R83" s="2">
        <v>4</v>
      </c>
      <c r="S83" s="16">
        <f>+J83/1000</f>
        <v>0.26031829339919998</v>
      </c>
      <c r="T83" t="s">
        <v>1452</v>
      </c>
      <c r="U83" s="16"/>
      <c r="V83" s="16"/>
      <c r="W83" s="3"/>
      <c r="X83" s="3"/>
      <c r="Y83" s="3"/>
      <c r="Z83" s="2">
        <v>2</v>
      </c>
      <c r="AA83"/>
      <c r="AB83" s="28">
        <f>36.6*0.013</f>
        <v>0.4758</v>
      </c>
      <c r="AC83" s="2" t="s">
        <v>518</v>
      </c>
      <c r="AD83" s="16"/>
      <c r="AE83" s="2">
        <v>1.3</v>
      </c>
      <c r="AF83" s="2" t="s">
        <v>420</v>
      </c>
      <c r="AG83" s="16"/>
      <c r="AH83" s="2"/>
      <c r="AI83">
        <v>16</v>
      </c>
      <c r="AJ83" s="2" t="s">
        <v>15</v>
      </c>
      <c r="AK83" s="17"/>
      <c r="AL83"/>
      <c r="AM83"/>
      <c r="AN83"/>
      <c r="AO83"/>
      <c r="AP83"/>
      <c r="AQ83" s="2"/>
      <c r="AR83"/>
      <c r="AS83" s="17"/>
      <c r="AT83"/>
      <c r="AU83"/>
      <c r="AV83"/>
      <c r="AW83"/>
      <c r="AX83" s="16" t="s">
        <v>1048</v>
      </c>
      <c r="AY83" s="16"/>
      <c r="AZ83"/>
      <c r="BA83"/>
      <c r="BB83" s="2"/>
      <c r="BC83" s="2"/>
      <c r="BD83"/>
      <c r="BE83"/>
      <c r="BF83"/>
      <c r="BG83" s="2" t="s">
        <v>1048</v>
      </c>
      <c r="BH83" s="16">
        <v>464.524765729585</v>
      </c>
      <c r="BI83" s="2">
        <v>1</v>
      </c>
      <c r="BJ83" s="28">
        <v>0.46452476572958501</v>
      </c>
      <c r="BK83" s="2" t="s">
        <v>1048</v>
      </c>
      <c r="BL83" s="3">
        <v>1.1183216399999998</v>
      </c>
      <c r="BM83" s="3">
        <v>0.60388219544846056</v>
      </c>
      <c r="BN83" s="3" t="s">
        <v>1048</v>
      </c>
    </row>
    <row r="84" spans="1:66" ht="15" customHeight="1" x14ac:dyDescent="0.3">
      <c r="A84" s="2" t="s">
        <v>128</v>
      </c>
      <c r="B84" s="2"/>
      <c r="C84" s="2" t="s">
        <v>464</v>
      </c>
      <c r="D84" s="15">
        <v>27.59</v>
      </c>
      <c r="E84" s="15">
        <v>114.39</v>
      </c>
      <c r="F84" s="2" t="s">
        <v>101</v>
      </c>
      <c r="G84" s="14" t="s">
        <v>101</v>
      </c>
      <c r="H84" s="2"/>
      <c r="I84" s="2"/>
      <c r="J84" s="16">
        <v>255.98956465863452</v>
      </c>
      <c r="K84" s="16" t="s">
        <v>1048</v>
      </c>
      <c r="L84" s="15" t="s">
        <v>14</v>
      </c>
      <c r="M84" s="2" t="s">
        <v>14</v>
      </c>
      <c r="N84" s="2">
        <v>3</v>
      </c>
      <c r="O84" s="3">
        <v>1.8386248356190118</v>
      </c>
      <c r="P84" s="3">
        <v>1.8386248356190118</v>
      </c>
      <c r="Q84" s="2" t="s">
        <v>1400</v>
      </c>
      <c r="R84" s="2">
        <v>4</v>
      </c>
      <c r="S84" s="24">
        <f>143.51*0.00384</f>
        <v>0.55107839999999997</v>
      </c>
      <c r="T84" s="2" t="s">
        <v>424</v>
      </c>
      <c r="U84" s="16" t="s">
        <v>465</v>
      </c>
      <c r="V84" s="16" t="s">
        <v>466</v>
      </c>
      <c r="W84" s="3">
        <v>0.38400000000000001</v>
      </c>
      <c r="X84" s="3" t="s">
        <v>117</v>
      </c>
      <c r="Y84" s="3" t="s">
        <v>465</v>
      </c>
      <c r="Z84" s="2">
        <v>114</v>
      </c>
      <c r="AA84" s="2" t="s">
        <v>15</v>
      </c>
      <c r="AB84" s="16"/>
      <c r="AC84"/>
      <c r="AD84" s="16"/>
      <c r="AE84"/>
      <c r="AF84"/>
      <c r="AG84" s="16"/>
      <c r="AH84" s="2"/>
      <c r="AI84"/>
      <c r="AJ84"/>
      <c r="AK84" s="17"/>
      <c r="AL84"/>
      <c r="AM84"/>
      <c r="AN84"/>
      <c r="AO84"/>
      <c r="AP84"/>
      <c r="AQ84" s="2"/>
      <c r="AR84"/>
      <c r="AS84" s="17"/>
      <c r="AT84"/>
      <c r="AU84"/>
      <c r="AV84"/>
      <c r="AW84"/>
      <c r="AX84" s="16" t="s">
        <v>1048</v>
      </c>
      <c r="AY84" s="16"/>
      <c r="AZ84"/>
      <c r="BA84"/>
      <c r="BB84"/>
      <c r="BC84"/>
      <c r="BD84"/>
      <c r="BE84"/>
      <c r="BF84"/>
      <c r="BG84" s="2" t="s">
        <v>1048</v>
      </c>
      <c r="BH84" s="16" t="s">
        <v>1048</v>
      </c>
      <c r="BI84" s="16">
        <v>464.524765729585</v>
      </c>
      <c r="BJ84" s="2" t="s">
        <v>1048</v>
      </c>
      <c r="BK84" s="28">
        <v>0.46452476572958501</v>
      </c>
      <c r="BL84" s="3">
        <v>1</v>
      </c>
      <c r="BM84" s="3" t="s">
        <v>1048</v>
      </c>
      <c r="BN84" s="3">
        <v>0.17837751004016064</v>
      </c>
    </row>
    <row r="85" spans="1:66" ht="15" customHeight="1" x14ac:dyDescent="0.3">
      <c r="A85" s="2" t="s">
        <v>69</v>
      </c>
      <c r="B85" s="2" t="s">
        <v>70</v>
      </c>
      <c r="C85" s="2" t="s">
        <v>530</v>
      </c>
      <c r="D85" s="15">
        <v>37.831710999999999</v>
      </c>
      <c r="E85" s="15">
        <v>-117.89526499999999</v>
      </c>
      <c r="F85" s="2" t="s">
        <v>72</v>
      </c>
      <c r="G85" s="14" t="s">
        <v>72</v>
      </c>
      <c r="H85" s="2"/>
      <c r="I85" s="2"/>
      <c r="J85" s="16">
        <v>234.4</v>
      </c>
      <c r="K85" s="16">
        <v>108.17940000000002</v>
      </c>
      <c r="L85" s="15" t="s">
        <v>1052</v>
      </c>
      <c r="M85" s="2" t="s">
        <v>102</v>
      </c>
      <c r="N85" s="2">
        <v>164</v>
      </c>
      <c r="O85" s="3"/>
      <c r="P85" s="3">
        <v>4.5087356753710308</v>
      </c>
      <c r="Q85" s="2" t="s">
        <v>1405</v>
      </c>
      <c r="R85" s="2">
        <v>4</v>
      </c>
      <c r="S85" s="2">
        <f>146.5*1600/1000000</f>
        <v>0.2344</v>
      </c>
      <c r="T85" s="4" t="s">
        <v>296</v>
      </c>
      <c r="U85" s="2" t="s">
        <v>536</v>
      </c>
      <c r="V85" s="16" t="s">
        <v>537</v>
      </c>
      <c r="W85" s="16">
        <v>1600</v>
      </c>
      <c r="X85" s="2" t="s">
        <v>78</v>
      </c>
      <c r="Y85" s="16" t="s">
        <v>538</v>
      </c>
      <c r="Z85" s="2">
        <v>100</v>
      </c>
      <c r="AA85" s="2" t="s">
        <v>533</v>
      </c>
      <c r="AB85" s="3">
        <f>60.2*1797/1000000</f>
        <v>0.10817940000000001</v>
      </c>
      <c r="AC85" s="2" t="s">
        <v>296</v>
      </c>
      <c r="AD85" s="2" t="s">
        <v>534</v>
      </c>
      <c r="AE85" s="2">
        <v>1797</v>
      </c>
      <c r="AF85" s="2" t="s">
        <v>78</v>
      </c>
      <c r="AG85" s="16" t="s">
        <v>535</v>
      </c>
      <c r="AH85" s="2"/>
      <c r="AI85">
        <v>100</v>
      </c>
      <c r="AJ85" s="2" t="s">
        <v>533</v>
      </c>
      <c r="AK85" s="17">
        <v>2510</v>
      </c>
      <c r="AL85" s="18" t="s">
        <v>10</v>
      </c>
      <c r="AM85" s="18" t="s">
        <v>31</v>
      </c>
      <c r="AN85" s="2"/>
      <c r="AO85" s="18" t="s">
        <v>47</v>
      </c>
      <c r="AP85" s="2" t="s">
        <v>66</v>
      </c>
      <c r="AQ85" s="2">
        <v>100</v>
      </c>
      <c r="AR85" s="2" t="s">
        <v>83</v>
      </c>
      <c r="AS85" s="17">
        <v>472.3</v>
      </c>
      <c r="AT85" s="2" t="s">
        <v>88</v>
      </c>
      <c r="AU85" s="2" t="s">
        <v>540</v>
      </c>
      <c r="AV85">
        <v>100</v>
      </c>
      <c r="AW85" s="2" t="s">
        <v>539</v>
      </c>
      <c r="AX85" s="16">
        <v>3.6323304721030052</v>
      </c>
      <c r="AY85" s="16">
        <v>21951</v>
      </c>
      <c r="AZ85" s="2" t="s">
        <v>532</v>
      </c>
      <c r="BA85"/>
      <c r="BB85"/>
      <c r="BC85" s="2">
        <v>26</v>
      </c>
      <c r="BD85">
        <v>100</v>
      </c>
      <c r="BE85" s="2" t="s">
        <v>168</v>
      </c>
      <c r="BF85"/>
      <c r="BG85" s="16">
        <v>1.6547448736289942E-4</v>
      </c>
      <c r="BH85" s="16">
        <v>1000</v>
      </c>
      <c r="BI85" s="16">
        <v>1000</v>
      </c>
      <c r="BJ85" s="2">
        <v>1E-4</v>
      </c>
      <c r="BK85" s="2">
        <v>1E-4</v>
      </c>
      <c r="BL85" s="3">
        <v>1.0805039999999999</v>
      </c>
      <c r="BM85" s="3">
        <v>0.1797</v>
      </c>
      <c r="BN85" s="3">
        <v>0.16</v>
      </c>
    </row>
    <row r="86" spans="1:66" ht="15" customHeight="1" x14ac:dyDescent="0.3">
      <c r="A86" s="2" t="s">
        <v>519</v>
      </c>
      <c r="B86" s="2"/>
      <c r="C86" s="2" t="s">
        <v>520</v>
      </c>
      <c r="D86" s="15">
        <v>5.45</v>
      </c>
      <c r="E86" s="15">
        <v>39.020000000000003</v>
      </c>
      <c r="F86" s="2" t="s">
        <v>101</v>
      </c>
      <c r="G86" s="14" t="s">
        <v>101</v>
      </c>
      <c r="H86" s="2"/>
      <c r="I86" s="2"/>
      <c r="J86" s="16">
        <v>228.75190648000003</v>
      </c>
      <c r="K86" s="16" t="s">
        <v>1048</v>
      </c>
      <c r="L86" s="15" t="s">
        <v>1051</v>
      </c>
      <c r="M86"/>
      <c r="N86"/>
      <c r="O86" s="3"/>
      <c r="P86" s="3"/>
      <c r="Q86" s="2"/>
      <c r="R86" s="2"/>
      <c r="S86" s="16">
        <f t="shared" ref="S86:S87" si="2">+J86/1000</f>
        <v>0.22875190648000004</v>
      </c>
      <c r="T86" t="s">
        <v>1452</v>
      </c>
      <c r="U86" s="16"/>
      <c r="V86" s="16"/>
      <c r="W86" s="3"/>
      <c r="X86" s="3"/>
      <c r="Y86" s="3"/>
      <c r="Z86" s="2">
        <v>2</v>
      </c>
      <c r="AA86"/>
      <c r="AB86" s="16"/>
      <c r="AC86"/>
      <c r="AD86" s="16"/>
      <c r="AE86"/>
      <c r="AF86"/>
      <c r="AG86" s="16"/>
      <c r="AH86" s="2"/>
      <c r="AI86"/>
      <c r="AJ86"/>
      <c r="AK86" s="17"/>
      <c r="AL86"/>
      <c r="AM86"/>
      <c r="AN86"/>
      <c r="AO86"/>
      <c r="AP86"/>
      <c r="AQ86" s="2"/>
      <c r="AR86"/>
      <c r="AS86" s="17"/>
      <c r="AT86"/>
      <c r="AU86"/>
      <c r="AV86"/>
      <c r="AW86"/>
      <c r="AX86" s="16" t="s">
        <v>1048</v>
      </c>
      <c r="AY86" s="16"/>
      <c r="AZ86"/>
      <c r="BA86"/>
      <c r="BB86"/>
      <c r="BC86"/>
      <c r="BD86"/>
      <c r="BE86"/>
      <c r="BF86"/>
      <c r="BG86" s="2" t="s">
        <v>1048</v>
      </c>
      <c r="BH86" s="16" t="s">
        <v>1048</v>
      </c>
      <c r="BI86" s="2">
        <v>1</v>
      </c>
      <c r="BJ86" s="2" t="s">
        <v>1048</v>
      </c>
      <c r="BK86" s="2" t="s">
        <v>1048</v>
      </c>
      <c r="BL86" s="3" t="s">
        <v>1048</v>
      </c>
      <c r="BM86" s="3" t="s">
        <v>1048</v>
      </c>
      <c r="BN86" s="3" t="s">
        <v>1048</v>
      </c>
    </row>
    <row r="87" spans="1:66" ht="15" customHeight="1" x14ac:dyDescent="0.3">
      <c r="A87" s="2" t="s">
        <v>69</v>
      </c>
      <c r="B87" s="2" t="s">
        <v>391</v>
      </c>
      <c r="C87" s="2" t="s">
        <v>521</v>
      </c>
      <c r="D87" s="15">
        <v>33.243000000000002</v>
      </c>
      <c r="E87" s="15">
        <v>-93.454999999999998</v>
      </c>
      <c r="F87" s="2" t="s">
        <v>13</v>
      </c>
      <c r="G87" s="14" t="s">
        <v>384</v>
      </c>
      <c r="H87" s="2"/>
      <c r="I87" s="2"/>
      <c r="J87" s="16">
        <v>224.66</v>
      </c>
      <c r="K87" s="16" t="s">
        <v>1048</v>
      </c>
      <c r="L87" s="15" t="s">
        <v>1051</v>
      </c>
      <c r="M87" s="2"/>
      <c r="N87" s="2"/>
      <c r="O87" s="3"/>
      <c r="P87" s="3">
        <v>4.959609242908134</v>
      </c>
      <c r="Q87" s="2" t="s">
        <v>1404</v>
      </c>
      <c r="R87" s="2">
        <v>4</v>
      </c>
      <c r="S87" s="16">
        <f t="shared" si="2"/>
        <v>0.22466</v>
      </c>
      <c r="T87" t="s">
        <v>1452</v>
      </c>
      <c r="U87" s="16"/>
      <c r="V87" s="16"/>
      <c r="W87" s="3"/>
      <c r="X87" s="3"/>
      <c r="Y87" s="3"/>
      <c r="Z87" s="2">
        <v>2</v>
      </c>
      <c r="AA87"/>
      <c r="AB87" s="16"/>
      <c r="AC87"/>
      <c r="AD87" s="16"/>
      <c r="AE87"/>
      <c r="AF87"/>
      <c r="AG87" s="16"/>
      <c r="AH87" s="2"/>
      <c r="AI87"/>
      <c r="AJ87"/>
      <c r="AK87" s="17"/>
      <c r="AL87"/>
      <c r="AM87"/>
      <c r="AN87"/>
      <c r="AO87"/>
      <c r="AP87"/>
      <c r="AQ87" s="2"/>
      <c r="AR87"/>
      <c r="AS87" s="17"/>
      <c r="AT87"/>
      <c r="AU87"/>
      <c r="AV87"/>
      <c r="AW87"/>
      <c r="AX87" s="16" t="s">
        <v>1048</v>
      </c>
      <c r="AY87" s="16"/>
      <c r="AZ87"/>
      <c r="BA87"/>
      <c r="BB87"/>
      <c r="BC87"/>
      <c r="BD87"/>
      <c r="BE87"/>
      <c r="BF87"/>
      <c r="BG87" s="2" t="s">
        <v>1048</v>
      </c>
      <c r="BH87" s="16" t="s">
        <v>1048</v>
      </c>
      <c r="BI87" s="2">
        <v>1</v>
      </c>
      <c r="BJ87" s="2" t="s">
        <v>1048</v>
      </c>
      <c r="BK87" s="2" t="s">
        <v>1048</v>
      </c>
      <c r="BL87" s="3" t="s">
        <v>1048</v>
      </c>
      <c r="BM87" s="3" t="s">
        <v>1048</v>
      </c>
      <c r="BN87" s="3" t="s">
        <v>1048</v>
      </c>
    </row>
    <row r="88" spans="1:66" ht="15" customHeight="1" x14ac:dyDescent="0.3">
      <c r="A88" s="2" t="s">
        <v>128</v>
      </c>
      <c r="B88" s="2"/>
      <c r="C88" s="2" t="s">
        <v>1030</v>
      </c>
      <c r="D88" s="14">
        <v>28.36</v>
      </c>
      <c r="E88" s="14">
        <v>114.55</v>
      </c>
      <c r="F88" s="2" t="s">
        <v>101</v>
      </c>
      <c r="G88" s="14" t="s">
        <v>101</v>
      </c>
      <c r="H88" s="14"/>
      <c r="I88" s="14"/>
      <c r="J88" s="16">
        <v>217.76407253012047</v>
      </c>
      <c r="K88" s="16">
        <v>113.11178510040162</v>
      </c>
      <c r="L88" s="15" t="s">
        <v>14</v>
      </c>
      <c r="M88" s="2" t="s">
        <v>14</v>
      </c>
      <c r="N88" s="2">
        <v>5</v>
      </c>
      <c r="O88"/>
      <c r="P88"/>
      <c r="Q88" s="2"/>
      <c r="R88" s="2"/>
      <c r="S88" s="28">
        <f>91.9194*0.0051</f>
        <v>0.46878893999999999</v>
      </c>
      <c r="T88" s="2" t="s">
        <v>985</v>
      </c>
      <c r="U88" s="16" t="s">
        <v>1033</v>
      </c>
      <c r="V88" s="16" t="s">
        <v>1028</v>
      </c>
      <c r="W88" s="2">
        <v>0.51</v>
      </c>
      <c r="X88" s="17" t="s">
        <v>117</v>
      </c>
      <c r="Y88" s="17" t="s">
        <v>986</v>
      </c>
      <c r="Z88" s="2">
        <v>127</v>
      </c>
      <c r="AA88" s="7" t="s">
        <v>15</v>
      </c>
      <c r="AB88" s="28">
        <f>47.7451*0.0051</f>
        <v>0.24350001000000002</v>
      </c>
      <c r="AC88" s="4" t="s">
        <v>985</v>
      </c>
      <c r="AD88" s="16"/>
      <c r="AE88" s="2">
        <v>0.51</v>
      </c>
      <c r="AF88" s="17" t="s">
        <v>117</v>
      </c>
      <c r="AG88" s="16"/>
      <c r="AH88" s="16"/>
      <c r="AI88">
        <v>127</v>
      </c>
      <c r="AJ88"/>
      <c r="AK88" s="17"/>
      <c r="AL88"/>
      <c r="AM88"/>
      <c r="AN88"/>
      <c r="AO88"/>
      <c r="AP88"/>
      <c r="AQ88" s="2"/>
      <c r="AR88"/>
      <c r="AS88" s="17"/>
      <c r="AT88"/>
      <c r="AU88"/>
      <c r="AV88"/>
      <c r="AW88"/>
      <c r="AX88" s="16">
        <v>3.5536144578313253</v>
      </c>
      <c r="AY88" s="3">
        <f>1.5*0.0051*1000</f>
        <v>7.65</v>
      </c>
      <c r="AZ88" s="2" t="s">
        <v>470</v>
      </c>
      <c r="BA88" s="2" t="s">
        <v>1031</v>
      </c>
      <c r="BB88" s="2" t="s">
        <v>1032</v>
      </c>
      <c r="BC88" s="2">
        <v>31.68</v>
      </c>
      <c r="BD88">
        <v>127</v>
      </c>
      <c r="BE88" s="7" t="s">
        <v>15</v>
      </c>
      <c r="BF88"/>
      <c r="BG88" s="16">
        <v>0.46452476572958501</v>
      </c>
      <c r="BH88" s="16">
        <v>464.524765729585</v>
      </c>
      <c r="BI88" s="16">
        <v>464.524765729585</v>
      </c>
      <c r="BJ88" s="28">
        <v>0.46452476572958501</v>
      </c>
      <c r="BK88" s="28">
        <v>0.46452476572958501</v>
      </c>
      <c r="BL88" s="3" t="s">
        <v>1048</v>
      </c>
      <c r="BM88" s="3">
        <v>0.23690763052208835</v>
      </c>
      <c r="BN88" s="3">
        <v>0.23690763052208835</v>
      </c>
    </row>
    <row r="89" spans="1:66" ht="15" customHeight="1" x14ac:dyDescent="0.3">
      <c r="A89" s="2" t="s">
        <v>69</v>
      </c>
      <c r="B89" s="2" t="s">
        <v>522</v>
      </c>
      <c r="C89" s="2" t="s">
        <v>523</v>
      </c>
      <c r="D89" s="15">
        <v>44.544719999999998</v>
      </c>
      <c r="E89" s="15">
        <v>-70.743610000000004</v>
      </c>
      <c r="F89" s="2" t="s">
        <v>101</v>
      </c>
      <c r="G89" s="14" t="s">
        <v>101</v>
      </c>
      <c r="H89" s="2"/>
      <c r="I89" s="2"/>
      <c r="J89" s="16">
        <v>217.58443200000002</v>
      </c>
      <c r="K89" s="16" t="s">
        <v>1048</v>
      </c>
      <c r="L89" s="15" t="s">
        <v>1051</v>
      </c>
      <c r="M89" s="2"/>
      <c r="N89"/>
      <c r="O89" s="3"/>
      <c r="P89" s="3"/>
      <c r="Q89" s="2"/>
      <c r="R89" s="2"/>
      <c r="S89" s="16">
        <f>+J89/1000</f>
        <v>0.21758443200000002</v>
      </c>
      <c r="T89" t="s">
        <v>1452</v>
      </c>
      <c r="U89" s="16"/>
      <c r="V89" s="16"/>
      <c r="W89" s="3"/>
      <c r="X89" s="3"/>
      <c r="Y89" s="3"/>
      <c r="Z89" s="2">
        <v>2</v>
      </c>
      <c r="AA89"/>
      <c r="AB89" s="16"/>
      <c r="AC89"/>
      <c r="AD89" s="16"/>
      <c r="AE89"/>
      <c r="AF89"/>
      <c r="AG89" s="16"/>
      <c r="AH89" s="2"/>
      <c r="AI89"/>
      <c r="AJ89"/>
      <c r="AK89" s="17"/>
      <c r="AL89"/>
      <c r="AM89"/>
      <c r="AN89"/>
      <c r="AO89"/>
      <c r="AP89"/>
      <c r="AQ89" s="2"/>
      <c r="AR89"/>
      <c r="AS89" s="17"/>
      <c r="AT89"/>
      <c r="AU89"/>
      <c r="AV89"/>
      <c r="AW89"/>
      <c r="AX89" s="16" t="s">
        <v>1048</v>
      </c>
      <c r="AY89" s="16"/>
      <c r="AZ89"/>
      <c r="BA89"/>
      <c r="BB89"/>
      <c r="BC89"/>
      <c r="BD89"/>
      <c r="BE89"/>
      <c r="BF89"/>
      <c r="BG89" s="2" t="s">
        <v>1048</v>
      </c>
      <c r="BH89" s="16" t="s">
        <v>1048</v>
      </c>
      <c r="BI89" s="2">
        <v>1</v>
      </c>
      <c r="BJ89" s="2" t="s">
        <v>1048</v>
      </c>
      <c r="BK89" s="2" t="s">
        <v>1048</v>
      </c>
      <c r="BL89" s="3" t="s">
        <v>1048</v>
      </c>
      <c r="BM89" s="3" t="s">
        <v>1048</v>
      </c>
      <c r="BN89" s="3" t="s">
        <v>1048</v>
      </c>
    </row>
    <row r="90" spans="1:66" ht="15" customHeight="1" x14ac:dyDescent="0.3">
      <c r="A90" s="2" t="s">
        <v>590</v>
      </c>
      <c r="B90" s="2"/>
      <c r="C90" s="2" t="s">
        <v>591</v>
      </c>
      <c r="D90" s="15">
        <v>5.23</v>
      </c>
      <c r="E90" s="15">
        <v>-1.03</v>
      </c>
      <c r="F90" s="2" t="s">
        <v>101</v>
      </c>
      <c r="G90" s="14" t="s">
        <v>101</v>
      </c>
      <c r="H90" s="14"/>
      <c r="I90" s="14"/>
      <c r="J90" s="16">
        <v>204.97155287817938</v>
      </c>
      <c r="K90" s="16">
        <v>145.08037483266401</v>
      </c>
      <c r="L90" s="15" t="s">
        <v>1052</v>
      </c>
      <c r="M90" s="2" t="s">
        <v>102</v>
      </c>
      <c r="N90" s="2">
        <v>165</v>
      </c>
      <c r="O90" s="3"/>
      <c r="P90" s="3">
        <v>6.2998309224121734</v>
      </c>
      <c r="Q90" s="2" t="s">
        <v>1404</v>
      </c>
      <c r="R90" s="2">
        <v>4</v>
      </c>
      <c r="S90" s="3">
        <f>35.3*0.0125</f>
        <v>0.44124999999999998</v>
      </c>
      <c r="T90" s="2" t="s">
        <v>139</v>
      </c>
      <c r="U90" s="3" t="s">
        <v>598</v>
      </c>
      <c r="V90" s="16"/>
      <c r="W90" s="3">
        <v>1.25</v>
      </c>
      <c r="X90" s="2" t="s">
        <v>117</v>
      </c>
      <c r="Y90" s="3" t="s">
        <v>599</v>
      </c>
      <c r="Z90" s="2">
        <v>18</v>
      </c>
      <c r="AA90" s="4" t="s">
        <v>28</v>
      </c>
      <c r="AB90" s="3">
        <f>25.6*0.0122</f>
        <v>0.31232000000000004</v>
      </c>
      <c r="AC90" s="2" t="s">
        <v>139</v>
      </c>
      <c r="AD90" s="16" t="s">
        <v>596</v>
      </c>
      <c r="AE90" s="2">
        <v>1.22</v>
      </c>
      <c r="AF90" s="2" t="s">
        <v>420</v>
      </c>
      <c r="AG90" s="3" t="s">
        <v>597</v>
      </c>
      <c r="AH90" s="2"/>
      <c r="AI90">
        <v>18</v>
      </c>
      <c r="AJ90" s="4" t="s">
        <v>595</v>
      </c>
      <c r="AK90" s="17">
        <v>377</v>
      </c>
      <c r="AL90" s="2" t="s">
        <v>326</v>
      </c>
      <c r="AM90" s="2" t="s">
        <v>121</v>
      </c>
      <c r="AN90" s="27">
        <v>0.06</v>
      </c>
      <c r="AO90" s="18" t="s">
        <v>47</v>
      </c>
      <c r="AP90" s="2" t="s">
        <v>600</v>
      </c>
      <c r="AQ90" s="2">
        <v>18</v>
      </c>
      <c r="AR90" s="2" t="s">
        <v>15</v>
      </c>
      <c r="AS90" s="17">
        <v>185</v>
      </c>
      <c r="AT90" s="2" t="s">
        <v>223</v>
      </c>
      <c r="AU90" s="2" t="s">
        <v>601</v>
      </c>
      <c r="AV90">
        <v>18</v>
      </c>
      <c r="AW90" s="2" t="s">
        <v>15</v>
      </c>
      <c r="AX90" s="16">
        <v>9.7550200803212856</v>
      </c>
      <c r="AY90" s="16">
        <f>350000*0.06</f>
        <v>21000</v>
      </c>
      <c r="AZ90" s="2" t="s">
        <v>593</v>
      </c>
      <c r="BA90" s="2" t="s">
        <v>594</v>
      </c>
      <c r="BB90" s="2" t="s">
        <v>544</v>
      </c>
      <c r="BC90" s="2">
        <v>12</v>
      </c>
      <c r="BD90">
        <v>18</v>
      </c>
      <c r="BE90" s="2" t="s">
        <v>15</v>
      </c>
      <c r="BF90"/>
      <c r="BG90" s="16">
        <v>4.64524765729585E-4</v>
      </c>
      <c r="BH90" s="16">
        <v>464.524765729585</v>
      </c>
      <c r="BI90" s="16">
        <v>464.524765729585</v>
      </c>
      <c r="BJ90" s="28">
        <v>0.46452476572958501</v>
      </c>
      <c r="BK90" s="28">
        <v>0.46452476572958501</v>
      </c>
      <c r="BL90" s="3">
        <v>0.91996320147194111</v>
      </c>
      <c r="BM90" s="3">
        <v>0.56672021419009366</v>
      </c>
      <c r="BN90" s="3">
        <v>0.58065595716198126</v>
      </c>
    </row>
    <row r="91" spans="1:66" ht="15" customHeight="1" x14ac:dyDescent="0.3">
      <c r="A91" s="2" t="s">
        <v>128</v>
      </c>
      <c r="B91" s="2"/>
      <c r="C91" s="2" t="s">
        <v>541</v>
      </c>
      <c r="D91" s="15">
        <v>30.33</v>
      </c>
      <c r="E91" s="15">
        <v>101.316</v>
      </c>
      <c r="F91" s="2" t="s">
        <v>101</v>
      </c>
      <c r="G91" s="14" t="s">
        <v>101</v>
      </c>
      <c r="H91" s="2"/>
      <c r="I91" s="2"/>
      <c r="J91" s="16">
        <v>204.14769600000002</v>
      </c>
      <c r="K91" s="16" t="s">
        <v>1048</v>
      </c>
      <c r="L91" s="15" t="s">
        <v>14</v>
      </c>
      <c r="M91" s="2" t="s">
        <v>14</v>
      </c>
      <c r="N91" s="2">
        <v>3</v>
      </c>
      <c r="O91" s="3">
        <v>1.1455945895171895</v>
      </c>
      <c r="P91" s="3">
        <v>1.1455945895171895</v>
      </c>
      <c r="Q91" s="2" t="s">
        <v>1400</v>
      </c>
      <c r="R91" s="2">
        <v>4</v>
      </c>
      <c r="S91" s="16">
        <f>+J91/1000</f>
        <v>0.20414769600000002</v>
      </c>
      <c r="T91" t="s">
        <v>1452</v>
      </c>
      <c r="U91" s="16"/>
      <c r="V91" s="16"/>
      <c r="W91" s="3"/>
      <c r="X91" s="3"/>
      <c r="Y91" s="3"/>
      <c r="Z91" s="2">
        <v>2</v>
      </c>
      <c r="AA91"/>
      <c r="AB91" s="16"/>
      <c r="AC91"/>
      <c r="AD91" s="16"/>
      <c r="AE91"/>
      <c r="AF91"/>
      <c r="AG91" s="16"/>
      <c r="AH91" s="2"/>
      <c r="AI91"/>
      <c r="AJ91"/>
      <c r="AK91" s="17"/>
      <c r="AL91"/>
      <c r="AM91"/>
      <c r="AN91"/>
      <c r="AO91"/>
      <c r="AP91"/>
      <c r="AQ91" s="2"/>
      <c r="AR91"/>
      <c r="AS91" s="17"/>
      <c r="AT91"/>
      <c r="AU91"/>
      <c r="AV91"/>
      <c r="AW91"/>
      <c r="AX91" s="16" t="s">
        <v>1048</v>
      </c>
      <c r="AY91" s="16"/>
      <c r="AZ91"/>
      <c r="BA91"/>
      <c r="BB91"/>
      <c r="BC91"/>
      <c r="BD91"/>
      <c r="BE91"/>
      <c r="BF91"/>
      <c r="BG91" s="2" t="s">
        <v>1048</v>
      </c>
      <c r="BH91" s="16" t="s">
        <v>1048</v>
      </c>
      <c r="BI91" s="2">
        <v>1</v>
      </c>
      <c r="BJ91" s="2" t="s">
        <v>1048</v>
      </c>
      <c r="BK91" s="2" t="s">
        <v>1048</v>
      </c>
      <c r="BL91" s="3" t="s">
        <v>1048</v>
      </c>
      <c r="BM91" s="3" t="s">
        <v>1048</v>
      </c>
      <c r="BN91" s="3" t="s">
        <v>1048</v>
      </c>
    </row>
    <row r="92" spans="1:66" ht="15" customHeight="1" x14ac:dyDescent="0.3">
      <c r="A92" s="2" t="s">
        <v>750</v>
      </c>
      <c r="B92" s="2"/>
      <c r="C92" s="2" t="s">
        <v>751</v>
      </c>
      <c r="D92" s="15">
        <v>46.84</v>
      </c>
      <c r="E92" s="15">
        <v>14.99</v>
      </c>
      <c r="F92" s="2" t="s">
        <v>101</v>
      </c>
      <c r="G92" s="14" t="s">
        <v>101</v>
      </c>
      <c r="H92" s="14"/>
      <c r="I92" s="14"/>
      <c r="J92" s="16">
        <v>203.83346720214189</v>
      </c>
      <c r="K92" s="16" t="s">
        <v>1048</v>
      </c>
      <c r="L92" s="15" t="s">
        <v>1052</v>
      </c>
      <c r="M92" s="2" t="s">
        <v>102</v>
      </c>
      <c r="N92" s="2">
        <v>166</v>
      </c>
      <c r="O92" s="3"/>
      <c r="P92" s="3">
        <v>1.4548187112530526</v>
      </c>
      <c r="Q92" s="2" t="s">
        <v>1405</v>
      </c>
      <c r="R92" s="2">
        <v>4</v>
      </c>
      <c r="S92" s="3">
        <f>(2.86*0.0128)+(3.44*0.0108)+(4.68*0.078)</f>
        <v>0.43879999999999997</v>
      </c>
      <c r="T92" s="2" t="s">
        <v>139</v>
      </c>
      <c r="U92" s="16" t="s">
        <v>756</v>
      </c>
      <c r="V92" s="16" t="s">
        <v>316</v>
      </c>
      <c r="W92" s="3">
        <v>1</v>
      </c>
      <c r="X92" s="2" t="s">
        <v>117</v>
      </c>
      <c r="Y92" s="3" t="s">
        <v>757</v>
      </c>
      <c r="Z92" s="2">
        <v>64</v>
      </c>
      <c r="AA92" s="2" t="s">
        <v>23</v>
      </c>
      <c r="AB92" s="16"/>
      <c r="AC92"/>
      <c r="AD92" s="16"/>
      <c r="AE92"/>
      <c r="AF92"/>
      <c r="AG92" s="16"/>
      <c r="AH92" s="2"/>
      <c r="AI92"/>
      <c r="AJ92"/>
      <c r="AK92" s="17"/>
      <c r="AL92"/>
      <c r="AM92"/>
      <c r="AN92"/>
      <c r="AO92"/>
      <c r="AP92"/>
      <c r="AQ92" s="2"/>
      <c r="AR92"/>
      <c r="AS92" s="17">
        <v>339.4</v>
      </c>
      <c r="AT92" s="2" t="s">
        <v>88</v>
      </c>
      <c r="AU92" s="2" t="s">
        <v>758</v>
      </c>
      <c r="AV92">
        <v>64</v>
      </c>
      <c r="AW92" s="2" t="s">
        <v>428</v>
      </c>
      <c r="AX92" s="16">
        <v>1.6547448736289943</v>
      </c>
      <c r="AY92" s="16">
        <v>10000</v>
      </c>
      <c r="AZ92" s="2" t="s">
        <v>754</v>
      </c>
      <c r="BA92"/>
      <c r="BB92"/>
      <c r="BC92" s="2" t="s">
        <v>755</v>
      </c>
      <c r="BD92">
        <v>64</v>
      </c>
      <c r="BE92" s="2" t="s">
        <v>168</v>
      </c>
      <c r="BF92"/>
      <c r="BG92" s="16">
        <v>1.6547448736289942E-4</v>
      </c>
      <c r="BH92" s="16" t="s">
        <v>1048</v>
      </c>
      <c r="BI92" s="16">
        <v>464.524765729585</v>
      </c>
      <c r="BJ92" s="2" t="s">
        <v>1048</v>
      </c>
      <c r="BK92" s="28">
        <v>0.46452476572958501</v>
      </c>
      <c r="BL92" s="3">
        <v>1.0469999999999999</v>
      </c>
      <c r="BM92" s="3" t="s">
        <v>1048</v>
      </c>
      <c r="BN92" s="3">
        <v>0.46452476572958501</v>
      </c>
    </row>
    <row r="93" spans="1:66" ht="15" customHeight="1" x14ac:dyDescent="0.3">
      <c r="A93" s="2" t="s">
        <v>484</v>
      </c>
      <c r="B93" s="2"/>
      <c r="C93" s="2" t="s">
        <v>883</v>
      </c>
      <c r="D93" s="15">
        <v>-16.739999999999998</v>
      </c>
      <c r="E93" s="15">
        <v>-41.9</v>
      </c>
      <c r="F93" s="2" t="s">
        <v>101</v>
      </c>
      <c r="G93" s="14" t="s">
        <v>101</v>
      </c>
      <c r="H93" s="2"/>
      <c r="I93" s="2"/>
      <c r="J93" s="16">
        <v>185.78684353004874</v>
      </c>
      <c r="K93" s="16">
        <v>137.12793719545209</v>
      </c>
      <c r="L93" s="15" t="s">
        <v>1052</v>
      </c>
      <c r="M93" s="2" t="s">
        <v>268</v>
      </c>
      <c r="N93" s="2">
        <v>90</v>
      </c>
      <c r="O93" s="3"/>
      <c r="P93" s="3"/>
      <c r="Q93" s="2"/>
      <c r="R93" s="2"/>
      <c r="S93" s="24">
        <f>653.5+203.9+131.5</f>
        <v>988.9</v>
      </c>
      <c r="T93" s="2" t="s">
        <v>249</v>
      </c>
      <c r="U93" s="16" t="s">
        <v>888</v>
      </c>
      <c r="V93"/>
      <c r="W93" s="3">
        <v>1.38</v>
      </c>
      <c r="X93" s="2" t="s">
        <v>117</v>
      </c>
      <c r="Y93" s="16" t="s">
        <v>890</v>
      </c>
      <c r="Z93" s="2">
        <v>49</v>
      </c>
      <c r="AA93" s="2" t="s">
        <v>889</v>
      </c>
      <c r="AB93" s="24">
        <f>576.8+153.1</f>
        <v>729.9</v>
      </c>
      <c r="AC93" s="2" t="s">
        <v>249</v>
      </c>
      <c r="AD93" s="16" t="s">
        <v>886</v>
      </c>
      <c r="AE93" s="2">
        <v>1.36</v>
      </c>
      <c r="AF93" s="2" t="s">
        <v>420</v>
      </c>
      <c r="AG93" s="16" t="s">
        <v>887</v>
      </c>
      <c r="AH93" s="24">
        <v>0.5</v>
      </c>
      <c r="AI93">
        <v>49</v>
      </c>
      <c r="AJ93" s="2" t="s">
        <v>539</v>
      </c>
      <c r="AK93" s="17">
        <v>408</v>
      </c>
      <c r="AL93" s="2" t="s">
        <v>326</v>
      </c>
      <c r="AM93" s="2" t="s">
        <v>121</v>
      </c>
      <c r="AN93" s="27">
        <v>0.06</v>
      </c>
      <c r="AO93" s="18" t="s">
        <v>47</v>
      </c>
      <c r="AP93" s="2" t="s">
        <v>495</v>
      </c>
      <c r="AQ93" s="2">
        <v>49</v>
      </c>
      <c r="AR93" s="2" t="s">
        <v>891</v>
      </c>
      <c r="AS93" s="17">
        <v>76</v>
      </c>
      <c r="AT93" s="2" t="s">
        <v>88</v>
      </c>
      <c r="AU93" s="2" t="s">
        <v>123</v>
      </c>
      <c r="AV93">
        <v>49</v>
      </c>
      <c r="AW93" s="2" t="s">
        <v>892</v>
      </c>
      <c r="AX93" s="16">
        <v>6.6668594377510031</v>
      </c>
      <c r="AY93" s="16">
        <f>276*0.052</f>
        <v>14.351999999999999</v>
      </c>
      <c r="AZ93" s="2" t="s">
        <v>470</v>
      </c>
      <c r="BA93" s="2" t="s">
        <v>884</v>
      </c>
      <c r="BB93"/>
      <c r="BC93" s="2">
        <v>12</v>
      </c>
      <c r="BD93">
        <v>49</v>
      </c>
      <c r="BE93" s="2" t="s">
        <v>885</v>
      </c>
      <c r="BF93"/>
      <c r="BG93" s="16">
        <v>0.46452476572958501</v>
      </c>
      <c r="BH93" s="16">
        <v>0.18787222523010288</v>
      </c>
      <c r="BI93" s="21">
        <v>0.18787222523010288</v>
      </c>
      <c r="BJ93" s="28">
        <v>0.46452476572958501</v>
      </c>
      <c r="BK93" s="28">
        <v>0.46452476572958501</v>
      </c>
      <c r="BL93" s="3">
        <v>1</v>
      </c>
      <c r="BM93" s="3">
        <v>0.63175368139223564</v>
      </c>
      <c r="BN93" s="3">
        <v>0.64104417670682723</v>
      </c>
    </row>
    <row r="94" spans="1:66" ht="15" customHeight="1" x14ac:dyDescent="0.3">
      <c r="A94" s="2" t="s">
        <v>484</v>
      </c>
      <c r="B94" s="2"/>
      <c r="C94" s="2" t="s">
        <v>893</v>
      </c>
      <c r="D94" s="15">
        <v>-16.739999999999998</v>
      </c>
      <c r="E94" s="15">
        <v>-41.9</v>
      </c>
      <c r="F94" s="2" t="s">
        <v>101</v>
      </c>
      <c r="G94" s="14" t="s">
        <v>101</v>
      </c>
      <c r="H94" s="2"/>
      <c r="I94" s="2"/>
      <c r="J94" s="16">
        <v>185.24201407688145</v>
      </c>
      <c r="K94" s="16" t="s">
        <v>1048</v>
      </c>
      <c r="L94" s="15" t="s">
        <v>1051</v>
      </c>
      <c r="M94"/>
      <c r="N94"/>
      <c r="O94" s="3"/>
      <c r="P94" s="3"/>
      <c r="Q94" s="2"/>
      <c r="R94" s="2"/>
      <c r="S94" s="16">
        <f>92+765+129</f>
        <v>986</v>
      </c>
      <c r="T94" s="2" t="s">
        <v>249</v>
      </c>
      <c r="U94" s="16" t="s">
        <v>894</v>
      </c>
      <c r="V94"/>
      <c r="W94" s="3">
        <v>1.49</v>
      </c>
      <c r="X94" s="2" t="s">
        <v>117</v>
      </c>
      <c r="Y94" s="16" t="s">
        <v>895</v>
      </c>
      <c r="Z94" s="2">
        <v>49</v>
      </c>
      <c r="AA94" s="2" t="s">
        <v>492</v>
      </c>
      <c r="AB94" s="16"/>
      <c r="AC94"/>
      <c r="AD94" s="16"/>
      <c r="AE94"/>
      <c r="AF94"/>
      <c r="AG94" s="16"/>
      <c r="AH94" s="16"/>
      <c r="AI94"/>
      <c r="AJ94"/>
      <c r="AK94" s="17"/>
      <c r="AL94"/>
      <c r="AM94"/>
      <c r="AN94"/>
      <c r="AO94"/>
      <c r="AP94"/>
      <c r="AQ94" s="2"/>
      <c r="AR94"/>
      <c r="AS94" s="17"/>
      <c r="AT94"/>
      <c r="AU94"/>
      <c r="AV94"/>
      <c r="AW94"/>
      <c r="AX94" s="16" t="s">
        <v>1048</v>
      </c>
      <c r="AY94" s="16"/>
      <c r="AZ94"/>
      <c r="BA94"/>
      <c r="BB94"/>
      <c r="BC94"/>
      <c r="BD94"/>
      <c r="BE94"/>
      <c r="BF94"/>
      <c r="BG94" s="2" t="s">
        <v>1048</v>
      </c>
      <c r="BH94" s="16" t="s">
        <v>1048</v>
      </c>
      <c r="BI94" s="21">
        <v>0.18787222523010288</v>
      </c>
      <c r="BJ94" s="2" t="s">
        <v>1048</v>
      </c>
      <c r="BK94" s="28">
        <v>0.46452476572958501</v>
      </c>
      <c r="BL94" s="3">
        <v>1</v>
      </c>
      <c r="BM94" s="3" t="s">
        <v>1048</v>
      </c>
      <c r="BN94" s="3">
        <v>0.69214190093708161</v>
      </c>
    </row>
    <row r="95" spans="1:66" ht="15" customHeight="1" x14ac:dyDescent="0.3">
      <c r="A95" s="2" t="s">
        <v>235</v>
      </c>
      <c r="B95" s="2"/>
      <c r="C95" s="2" t="s">
        <v>871</v>
      </c>
      <c r="D95" s="15">
        <v>52.152999999999999</v>
      </c>
      <c r="E95" s="15">
        <v>-114.74</v>
      </c>
      <c r="F95" s="2" t="s">
        <v>13</v>
      </c>
      <c r="G95" s="14" t="s">
        <v>384</v>
      </c>
      <c r="H95" s="2"/>
      <c r="I95" s="2"/>
      <c r="J95" s="16">
        <v>174.72116946399569</v>
      </c>
      <c r="K95" s="16" t="s">
        <v>1048</v>
      </c>
      <c r="L95" s="15" t="s">
        <v>1051</v>
      </c>
      <c r="M95"/>
      <c r="N95"/>
      <c r="O95" s="3"/>
      <c r="P95" s="3"/>
      <c r="Q95" s="2"/>
      <c r="R95" s="2"/>
      <c r="S95" s="3">
        <v>0.93</v>
      </c>
      <c r="T95" s="2" t="s">
        <v>79</v>
      </c>
      <c r="U95" s="3" t="s">
        <v>872</v>
      </c>
      <c r="V95" s="16" t="s">
        <v>401</v>
      </c>
      <c r="W95" s="3">
        <v>52.9</v>
      </c>
      <c r="X95" s="3" t="s">
        <v>22</v>
      </c>
      <c r="Y95" s="3" t="s">
        <v>874</v>
      </c>
      <c r="Z95" s="2">
        <v>82</v>
      </c>
      <c r="AA95" s="2" t="s">
        <v>873</v>
      </c>
      <c r="AB95" s="16"/>
      <c r="AC95"/>
      <c r="AD95" s="16"/>
      <c r="AE95"/>
      <c r="AF95"/>
      <c r="AG95" s="16"/>
      <c r="AH95" s="3"/>
      <c r="AI95"/>
      <c r="AJ95"/>
      <c r="AK95" s="17"/>
      <c r="AL95"/>
      <c r="AM95"/>
      <c r="AN95"/>
      <c r="AO95"/>
      <c r="AP95"/>
      <c r="AQ95" s="2"/>
      <c r="AR95"/>
      <c r="AS95" s="17"/>
      <c r="AT95"/>
      <c r="AU95"/>
      <c r="AV95"/>
      <c r="AW95"/>
      <c r="AX95" s="16" t="s">
        <v>1048</v>
      </c>
      <c r="AY95" s="16"/>
      <c r="AZ95"/>
      <c r="BA95"/>
      <c r="BB95"/>
      <c r="BC95"/>
      <c r="BD95"/>
      <c r="BE95"/>
      <c r="BF95"/>
      <c r="BG95" s="2" t="s">
        <v>1048</v>
      </c>
      <c r="BH95" s="16" t="s">
        <v>1048</v>
      </c>
      <c r="BI95" s="16">
        <v>187.87222523010288</v>
      </c>
      <c r="BJ95" s="2" t="s">
        <v>1048</v>
      </c>
      <c r="BK95" s="2">
        <v>1E-4</v>
      </c>
      <c r="BL95" s="3">
        <v>1.19681439926832</v>
      </c>
      <c r="BM95" s="3" t="s">
        <v>1048</v>
      </c>
      <c r="BN95" s="3">
        <v>5.2900000000000004E-3</v>
      </c>
    </row>
    <row r="96" spans="1:66" ht="15" customHeight="1" x14ac:dyDescent="0.3">
      <c r="A96" s="2" t="s">
        <v>17</v>
      </c>
      <c r="B96" s="30"/>
      <c r="C96" s="30" t="s">
        <v>966</v>
      </c>
      <c r="D96" s="14">
        <v>-27.49</v>
      </c>
      <c r="E96" s="14">
        <v>-69.2</v>
      </c>
      <c r="F96" s="2" t="s">
        <v>13</v>
      </c>
      <c r="G96" s="14" t="s">
        <v>13</v>
      </c>
      <c r="H96" s="2" t="s">
        <v>1045</v>
      </c>
      <c r="I96" s="2">
        <v>1</v>
      </c>
      <c r="J96" s="16">
        <v>172.84244721169466</v>
      </c>
      <c r="K96" s="16" t="s">
        <v>1048</v>
      </c>
      <c r="L96" s="15" t="s">
        <v>1052</v>
      </c>
      <c r="M96" s="4" t="s">
        <v>268</v>
      </c>
      <c r="N96" s="2">
        <v>116</v>
      </c>
      <c r="O96" s="3"/>
      <c r="P96" s="3"/>
      <c r="Q96" s="2"/>
      <c r="R96" s="2"/>
      <c r="S96" s="16">
        <v>0.92</v>
      </c>
      <c r="T96" s="2" t="s">
        <v>219</v>
      </c>
      <c r="U96" s="16" t="s">
        <v>967</v>
      </c>
      <c r="V96" s="16"/>
      <c r="W96" s="3">
        <v>207</v>
      </c>
      <c r="X96" s="17" t="s">
        <v>22</v>
      </c>
      <c r="Y96" s="17" t="s">
        <v>968</v>
      </c>
      <c r="Z96" s="2">
        <v>116</v>
      </c>
      <c r="AA96" s="2" t="s">
        <v>55</v>
      </c>
      <c r="AB96" s="16"/>
      <c r="AC96"/>
      <c r="AD96" s="16"/>
      <c r="AE96"/>
      <c r="AF96"/>
      <c r="AG96" s="16"/>
      <c r="AH96" s="16"/>
      <c r="AI96"/>
      <c r="AJ96"/>
      <c r="AK96" s="17">
        <v>3641</v>
      </c>
      <c r="AL96" s="18" t="s">
        <v>10</v>
      </c>
      <c r="AM96" s="18" t="s">
        <v>31</v>
      </c>
      <c r="AN96" s="18"/>
      <c r="AO96" s="18" t="s">
        <v>47</v>
      </c>
      <c r="AP96" s="2" t="s">
        <v>164</v>
      </c>
      <c r="AQ96" s="2">
        <v>116</v>
      </c>
      <c r="AR96" s="2" t="s">
        <v>411</v>
      </c>
      <c r="AS96" s="17">
        <v>450</v>
      </c>
      <c r="AT96" s="2" t="s">
        <v>33</v>
      </c>
      <c r="AU96" s="2" t="s">
        <v>965</v>
      </c>
      <c r="AV96">
        <v>116</v>
      </c>
      <c r="AW96" s="2" t="s">
        <v>411</v>
      </c>
      <c r="AX96" s="16">
        <v>3.7574445046020579</v>
      </c>
      <c r="AY96" s="16">
        <v>20000</v>
      </c>
      <c r="AZ96" s="2" t="s">
        <v>36</v>
      </c>
      <c r="BA96"/>
      <c r="BB96" s="2">
        <v>2028</v>
      </c>
      <c r="BC96" s="2">
        <v>12</v>
      </c>
      <c r="BD96">
        <v>116</v>
      </c>
      <c r="BE96" s="2" t="s">
        <v>411</v>
      </c>
      <c r="BF96"/>
      <c r="BG96" s="21">
        <v>1.8787222523010289E-4</v>
      </c>
      <c r="BH96" s="16" t="s">
        <v>1048</v>
      </c>
      <c r="BI96" s="16">
        <v>187.87222523010288</v>
      </c>
      <c r="BJ96" s="2" t="s">
        <v>1048</v>
      </c>
      <c r="BK96" s="2">
        <v>1E-4</v>
      </c>
      <c r="BL96" s="3" t="s">
        <v>1048</v>
      </c>
      <c r="BM96" s="3" t="s">
        <v>1048</v>
      </c>
      <c r="BN96" s="3">
        <v>2.07E-2</v>
      </c>
    </row>
    <row r="97" spans="1:66" ht="15" customHeight="1" x14ac:dyDescent="0.3">
      <c r="A97" s="2" t="s">
        <v>52</v>
      </c>
      <c r="B97" s="2"/>
      <c r="C97" s="2" t="s">
        <v>648</v>
      </c>
      <c r="D97" s="15">
        <v>-25.53</v>
      </c>
      <c r="E97" s="15">
        <v>-66.88</v>
      </c>
      <c r="F97" s="2" t="s">
        <v>13</v>
      </c>
      <c r="G97" s="14" t="s">
        <v>13</v>
      </c>
      <c r="H97" s="14"/>
      <c r="I97" s="14"/>
      <c r="J97" s="16">
        <v>167</v>
      </c>
      <c r="K97" s="16" t="s">
        <v>1048</v>
      </c>
      <c r="L97" s="15" t="s">
        <v>1052</v>
      </c>
      <c r="M97" s="2" t="s">
        <v>256</v>
      </c>
      <c r="N97" s="2">
        <v>167</v>
      </c>
      <c r="O97" s="3">
        <v>0.75145594589517184</v>
      </c>
      <c r="P97" s="3">
        <v>7.1388314860041326</v>
      </c>
      <c r="Q97" s="2" t="s">
        <v>1404</v>
      </c>
      <c r="R97" s="2">
        <v>4</v>
      </c>
      <c r="S97" s="16">
        <v>167</v>
      </c>
      <c r="T97" s="4" t="s">
        <v>273</v>
      </c>
      <c r="U97" s="16" t="s">
        <v>650</v>
      </c>
      <c r="V97" s="16" t="s">
        <v>652</v>
      </c>
      <c r="W97" s="3">
        <v>672</v>
      </c>
      <c r="X97" s="3" t="s">
        <v>22</v>
      </c>
      <c r="Y97" s="3" t="s">
        <v>653</v>
      </c>
      <c r="Z97" s="2">
        <v>43</v>
      </c>
      <c r="AA97" s="2" t="s">
        <v>651</v>
      </c>
      <c r="AB97" s="16"/>
      <c r="AC97"/>
      <c r="AD97" s="16"/>
      <c r="AE97" s="2"/>
      <c r="AF97" s="2"/>
      <c r="AG97" s="16"/>
      <c r="AH97" s="2"/>
      <c r="AI97"/>
      <c r="AJ97" s="2"/>
      <c r="AK97" s="17">
        <v>4277</v>
      </c>
      <c r="AL97" s="18" t="s">
        <v>10</v>
      </c>
      <c r="AM97" s="18" t="s">
        <v>31</v>
      </c>
      <c r="AN97" s="2"/>
      <c r="AO97" s="18" t="s">
        <v>47</v>
      </c>
      <c r="AP97" s="2" t="s">
        <v>654</v>
      </c>
      <c r="AQ97" s="2">
        <v>43</v>
      </c>
      <c r="AR97" s="2" t="s">
        <v>15</v>
      </c>
      <c r="AS97" s="17">
        <v>408</v>
      </c>
      <c r="AT97" s="2" t="s">
        <v>223</v>
      </c>
      <c r="AU97" s="2" t="s">
        <v>655</v>
      </c>
      <c r="AV97">
        <v>43</v>
      </c>
      <c r="AW97" s="2" t="s">
        <v>15</v>
      </c>
      <c r="AX97" s="16">
        <v>2.6302111532214405</v>
      </c>
      <c r="AY97" s="2">
        <v>14000</v>
      </c>
      <c r="AZ97" s="2" t="s">
        <v>294</v>
      </c>
      <c r="BA97"/>
      <c r="BB97"/>
      <c r="BC97" s="2">
        <v>25</v>
      </c>
      <c r="BD97">
        <v>43</v>
      </c>
      <c r="BE97" s="2" t="s">
        <v>15</v>
      </c>
      <c r="BF97"/>
      <c r="BG97" s="16">
        <v>1.8787222523010289E-4</v>
      </c>
      <c r="BH97" s="16" t="s">
        <v>1048</v>
      </c>
      <c r="BI97" s="16">
        <v>1</v>
      </c>
      <c r="BJ97" s="2" t="s">
        <v>1048</v>
      </c>
      <c r="BK97" s="2">
        <v>1E-4</v>
      </c>
      <c r="BL97" s="3">
        <v>1.0469999999999999</v>
      </c>
      <c r="BM97" s="3" t="s">
        <v>1048</v>
      </c>
      <c r="BN97" s="3">
        <v>6.720000000000001E-2</v>
      </c>
    </row>
    <row r="98" spans="1:66" ht="15" customHeight="1" x14ac:dyDescent="0.3">
      <c r="A98" s="2" t="s">
        <v>467</v>
      </c>
      <c r="B98" s="2"/>
      <c r="C98" s="2" t="s">
        <v>715</v>
      </c>
      <c r="D98" s="15">
        <v>-20.09</v>
      </c>
      <c r="E98" s="15">
        <v>31.6</v>
      </c>
      <c r="F98" s="2" t="s">
        <v>101</v>
      </c>
      <c r="G98" s="14" t="s">
        <v>101</v>
      </c>
      <c r="H98" s="14"/>
      <c r="I98" s="14"/>
      <c r="J98" s="16">
        <v>159.86331807228916</v>
      </c>
      <c r="K98" s="16" t="s">
        <v>1048</v>
      </c>
      <c r="L98" s="15" t="s">
        <v>14</v>
      </c>
      <c r="M98" s="2" t="s">
        <v>14</v>
      </c>
      <c r="N98" s="2">
        <v>3</v>
      </c>
      <c r="O98" s="3">
        <v>6.3873755401089607</v>
      </c>
      <c r="P98" s="3">
        <v>6.3873755401089607</v>
      </c>
      <c r="Q98" s="2" t="s">
        <v>1400</v>
      </c>
      <c r="R98" s="2">
        <v>4</v>
      </c>
      <c r="S98" s="28">
        <f>29.414*0.0117</f>
        <v>0.3441438</v>
      </c>
      <c r="T98" s="2" t="s">
        <v>139</v>
      </c>
      <c r="U98" s="28"/>
      <c r="V98" s="16" t="s">
        <v>718</v>
      </c>
      <c r="W98" s="3">
        <v>1.17</v>
      </c>
      <c r="X98" s="2" t="s">
        <v>117</v>
      </c>
      <c r="Y98" s="3"/>
      <c r="Z98" s="2">
        <v>76</v>
      </c>
      <c r="AA98" s="2" t="s">
        <v>15</v>
      </c>
      <c r="AB98" s="16"/>
      <c r="AC98"/>
      <c r="AD98" s="16"/>
      <c r="AE98" s="2"/>
      <c r="AF98" s="2"/>
      <c r="AG98" s="16"/>
      <c r="AH98" s="2"/>
      <c r="AI98"/>
      <c r="AJ98"/>
      <c r="AK98" s="17"/>
      <c r="AL98"/>
      <c r="AM98"/>
      <c r="AN98"/>
      <c r="AO98"/>
      <c r="AP98"/>
      <c r="AQ98" s="2"/>
      <c r="AR98"/>
      <c r="AS98" s="17">
        <v>200</v>
      </c>
      <c r="AT98" s="2" t="s">
        <v>88</v>
      </c>
      <c r="AU98" s="2"/>
      <c r="AV98">
        <v>193</v>
      </c>
      <c r="AW98" s="7"/>
      <c r="AX98" s="16">
        <v>16.258366800535477</v>
      </c>
      <c r="AY98" s="16">
        <f>700000*0.05</f>
        <v>35000</v>
      </c>
      <c r="AZ98" s="2" t="s">
        <v>706</v>
      </c>
      <c r="BA98" s="2" t="s">
        <v>716</v>
      </c>
      <c r="BB98" s="2" t="s">
        <v>717</v>
      </c>
      <c r="BC98" s="2"/>
      <c r="BD98">
        <v>76</v>
      </c>
      <c r="BE98"/>
      <c r="BF98"/>
      <c r="BG98" s="16">
        <v>4.64524765729585E-4</v>
      </c>
      <c r="BH98" s="16" t="s">
        <v>1048</v>
      </c>
      <c r="BI98" s="16">
        <v>464.524765729585</v>
      </c>
      <c r="BJ98" s="2" t="s">
        <v>1048</v>
      </c>
      <c r="BK98" s="28">
        <v>0.46452476572958501</v>
      </c>
      <c r="BL98" s="3">
        <v>0.91996320147194111</v>
      </c>
      <c r="BM98" s="3" t="s">
        <v>1048</v>
      </c>
      <c r="BN98" s="3">
        <v>0.54349397590361448</v>
      </c>
    </row>
    <row r="99" spans="1:66" ht="15" customHeight="1" x14ac:dyDescent="0.3">
      <c r="A99" s="2" t="s">
        <v>412</v>
      </c>
      <c r="B99" s="2"/>
      <c r="C99" s="2" t="s">
        <v>704</v>
      </c>
      <c r="D99" s="15">
        <v>11.1</v>
      </c>
      <c r="E99" s="15">
        <v>-7.43</v>
      </c>
      <c r="F99" s="2" t="s">
        <v>101</v>
      </c>
      <c r="G99" s="14" t="s">
        <v>101</v>
      </c>
      <c r="H99" s="14"/>
      <c r="I99" s="14"/>
      <c r="J99" s="16">
        <v>156.12677376171354</v>
      </c>
      <c r="K99" s="16" t="s">
        <v>1048</v>
      </c>
      <c r="L99" s="2" t="s">
        <v>73</v>
      </c>
      <c r="M99" s="2" t="s">
        <v>73</v>
      </c>
      <c r="N99" s="2">
        <v>79</v>
      </c>
      <c r="O99" s="3">
        <v>1.3937629156490698</v>
      </c>
      <c r="P99" s="3">
        <v>7.8746947210219798</v>
      </c>
      <c r="Q99" s="2" t="s">
        <v>1405</v>
      </c>
      <c r="R99" s="2">
        <v>4</v>
      </c>
      <c r="S99" s="28">
        <f>129+207.1</f>
        <v>336.1</v>
      </c>
      <c r="T99" s="2" t="s">
        <v>446</v>
      </c>
      <c r="U99" s="3" t="s">
        <v>709</v>
      </c>
      <c r="V99" s="16" t="s">
        <v>710</v>
      </c>
      <c r="W99" s="3">
        <v>1.06</v>
      </c>
      <c r="X99" s="2" t="s">
        <v>117</v>
      </c>
      <c r="Y99" s="3" t="s">
        <v>711</v>
      </c>
      <c r="Z99" s="2">
        <v>79</v>
      </c>
      <c r="AA99" s="2" t="s">
        <v>435</v>
      </c>
      <c r="AB99" s="16"/>
      <c r="AC99"/>
      <c r="AD99" s="16"/>
      <c r="AE99" s="2"/>
      <c r="AF99" s="2"/>
      <c r="AG99" s="16"/>
      <c r="AH99" s="2"/>
      <c r="AI99"/>
      <c r="AJ99"/>
      <c r="AK99" s="17">
        <v>647</v>
      </c>
      <c r="AL99" s="2" t="s">
        <v>712</v>
      </c>
      <c r="AM99" s="2" t="s">
        <v>121</v>
      </c>
      <c r="AN99" s="27">
        <v>0.06</v>
      </c>
      <c r="AO99" s="18" t="s">
        <v>47</v>
      </c>
      <c r="AP99" s="2" t="s">
        <v>713</v>
      </c>
      <c r="AQ99" s="2">
        <v>79</v>
      </c>
      <c r="AR99" s="2" t="s">
        <v>55</v>
      </c>
      <c r="AS99" s="17">
        <v>65</v>
      </c>
      <c r="AT99" s="2" t="s">
        <v>88</v>
      </c>
      <c r="AU99" s="2" t="s">
        <v>714</v>
      </c>
      <c r="AV99">
        <v>79</v>
      </c>
      <c r="AW99" s="2" t="s">
        <v>55</v>
      </c>
      <c r="AX99" s="16">
        <v>3.4839357429718874</v>
      </c>
      <c r="AY99" s="16">
        <f>125000*0.06</f>
        <v>7500</v>
      </c>
      <c r="AZ99" s="2" t="s">
        <v>706</v>
      </c>
      <c r="BA99" s="2" t="s">
        <v>707</v>
      </c>
      <c r="BB99" s="2" t="s">
        <v>73</v>
      </c>
      <c r="BC99" s="2" t="s">
        <v>708</v>
      </c>
      <c r="BD99">
        <v>79</v>
      </c>
      <c r="BE99" s="2" t="s">
        <v>40</v>
      </c>
      <c r="BF99"/>
      <c r="BG99" s="16">
        <v>4.64524765729585E-4</v>
      </c>
      <c r="BH99" s="16" t="s">
        <v>1048</v>
      </c>
      <c r="BI99" s="16">
        <v>0.46452476572958501</v>
      </c>
      <c r="BJ99" s="2" t="s">
        <v>1048</v>
      </c>
      <c r="BK99" s="28">
        <v>0.46452476572958501</v>
      </c>
      <c r="BL99" s="3">
        <v>0.86138876542316578</v>
      </c>
      <c r="BM99" s="3" t="s">
        <v>1048</v>
      </c>
      <c r="BN99" s="3">
        <v>0.49239625167336015</v>
      </c>
    </row>
    <row r="100" spans="1:66" ht="15" customHeight="1" x14ac:dyDescent="0.3">
      <c r="A100" s="2" t="s">
        <v>484</v>
      </c>
      <c r="B100" s="2"/>
      <c r="C100" s="2" t="s">
        <v>485</v>
      </c>
      <c r="D100" s="15">
        <v>-16.739999999999998</v>
      </c>
      <c r="E100" s="15">
        <v>-41.9</v>
      </c>
      <c r="F100" s="2" t="s">
        <v>101</v>
      </c>
      <c r="G100" s="14" t="s">
        <v>101</v>
      </c>
      <c r="H100" s="2"/>
      <c r="I100" s="2"/>
      <c r="J100" s="16">
        <v>153.20979967514893</v>
      </c>
      <c r="K100" s="16">
        <v>84.824309691391448</v>
      </c>
      <c r="L100" s="15" t="s">
        <v>14</v>
      </c>
      <c r="M100" s="2" t="s">
        <v>14</v>
      </c>
      <c r="N100" s="2">
        <v>168</v>
      </c>
      <c r="O100" s="3">
        <v>17.96336652263761</v>
      </c>
      <c r="P100" s="3">
        <v>19.777569040015027</v>
      </c>
      <c r="Q100" s="2" t="s">
        <v>1400</v>
      </c>
      <c r="R100" s="2">
        <v>4</v>
      </c>
      <c r="S100" s="24">
        <f>400.8+266.1+148.6</f>
        <v>815.50000000000011</v>
      </c>
      <c r="T100" s="2" t="s">
        <v>249</v>
      </c>
      <c r="U100" s="16" t="s">
        <v>491</v>
      </c>
      <c r="V100"/>
      <c r="W100" s="3">
        <f>(1.55*666.9+1.58*148.6)/(666.9+148.6)</f>
        <v>1.5554665849172287</v>
      </c>
      <c r="X100" s="2" t="s">
        <v>117</v>
      </c>
      <c r="Y100" s="16" t="s">
        <v>493</v>
      </c>
      <c r="Z100" s="2">
        <v>49</v>
      </c>
      <c r="AA100" s="2" t="s">
        <v>492</v>
      </c>
      <c r="AB100" s="24">
        <v>451.5</v>
      </c>
      <c r="AC100" s="2" t="s">
        <v>249</v>
      </c>
      <c r="AD100" s="16" t="s">
        <v>489</v>
      </c>
      <c r="AE100" s="2">
        <v>1.55</v>
      </c>
      <c r="AF100" s="2" t="s">
        <v>420</v>
      </c>
      <c r="AG100" s="16" t="s">
        <v>490</v>
      </c>
      <c r="AH100" s="2">
        <v>0.5</v>
      </c>
      <c r="AI100">
        <v>49</v>
      </c>
      <c r="AJ100" s="2" t="s">
        <v>65</v>
      </c>
      <c r="AK100" s="17">
        <v>386</v>
      </c>
      <c r="AL100" s="2" t="s">
        <v>477</v>
      </c>
      <c r="AM100" s="2" t="s">
        <v>121</v>
      </c>
      <c r="AN100" s="27">
        <v>0.06</v>
      </c>
      <c r="AO100" s="18" t="s">
        <v>47</v>
      </c>
      <c r="AP100" s="2" t="s">
        <v>495</v>
      </c>
      <c r="AQ100" s="2">
        <v>49</v>
      </c>
      <c r="AR100" s="2" t="s">
        <v>494</v>
      </c>
      <c r="AS100" s="17">
        <v>132</v>
      </c>
      <c r="AT100" s="2" t="s">
        <v>88</v>
      </c>
      <c r="AU100" s="2" t="s">
        <v>123</v>
      </c>
      <c r="AV100">
        <v>49</v>
      </c>
      <c r="AW100" s="2" t="s">
        <v>496</v>
      </c>
      <c r="AX100" s="16">
        <v>6.9084123159303878</v>
      </c>
      <c r="AY100" s="16">
        <f>286*0.052</f>
        <v>14.872</v>
      </c>
      <c r="AZ100" s="2" t="s">
        <v>470</v>
      </c>
      <c r="BA100" s="2" t="s">
        <v>487</v>
      </c>
      <c r="BB100"/>
      <c r="BC100" s="2">
        <v>8</v>
      </c>
      <c r="BD100">
        <v>49</v>
      </c>
      <c r="BE100" s="2" t="s">
        <v>488</v>
      </c>
      <c r="BF100"/>
      <c r="BG100" s="16">
        <v>0.46452476572958501</v>
      </c>
      <c r="BH100" s="16">
        <v>0.18787222523010288</v>
      </c>
      <c r="BI100" s="21">
        <v>0.18787222523010288</v>
      </c>
      <c r="BJ100" s="28">
        <v>0.46452476572958501</v>
      </c>
      <c r="BK100" s="28">
        <v>0.46452476572958501</v>
      </c>
      <c r="BL100" s="3">
        <v>1</v>
      </c>
      <c r="BM100" s="3">
        <v>0.72001338688085681</v>
      </c>
      <c r="BN100" s="3">
        <v>0.72255275095887328</v>
      </c>
    </row>
    <row r="101" spans="1:66" ht="15" customHeight="1" x14ac:dyDescent="0.3">
      <c r="A101" s="2" t="s">
        <v>132</v>
      </c>
      <c r="B101" s="2"/>
      <c r="C101" s="2" t="s">
        <v>826</v>
      </c>
      <c r="D101" s="15">
        <v>-30.87</v>
      </c>
      <c r="E101" s="15">
        <v>122.53</v>
      </c>
      <c r="F101" s="2" t="s">
        <v>101</v>
      </c>
      <c r="G101" s="14" t="s">
        <v>101</v>
      </c>
      <c r="H101" s="14"/>
      <c r="I101" s="14"/>
      <c r="J101" s="16">
        <v>152.49883534136544</v>
      </c>
      <c r="K101" s="16" t="s">
        <v>1048</v>
      </c>
      <c r="L101" s="15" t="s">
        <v>1051</v>
      </c>
      <c r="M101"/>
      <c r="N101"/>
      <c r="O101" s="3"/>
      <c r="P101" s="3">
        <v>5.6214540672553062</v>
      </c>
      <c r="Q101" s="2" t="s">
        <v>1404</v>
      </c>
      <c r="R101" s="2">
        <v>4</v>
      </c>
      <c r="S101" s="3">
        <f>(18.5*0.0103)+(14.2*0.0097)</f>
        <v>0.32828999999999997</v>
      </c>
      <c r="T101" s="2" t="s">
        <v>827</v>
      </c>
      <c r="U101" s="16" t="s">
        <v>828</v>
      </c>
      <c r="V101" s="16" t="s">
        <v>762</v>
      </c>
      <c r="W101" s="3">
        <v>1</v>
      </c>
      <c r="X101" s="3" t="s">
        <v>117</v>
      </c>
      <c r="Y101" s="3" t="s">
        <v>829</v>
      </c>
      <c r="Z101" s="2">
        <v>103</v>
      </c>
      <c r="AA101" s="2" t="s">
        <v>428</v>
      </c>
      <c r="AB101" s="16"/>
      <c r="AC101"/>
      <c r="AD101" s="16"/>
      <c r="AE101"/>
      <c r="AF101"/>
      <c r="AG101" s="16"/>
      <c r="AH101" s="16"/>
      <c r="AI101"/>
      <c r="AJ101"/>
      <c r="AK101" s="17"/>
      <c r="AL101"/>
      <c r="AM101"/>
      <c r="AN101"/>
      <c r="AO101"/>
      <c r="AP101"/>
      <c r="AQ101" s="2"/>
      <c r="AR101"/>
      <c r="AS101" s="17"/>
      <c r="AT101"/>
      <c r="AU101"/>
      <c r="AV101"/>
      <c r="AW101"/>
      <c r="AX101" s="16" t="s">
        <v>1048</v>
      </c>
      <c r="AY101" s="16"/>
      <c r="AZ101"/>
      <c r="BA101"/>
      <c r="BB101"/>
      <c r="BC101"/>
      <c r="BD101"/>
      <c r="BE101"/>
      <c r="BF101"/>
      <c r="BG101" s="2" t="s">
        <v>1048</v>
      </c>
      <c r="BH101" s="16" t="s">
        <v>1048</v>
      </c>
      <c r="BI101" s="16">
        <v>464.524765729585</v>
      </c>
      <c r="BJ101" s="2" t="s">
        <v>1048</v>
      </c>
      <c r="BK101" s="28">
        <v>0.46452476572958501</v>
      </c>
      <c r="BL101" s="3">
        <v>1</v>
      </c>
      <c r="BM101" s="3" t="s">
        <v>1048</v>
      </c>
      <c r="BN101" s="3">
        <v>0.46452476572958501</v>
      </c>
    </row>
    <row r="102" spans="1:66" ht="15" customHeight="1" x14ac:dyDescent="0.3">
      <c r="A102" s="2" t="s">
        <v>618</v>
      </c>
      <c r="B102" s="2"/>
      <c r="C102" s="2" t="s">
        <v>619</v>
      </c>
      <c r="D102" s="15">
        <v>-22.1</v>
      </c>
      <c r="E102" s="15">
        <v>15.97</v>
      </c>
      <c r="F102" s="2" t="s">
        <v>101</v>
      </c>
      <c r="G102" s="14" t="s">
        <v>101</v>
      </c>
      <c r="H102" s="14"/>
      <c r="I102" s="14"/>
      <c r="J102" s="16">
        <v>150</v>
      </c>
      <c r="K102" s="16" t="s">
        <v>1048</v>
      </c>
      <c r="L102" s="15" t="s">
        <v>1052</v>
      </c>
      <c r="M102" s="2" t="s">
        <v>620</v>
      </c>
      <c r="N102" s="2">
        <v>169</v>
      </c>
      <c r="O102" s="3"/>
      <c r="P102" s="3">
        <v>0.28761976329137701</v>
      </c>
      <c r="Q102" s="2" t="s">
        <v>1401</v>
      </c>
      <c r="R102" s="2">
        <v>4</v>
      </c>
      <c r="S102" s="16">
        <f>+J102/1000</f>
        <v>0.15</v>
      </c>
      <c r="T102" t="s">
        <v>1452</v>
      </c>
      <c r="U102" s="16"/>
      <c r="V102" s="16"/>
      <c r="W102" s="3"/>
      <c r="X102" s="3"/>
      <c r="Y102" s="3"/>
      <c r="Z102" s="2">
        <v>2</v>
      </c>
      <c r="AA102"/>
      <c r="AB102" s="16"/>
      <c r="AC102"/>
      <c r="AD102" s="16"/>
      <c r="AE102"/>
      <c r="AF102"/>
      <c r="AG102" s="16"/>
      <c r="AH102" s="2"/>
      <c r="AI102"/>
      <c r="AJ102"/>
      <c r="AK102" s="17"/>
      <c r="AL102"/>
      <c r="AM102"/>
      <c r="AN102"/>
      <c r="AO102"/>
      <c r="AP102"/>
      <c r="AQ102" s="2"/>
      <c r="AR102"/>
      <c r="AS102" s="17"/>
      <c r="AT102"/>
      <c r="AU102"/>
      <c r="AV102"/>
      <c r="AW102"/>
      <c r="AX102" s="16" t="s">
        <v>1048</v>
      </c>
      <c r="AY102" s="16"/>
      <c r="AZ102"/>
      <c r="BA102"/>
      <c r="BB102"/>
      <c r="BC102"/>
      <c r="BD102"/>
      <c r="BE102"/>
      <c r="BF102"/>
      <c r="BG102" s="2" t="s">
        <v>1048</v>
      </c>
      <c r="BH102" s="16" t="s">
        <v>1048</v>
      </c>
      <c r="BI102" s="2">
        <v>1</v>
      </c>
      <c r="BJ102" s="2" t="s">
        <v>1048</v>
      </c>
      <c r="BK102" s="2" t="s">
        <v>1048</v>
      </c>
      <c r="BL102" s="3" t="s">
        <v>1048</v>
      </c>
      <c r="BM102" s="3" t="s">
        <v>1048</v>
      </c>
      <c r="BN102" s="3" t="s">
        <v>1048</v>
      </c>
    </row>
    <row r="103" spans="1:66" ht="15" customHeight="1" x14ac:dyDescent="0.3">
      <c r="A103" s="2" t="s">
        <v>17</v>
      </c>
      <c r="B103" s="2"/>
      <c r="C103" s="2" t="s">
        <v>931</v>
      </c>
      <c r="D103" s="14">
        <v>-25.13</v>
      </c>
      <c r="E103" s="39">
        <v>-68.8</v>
      </c>
      <c r="F103" s="2" t="s">
        <v>13</v>
      </c>
      <c r="G103" s="14" t="s">
        <v>13</v>
      </c>
      <c r="H103" s="2"/>
      <c r="I103" s="2"/>
      <c r="J103" s="16">
        <v>149.97399999999999</v>
      </c>
      <c r="K103" s="16" t="s">
        <v>1048</v>
      </c>
      <c r="L103" s="15" t="s">
        <v>1051</v>
      </c>
      <c r="M103"/>
      <c r="N103"/>
      <c r="O103" s="3"/>
      <c r="P103" s="3"/>
      <c r="Q103" s="2"/>
      <c r="R103" s="2"/>
      <c r="S103" s="16">
        <v>149974</v>
      </c>
      <c r="T103" s="2" t="s">
        <v>156</v>
      </c>
      <c r="U103" s="16" t="s">
        <v>933</v>
      </c>
      <c r="V103" s="16" t="s">
        <v>935</v>
      </c>
      <c r="W103" s="3">
        <v>127</v>
      </c>
      <c r="X103" s="3" t="s">
        <v>22</v>
      </c>
      <c r="Y103" s="17" t="s">
        <v>936</v>
      </c>
      <c r="Z103" s="2">
        <v>87</v>
      </c>
      <c r="AA103" s="2" t="s">
        <v>934</v>
      </c>
      <c r="AB103" s="16"/>
      <c r="AC103"/>
      <c r="AD103" s="16"/>
      <c r="AE103"/>
      <c r="AF103"/>
      <c r="AG103" s="16"/>
      <c r="AH103" s="16"/>
      <c r="AI103"/>
      <c r="AJ103"/>
      <c r="AK103" s="17"/>
      <c r="AL103"/>
      <c r="AM103"/>
      <c r="AN103"/>
      <c r="AO103"/>
      <c r="AP103"/>
      <c r="AQ103" s="2"/>
      <c r="AR103"/>
      <c r="AS103" s="17"/>
      <c r="AT103"/>
      <c r="AU103"/>
      <c r="AV103"/>
      <c r="AW103"/>
      <c r="AX103" s="16" t="s">
        <v>1048</v>
      </c>
      <c r="AY103" s="16"/>
      <c r="AZ103"/>
      <c r="BA103"/>
      <c r="BB103"/>
      <c r="BC103"/>
      <c r="BD103"/>
      <c r="BE103"/>
      <c r="BF103"/>
      <c r="BG103" s="2" t="s">
        <v>1048</v>
      </c>
      <c r="BH103" s="16" t="s">
        <v>1048</v>
      </c>
      <c r="BI103" s="16">
        <v>1E-3</v>
      </c>
      <c r="BJ103" s="2" t="s">
        <v>1048</v>
      </c>
      <c r="BK103" s="2">
        <v>1E-4</v>
      </c>
      <c r="BL103" s="3">
        <v>1.0805039999999999</v>
      </c>
      <c r="BM103" s="3" t="s">
        <v>1048</v>
      </c>
      <c r="BN103" s="3">
        <v>1.2700000000000001E-2</v>
      </c>
    </row>
    <row r="104" spans="1:66" ht="15" customHeight="1" x14ac:dyDescent="0.3">
      <c r="A104" s="2" t="s">
        <v>69</v>
      </c>
      <c r="B104" s="2" t="s">
        <v>442</v>
      </c>
      <c r="C104" s="2" t="s">
        <v>622</v>
      </c>
      <c r="D104" s="15">
        <v>35.368879</v>
      </c>
      <c r="E104" s="15">
        <v>-81.314732000000006</v>
      </c>
      <c r="F104" s="2" t="s">
        <v>101</v>
      </c>
      <c r="G104" s="14" t="s">
        <v>101</v>
      </c>
      <c r="H104" s="14"/>
      <c r="I104" s="14"/>
      <c r="J104" s="16">
        <v>143.53815261044176</v>
      </c>
      <c r="K104" s="16" t="s">
        <v>1048</v>
      </c>
      <c r="L104" s="15" t="s">
        <v>1052</v>
      </c>
      <c r="M104" s="2" t="s">
        <v>102</v>
      </c>
      <c r="N104" s="2">
        <v>170</v>
      </c>
      <c r="O104" s="3"/>
      <c r="P104" s="3">
        <v>4.959609242908134</v>
      </c>
      <c r="Q104" s="2" t="s">
        <v>1405</v>
      </c>
      <c r="R104" s="2">
        <v>4</v>
      </c>
      <c r="S104" s="16">
        <v>309000</v>
      </c>
      <c r="T104" s="2" t="s">
        <v>177</v>
      </c>
      <c r="U104" s="16" t="s">
        <v>628</v>
      </c>
      <c r="V104" s="16" t="s">
        <v>630</v>
      </c>
      <c r="W104" s="3">
        <v>1.1100000000000001</v>
      </c>
      <c r="X104" s="2" t="s">
        <v>117</v>
      </c>
      <c r="Y104" s="3" t="s">
        <v>631</v>
      </c>
      <c r="Z104" s="2">
        <v>77</v>
      </c>
      <c r="AA104" s="2" t="s">
        <v>629</v>
      </c>
      <c r="AB104" s="16"/>
      <c r="AC104"/>
      <c r="AD104" s="16"/>
      <c r="AE104" s="2"/>
      <c r="AF104" s="2"/>
      <c r="AG104" s="16"/>
      <c r="AH104" s="2"/>
      <c r="AI104"/>
      <c r="AJ104" s="2"/>
      <c r="AK104" s="17">
        <v>201</v>
      </c>
      <c r="AL104" s="2" t="s">
        <v>477</v>
      </c>
      <c r="AM104" s="2" t="s">
        <v>121</v>
      </c>
      <c r="AN104" s="27">
        <v>0.06</v>
      </c>
      <c r="AO104" s="2" t="s">
        <v>633</v>
      </c>
      <c r="AP104" s="2" t="s">
        <v>634</v>
      </c>
      <c r="AQ104" s="2">
        <v>77</v>
      </c>
      <c r="AR104" s="2" t="s">
        <v>632</v>
      </c>
      <c r="AS104" s="17">
        <v>168</v>
      </c>
      <c r="AT104" s="2" t="s">
        <v>88</v>
      </c>
      <c r="AU104" s="2" t="s">
        <v>636</v>
      </c>
      <c r="AV104">
        <v>77</v>
      </c>
      <c r="AW104" s="2" t="s">
        <v>635</v>
      </c>
      <c r="AX104" s="16">
        <v>8.2166627041499325</v>
      </c>
      <c r="AY104" s="16">
        <f>160000*0.06+22720*0.356</f>
        <v>17688.32</v>
      </c>
      <c r="AZ104" s="2" t="s">
        <v>321</v>
      </c>
      <c r="BA104" s="2" t="s">
        <v>626</v>
      </c>
      <c r="BB104" s="2" t="s">
        <v>107</v>
      </c>
      <c r="BC104" s="2">
        <v>25</v>
      </c>
      <c r="BD104">
        <v>77</v>
      </c>
      <c r="BE104" s="2" t="s">
        <v>627</v>
      </c>
      <c r="BF104"/>
      <c r="BG104" s="16">
        <v>4.64524765729585E-4</v>
      </c>
      <c r="BH104" s="16" t="s">
        <v>1048</v>
      </c>
      <c r="BI104" s="16">
        <v>4.64524765729585E-4</v>
      </c>
      <c r="BJ104" s="2" t="s">
        <v>1048</v>
      </c>
      <c r="BK104" s="28">
        <v>0.46452476572958501</v>
      </c>
      <c r="BL104" s="3">
        <v>1</v>
      </c>
      <c r="BM104" s="3" t="s">
        <v>1048</v>
      </c>
      <c r="BN104" s="3">
        <v>0.51562248995983939</v>
      </c>
    </row>
    <row r="105" spans="1:66" ht="15" customHeight="1" x14ac:dyDescent="0.3">
      <c r="A105" s="2" t="s">
        <v>17</v>
      </c>
      <c r="B105" s="30"/>
      <c r="C105" s="30" t="s">
        <v>952</v>
      </c>
      <c r="D105" s="14">
        <v>-20.3</v>
      </c>
      <c r="E105" s="39">
        <v>-68.849999999999994</v>
      </c>
      <c r="F105" s="2" t="s">
        <v>13</v>
      </c>
      <c r="G105" s="14" t="s">
        <v>13</v>
      </c>
      <c r="H105" s="2"/>
      <c r="I105" s="2"/>
      <c r="J105" s="16">
        <v>141.00167460747159</v>
      </c>
      <c r="K105" s="16" t="s">
        <v>1048</v>
      </c>
      <c r="L105" s="15" t="s">
        <v>1051</v>
      </c>
      <c r="M105"/>
      <c r="N105"/>
      <c r="O105" s="3"/>
      <c r="P105" s="3"/>
      <c r="Q105" s="2"/>
      <c r="R105" s="2"/>
      <c r="S105" s="16">
        <v>750519</v>
      </c>
      <c r="T105" s="2" t="s">
        <v>725</v>
      </c>
      <c r="U105" s="16" t="s">
        <v>953</v>
      </c>
      <c r="V105" s="16"/>
      <c r="W105" s="3">
        <v>75</v>
      </c>
      <c r="X105" s="17" t="s">
        <v>78</v>
      </c>
      <c r="Y105" s="16" t="s">
        <v>878</v>
      </c>
      <c r="Z105" s="2">
        <v>89</v>
      </c>
      <c r="AA105" s="2" t="s">
        <v>110</v>
      </c>
      <c r="AB105" s="16"/>
      <c r="AC105"/>
      <c r="AD105" s="16"/>
      <c r="AE105"/>
      <c r="AF105"/>
      <c r="AG105" s="16"/>
      <c r="AH105" s="16"/>
      <c r="AI105"/>
      <c r="AJ105"/>
      <c r="AK105" s="17"/>
      <c r="AL105"/>
      <c r="AM105"/>
      <c r="AN105"/>
      <c r="AO105"/>
      <c r="AP105"/>
      <c r="AQ105" s="2"/>
      <c r="AR105"/>
      <c r="AS105" s="17"/>
      <c r="AT105"/>
      <c r="AU105"/>
      <c r="AV105"/>
      <c r="AW105"/>
      <c r="AX105" s="16" t="s">
        <v>1048</v>
      </c>
      <c r="AY105" s="16"/>
      <c r="AZ105"/>
      <c r="BA105"/>
      <c r="BB105"/>
      <c r="BC105"/>
      <c r="BD105"/>
      <c r="BE105"/>
      <c r="BF105"/>
      <c r="BG105" s="2" t="s">
        <v>1048</v>
      </c>
      <c r="BH105" s="16" t="s">
        <v>1048</v>
      </c>
      <c r="BI105" s="16">
        <v>1.8787222523010289E-4</v>
      </c>
      <c r="BJ105" s="2" t="s">
        <v>1048</v>
      </c>
      <c r="BK105" s="2">
        <v>1E-4</v>
      </c>
      <c r="BL105" s="3" t="s">
        <v>1048</v>
      </c>
      <c r="BM105" s="3" t="s">
        <v>1048</v>
      </c>
      <c r="BN105" s="3">
        <v>7.5000000000000006E-3</v>
      </c>
    </row>
    <row r="106" spans="1:66" ht="15" customHeight="1" x14ac:dyDescent="0.3">
      <c r="A106" s="2" t="s">
        <v>235</v>
      </c>
      <c r="B106" s="2"/>
      <c r="C106" s="2" t="s">
        <v>602</v>
      </c>
      <c r="D106" s="15">
        <v>52.02</v>
      </c>
      <c r="E106" s="15">
        <v>-76.16</v>
      </c>
      <c r="F106" s="2" t="s">
        <v>101</v>
      </c>
      <c r="G106" s="14" t="s">
        <v>101</v>
      </c>
      <c r="H106" s="14"/>
      <c r="I106" s="14"/>
      <c r="J106" s="16">
        <v>140.66390562248995</v>
      </c>
      <c r="K106" s="16">
        <v>90.024899598393574</v>
      </c>
      <c r="L106" s="15" t="s">
        <v>1052</v>
      </c>
      <c r="M106" s="2" t="s">
        <v>102</v>
      </c>
      <c r="N106" s="2">
        <v>171</v>
      </c>
      <c r="O106" s="3"/>
      <c r="P106" s="3">
        <v>5.8606049220364458</v>
      </c>
      <c r="Q106" s="2" t="s">
        <v>1401</v>
      </c>
      <c r="R106" s="2">
        <v>4</v>
      </c>
      <c r="S106" s="16">
        <f>2384000*0.0078+30561000*0.0093</f>
        <v>302812.5</v>
      </c>
      <c r="T106" s="2" t="s">
        <v>177</v>
      </c>
      <c r="U106" s="16" t="s">
        <v>610</v>
      </c>
      <c r="V106" s="16" t="s">
        <v>612</v>
      </c>
      <c r="W106" s="3">
        <f>(2384000*0.0078+30561000*0.0093)/(30561000+2384000)*100</f>
        <v>0.91914554560631367</v>
      </c>
      <c r="X106" s="2" t="s">
        <v>117</v>
      </c>
      <c r="Y106" s="3" t="s">
        <v>613</v>
      </c>
      <c r="Z106" s="2">
        <v>19</v>
      </c>
      <c r="AA106" s="2" t="s">
        <v>611</v>
      </c>
      <c r="AB106" s="16">
        <v>193.8</v>
      </c>
      <c r="AC106" s="2" t="s">
        <v>607</v>
      </c>
      <c r="AD106" s="16" t="s">
        <v>608</v>
      </c>
      <c r="AE106" s="2">
        <v>0.87</v>
      </c>
      <c r="AF106" s="2" t="s">
        <v>605</v>
      </c>
      <c r="AG106" s="16" t="s">
        <v>609</v>
      </c>
      <c r="AH106" s="2"/>
      <c r="AI106">
        <v>19</v>
      </c>
      <c r="AJ106" s="2" t="s">
        <v>606</v>
      </c>
      <c r="AK106" s="17">
        <v>587</v>
      </c>
      <c r="AL106" s="2" t="s">
        <v>326</v>
      </c>
      <c r="AM106" s="2" t="s">
        <v>121</v>
      </c>
      <c r="AN106" s="27">
        <v>0.06</v>
      </c>
      <c r="AO106" s="18" t="s">
        <v>47</v>
      </c>
      <c r="AP106" s="2" t="s">
        <v>615</v>
      </c>
      <c r="AQ106" s="2">
        <v>19</v>
      </c>
      <c r="AR106" s="2" t="s">
        <v>614</v>
      </c>
      <c r="AS106" s="17">
        <v>470.6</v>
      </c>
      <c r="AT106" s="2" t="s">
        <v>223</v>
      </c>
      <c r="AU106" s="2" t="s">
        <v>617</v>
      </c>
      <c r="AV106">
        <v>19</v>
      </c>
      <c r="AW106" s="2" t="s">
        <v>616</v>
      </c>
      <c r="AX106" s="16">
        <v>5.3911294993306553</v>
      </c>
      <c r="AY106" s="16">
        <f>157706*0.0556+46059*0.0616</f>
        <v>11605.687999999998</v>
      </c>
      <c r="AZ106" s="2" t="s">
        <v>177</v>
      </c>
      <c r="BA106" s="2" t="s">
        <v>604</v>
      </c>
      <c r="BB106" s="2" t="s">
        <v>544</v>
      </c>
      <c r="BC106" s="2">
        <v>17</v>
      </c>
      <c r="BD106">
        <v>19</v>
      </c>
      <c r="BE106" s="2" t="s">
        <v>15</v>
      </c>
      <c r="BF106"/>
      <c r="BG106" s="16">
        <v>4.64524765729585E-4</v>
      </c>
      <c r="BH106" s="16">
        <v>0.46452476572958501</v>
      </c>
      <c r="BI106" s="16">
        <v>4.64524765729585E-4</v>
      </c>
      <c r="BJ106" s="28">
        <v>0.46452476572958501</v>
      </c>
      <c r="BK106" s="28">
        <v>0.46452476572958501</v>
      </c>
      <c r="BL106" s="3">
        <v>1</v>
      </c>
      <c r="BM106" s="3">
        <v>0.40413654618473893</v>
      </c>
      <c r="BN106" s="3">
        <v>0.42696586924416446</v>
      </c>
    </row>
    <row r="107" spans="1:66" ht="15" customHeight="1" x14ac:dyDescent="0.3">
      <c r="A107" s="2" t="s">
        <v>498</v>
      </c>
      <c r="B107" s="2"/>
      <c r="C107" s="2" t="s">
        <v>642</v>
      </c>
      <c r="D107" s="15">
        <v>51.619</v>
      </c>
      <c r="E107" s="15">
        <v>115.61</v>
      </c>
      <c r="F107" s="2" t="s">
        <v>101</v>
      </c>
      <c r="G107" s="14" t="s">
        <v>101</v>
      </c>
      <c r="H107" s="14"/>
      <c r="I107" s="14"/>
      <c r="J107" s="16">
        <v>140.10136</v>
      </c>
      <c r="K107" s="16" t="s">
        <v>1048</v>
      </c>
      <c r="L107" s="15" t="s">
        <v>1051</v>
      </c>
      <c r="M107" s="2"/>
      <c r="N107" s="2"/>
      <c r="O107" s="3"/>
      <c r="P107" s="3"/>
      <c r="Q107" s="2"/>
      <c r="R107" s="2"/>
      <c r="S107" s="16">
        <f t="shared" ref="S107:S111" si="3">+J107/1000</f>
        <v>0.14010136000000001</v>
      </c>
      <c r="T107" t="s">
        <v>1452</v>
      </c>
      <c r="U107" s="16"/>
      <c r="V107" s="16"/>
      <c r="W107" s="3"/>
      <c r="X107" s="3"/>
      <c r="Y107" s="3"/>
      <c r="Z107" s="2">
        <v>2</v>
      </c>
      <c r="AA107"/>
      <c r="AB107" s="16"/>
      <c r="AC107"/>
      <c r="AD107" s="16"/>
      <c r="AE107"/>
      <c r="AF107"/>
      <c r="AG107" s="16"/>
      <c r="AH107" s="2"/>
      <c r="AI107"/>
      <c r="AJ107"/>
      <c r="AK107" s="17"/>
      <c r="AL107"/>
      <c r="AM107"/>
      <c r="AN107"/>
      <c r="AO107"/>
      <c r="AP107"/>
      <c r="AQ107" s="2"/>
      <c r="AR107"/>
      <c r="AS107" s="17"/>
      <c r="AT107"/>
      <c r="AU107"/>
      <c r="AV107"/>
      <c r="AW107"/>
      <c r="AX107" s="16" t="s">
        <v>1048</v>
      </c>
      <c r="AY107" s="16"/>
      <c r="AZ107"/>
      <c r="BA107"/>
      <c r="BB107"/>
      <c r="BC107"/>
      <c r="BD107"/>
      <c r="BE107"/>
      <c r="BF107"/>
      <c r="BG107" s="2" t="s">
        <v>1048</v>
      </c>
      <c r="BH107" s="16" t="s">
        <v>1048</v>
      </c>
      <c r="BI107" s="2">
        <v>1</v>
      </c>
      <c r="BJ107" s="2" t="s">
        <v>1048</v>
      </c>
      <c r="BK107" s="2" t="s">
        <v>1048</v>
      </c>
      <c r="BL107" s="3" t="s">
        <v>1048</v>
      </c>
      <c r="BM107" s="3" t="s">
        <v>1048</v>
      </c>
      <c r="BN107" s="3" t="s">
        <v>1048</v>
      </c>
    </row>
    <row r="108" spans="1:66" ht="15" customHeight="1" x14ac:dyDescent="0.3">
      <c r="A108" s="2" t="s">
        <v>498</v>
      </c>
      <c r="B108" s="2"/>
      <c r="C108" s="2" t="s">
        <v>643</v>
      </c>
      <c r="D108" s="15">
        <v>50.65</v>
      </c>
      <c r="E108" s="15">
        <v>96.32</v>
      </c>
      <c r="F108" s="2" t="s">
        <v>101</v>
      </c>
      <c r="G108" s="14" t="s">
        <v>101</v>
      </c>
      <c r="H108" s="14"/>
      <c r="I108" s="14"/>
      <c r="J108" s="16">
        <v>139.10063600000004</v>
      </c>
      <c r="K108" s="16" t="s">
        <v>1048</v>
      </c>
      <c r="L108" s="15" t="s">
        <v>1051</v>
      </c>
      <c r="M108"/>
      <c r="N108"/>
      <c r="O108" s="3"/>
      <c r="P108" s="3"/>
      <c r="Q108" s="2"/>
      <c r="R108" s="2"/>
      <c r="S108" s="16">
        <f t="shared" si="3"/>
        <v>0.13910063600000003</v>
      </c>
      <c r="T108" t="s">
        <v>1452</v>
      </c>
      <c r="U108" s="16"/>
      <c r="V108" s="16"/>
      <c r="W108" s="3"/>
      <c r="X108" s="3"/>
      <c r="Y108" s="3"/>
      <c r="Z108" s="2">
        <v>2</v>
      </c>
      <c r="AA108"/>
      <c r="AB108" s="16"/>
      <c r="AC108"/>
      <c r="AD108" s="16"/>
      <c r="AE108"/>
      <c r="AF108"/>
      <c r="AG108" s="16"/>
      <c r="AH108" s="2"/>
      <c r="AI108"/>
      <c r="AJ108"/>
      <c r="AK108" s="17"/>
      <c r="AL108"/>
      <c r="AM108"/>
      <c r="AN108"/>
      <c r="AO108"/>
      <c r="AP108"/>
      <c r="AQ108" s="2"/>
      <c r="AR108"/>
      <c r="AS108" s="17"/>
      <c r="AT108"/>
      <c r="AU108"/>
      <c r="AV108"/>
      <c r="AW108"/>
      <c r="AX108" s="16" t="s">
        <v>1048</v>
      </c>
      <c r="AY108" s="16"/>
      <c r="AZ108"/>
      <c r="BA108"/>
      <c r="BB108"/>
      <c r="BC108"/>
      <c r="BD108"/>
      <c r="BE108"/>
      <c r="BF108"/>
      <c r="BG108" s="2" t="s">
        <v>1048</v>
      </c>
      <c r="BH108" s="16" t="s">
        <v>1048</v>
      </c>
      <c r="BI108" s="2">
        <v>1</v>
      </c>
      <c r="BJ108" s="2" t="s">
        <v>1048</v>
      </c>
      <c r="BK108" s="2" t="s">
        <v>1048</v>
      </c>
      <c r="BL108" s="3" t="s">
        <v>1048</v>
      </c>
      <c r="BM108" s="3" t="s">
        <v>1048</v>
      </c>
      <c r="BN108" s="3" t="s">
        <v>1048</v>
      </c>
    </row>
    <row r="109" spans="1:66" ht="15" customHeight="1" x14ac:dyDescent="0.3">
      <c r="A109" s="2" t="s">
        <v>498</v>
      </c>
      <c r="B109" s="2"/>
      <c r="C109" s="2" t="s">
        <v>644</v>
      </c>
      <c r="D109" s="15">
        <v>52.57</v>
      </c>
      <c r="E109" s="15">
        <v>101.32</v>
      </c>
      <c r="F109" s="2" t="s">
        <v>101</v>
      </c>
      <c r="G109" s="14" t="s">
        <v>101</v>
      </c>
      <c r="H109" s="14"/>
      <c r="I109" s="14"/>
      <c r="J109" s="16">
        <v>139.10063600000004</v>
      </c>
      <c r="K109" s="16" t="s">
        <v>1048</v>
      </c>
      <c r="L109" s="15" t="s">
        <v>1051</v>
      </c>
      <c r="M109"/>
      <c r="N109"/>
      <c r="O109" s="3"/>
      <c r="P109" s="3"/>
      <c r="Q109" s="2"/>
      <c r="R109" s="2"/>
      <c r="S109" s="16">
        <f t="shared" si="3"/>
        <v>0.13910063600000003</v>
      </c>
      <c r="T109" t="s">
        <v>1452</v>
      </c>
      <c r="U109" s="16"/>
      <c r="V109" s="16"/>
      <c r="W109" s="3"/>
      <c r="X109" s="3"/>
      <c r="Y109" s="3"/>
      <c r="Z109" s="2">
        <v>2</v>
      </c>
      <c r="AA109"/>
      <c r="AB109" s="16"/>
      <c r="AC109"/>
      <c r="AD109" s="16"/>
      <c r="AE109"/>
      <c r="AF109"/>
      <c r="AG109" s="16"/>
      <c r="AH109" s="2"/>
      <c r="AI109"/>
      <c r="AJ109"/>
      <c r="AK109" s="17"/>
      <c r="AL109"/>
      <c r="AM109"/>
      <c r="AN109"/>
      <c r="AO109"/>
      <c r="AP109"/>
      <c r="AQ109" s="2"/>
      <c r="AR109"/>
      <c r="AS109" s="17"/>
      <c r="AT109"/>
      <c r="AU109"/>
      <c r="AV109"/>
      <c r="AW109"/>
      <c r="AX109" s="16" t="s">
        <v>1048</v>
      </c>
      <c r="AY109" s="16"/>
      <c r="AZ109"/>
      <c r="BA109"/>
      <c r="BB109"/>
      <c r="BC109"/>
      <c r="BD109"/>
      <c r="BE109"/>
      <c r="BF109"/>
      <c r="BG109" s="2" t="s">
        <v>1048</v>
      </c>
      <c r="BH109" s="16" t="s">
        <v>1048</v>
      </c>
      <c r="BI109" s="2">
        <v>1</v>
      </c>
      <c r="BJ109" s="2" t="s">
        <v>1048</v>
      </c>
      <c r="BK109" s="2" t="s">
        <v>1048</v>
      </c>
      <c r="BL109" s="3" t="s">
        <v>1048</v>
      </c>
      <c r="BM109" s="3" t="s">
        <v>1048</v>
      </c>
      <c r="BN109" s="3" t="s">
        <v>1048</v>
      </c>
    </row>
    <row r="110" spans="1:66" ht="15" customHeight="1" x14ac:dyDescent="0.3">
      <c r="A110" s="2" t="s">
        <v>498</v>
      </c>
      <c r="B110" s="2"/>
      <c r="C110" s="2" t="s">
        <v>645</v>
      </c>
      <c r="D110" s="15">
        <v>52.978999999999999</v>
      </c>
      <c r="E110" s="15">
        <v>101.18</v>
      </c>
      <c r="F110" s="2" t="s">
        <v>101</v>
      </c>
      <c r="G110" s="14" t="s">
        <v>101</v>
      </c>
      <c r="H110" s="14"/>
      <c r="I110" s="14"/>
      <c r="J110" s="16">
        <v>139.10063600000004</v>
      </c>
      <c r="K110" s="16" t="s">
        <v>1048</v>
      </c>
      <c r="L110" s="15" t="s">
        <v>1051</v>
      </c>
      <c r="M110"/>
      <c r="N110"/>
      <c r="O110" s="3"/>
      <c r="P110" s="3"/>
      <c r="Q110" s="2"/>
      <c r="R110" s="2"/>
      <c r="S110" s="16">
        <f t="shared" si="3"/>
        <v>0.13910063600000003</v>
      </c>
      <c r="T110" t="s">
        <v>1452</v>
      </c>
      <c r="U110" s="16"/>
      <c r="V110" s="16"/>
      <c r="W110" s="3"/>
      <c r="X110" s="3"/>
      <c r="Y110" s="3"/>
      <c r="Z110" s="2">
        <v>2</v>
      </c>
      <c r="AA110"/>
      <c r="AB110" s="16"/>
      <c r="AC110"/>
      <c r="AD110" s="16"/>
      <c r="AE110"/>
      <c r="AF110"/>
      <c r="AG110" s="16"/>
      <c r="AH110" s="2"/>
      <c r="AI110"/>
      <c r="AJ110"/>
      <c r="AK110" s="17"/>
      <c r="AL110"/>
      <c r="AM110"/>
      <c r="AN110"/>
      <c r="AO110"/>
      <c r="AP110"/>
      <c r="AQ110" s="2"/>
      <c r="AR110"/>
      <c r="AS110" s="17"/>
      <c r="AT110"/>
      <c r="AU110"/>
      <c r="AV110"/>
      <c r="AW110"/>
      <c r="AX110" s="16" t="s">
        <v>1048</v>
      </c>
      <c r="AY110" s="16"/>
      <c r="AZ110"/>
      <c r="BA110"/>
      <c r="BB110"/>
      <c r="BC110"/>
      <c r="BD110"/>
      <c r="BE110"/>
      <c r="BF110"/>
      <c r="BG110" s="2" t="s">
        <v>1048</v>
      </c>
      <c r="BH110" s="16" t="s">
        <v>1048</v>
      </c>
      <c r="BI110" s="2">
        <v>1</v>
      </c>
      <c r="BJ110" s="2" t="s">
        <v>1048</v>
      </c>
      <c r="BK110" s="2" t="s">
        <v>1048</v>
      </c>
      <c r="BL110" s="3" t="s">
        <v>1048</v>
      </c>
      <c r="BM110" s="3" t="s">
        <v>1048</v>
      </c>
      <c r="BN110" s="3" t="s">
        <v>1048</v>
      </c>
    </row>
    <row r="111" spans="1:66" ht="15" customHeight="1" x14ac:dyDescent="0.3">
      <c r="A111" s="2" t="s">
        <v>498</v>
      </c>
      <c r="B111" s="2"/>
      <c r="C111" s="2" t="s">
        <v>646</v>
      </c>
      <c r="D111" s="15">
        <v>68.275999999999996</v>
      </c>
      <c r="E111" s="15">
        <v>35.906999999999996</v>
      </c>
      <c r="F111" s="2" t="s">
        <v>101</v>
      </c>
      <c r="G111" s="14" t="s">
        <v>101</v>
      </c>
      <c r="H111" s="14"/>
      <c r="I111" s="14"/>
      <c r="J111" s="16">
        <v>139.10063600000004</v>
      </c>
      <c r="K111" s="16" t="s">
        <v>1048</v>
      </c>
      <c r="L111" s="15" t="s">
        <v>1051</v>
      </c>
      <c r="M111"/>
      <c r="N111"/>
      <c r="O111" s="3"/>
      <c r="P111" s="3"/>
      <c r="Q111" s="2"/>
      <c r="R111" s="2"/>
      <c r="S111" s="16">
        <f t="shared" si="3"/>
        <v>0.13910063600000003</v>
      </c>
      <c r="T111" t="s">
        <v>1452</v>
      </c>
      <c r="U111" s="16"/>
      <c r="V111" s="16"/>
      <c r="W111" s="3"/>
      <c r="X111" s="3"/>
      <c r="Y111" s="3"/>
      <c r="Z111" s="2">
        <v>2</v>
      </c>
      <c r="AA111"/>
      <c r="AB111" s="16"/>
      <c r="AC111"/>
      <c r="AD111" s="16"/>
      <c r="AE111"/>
      <c r="AF111"/>
      <c r="AG111" s="16"/>
      <c r="AH111" s="2"/>
      <c r="AI111"/>
      <c r="AJ111"/>
      <c r="AK111" s="17"/>
      <c r="AL111"/>
      <c r="AM111"/>
      <c r="AN111"/>
      <c r="AO111"/>
      <c r="AP111"/>
      <c r="AQ111" s="2"/>
      <c r="AR111"/>
      <c r="AS111" s="17"/>
      <c r="AT111"/>
      <c r="AU111"/>
      <c r="AV111"/>
      <c r="AW111"/>
      <c r="AX111" s="16" t="s">
        <v>1048</v>
      </c>
      <c r="AY111" s="16"/>
      <c r="AZ111"/>
      <c r="BA111"/>
      <c r="BB111"/>
      <c r="BC111"/>
      <c r="BD111"/>
      <c r="BE111"/>
      <c r="BF111"/>
      <c r="BG111" s="2" t="s">
        <v>1048</v>
      </c>
      <c r="BH111" s="16" t="s">
        <v>1048</v>
      </c>
      <c r="BI111" s="2">
        <v>1</v>
      </c>
      <c r="BJ111" s="2" t="s">
        <v>1048</v>
      </c>
      <c r="BK111" s="2" t="s">
        <v>1048</v>
      </c>
      <c r="BL111" s="3" t="s">
        <v>1048</v>
      </c>
      <c r="BM111" s="3" t="s">
        <v>1048</v>
      </c>
      <c r="BN111" s="3" t="s">
        <v>1048</v>
      </c>
    </row>
    <row r="112" spans="1:66" ht="15" customHeight="1" x14ac:dyDescent="0.3">
      <c r="A112" s="2" t="s">
        <v>676</v>
      </c>
      <c r="B112" s="2"/>
      <c r="C112" s="2" t="s">
        <v>677</v>
      </c>
      <c r="D112" s="15">
        <v>41.630186999999999</v>
      </c>
      <c r="E112" s="15">
        <v>-7.8018700000000001</v>
      </c>
      <c r="F112" s="2" t="s">
        <v>101</v>
      </c>
      <c r="G112" s="14" t="s">
        <v>101</v>
      </c>
      <c r="H112" s="14"/>
      <c r="I112" s="14"/>
      <c r="J112" s="16">
        <v>136.29156626506025</v>
      </c>
      <c r="K112" s="16" t="s">
        <v>1048</v>
      </c>
      <c r="L112" s="15" t="s">
        <v>1052</v>
      </c>
      <c r="M112" s="2" t="s">
        <v>102</v>
      </c>
      <c r="N112" s="2">
        <v>172</v>
      </c>
      <c r="O112" s="3"/>
      <c r="P112" s="3"/>
      <c r="Q112" s="2"/>
      <c r="R112" s="2"/>
      <c r="S112" s="16">
        <f>71600+119800+102000</f>
        <v>293400</v>
      </c>
      <c r="T112" s="2" t="s">
        <v>455</v>
      </c>
      <c r="U112" s="16" t="s">
        <v>679</v>
      </c>
      <c r="V112" s="16" t="s">
        <v>680</v>
      </c>
      <c r="W112" s="3">
        <v>1.05</v>
      </c>
      <c r="X112" s="2" t="s">
        <v>117</v>
      </c>
      <c r="Y112" s="38" t="s">
        <v>681</v>
      </c>
      <c r="Z112" s="2">
        <v>60</v>
      </c>
      <c r="AA112" s="2" t="s">
        <v>15</v>
      </c>
      <c r="AB112" s="16"/>
      <c r="AC112"/>
      <c r="AD112" s="16"/>
      <c r="AE112"/>
      <c r="AF112"/>
      <c r="AG112" s="16"/>
      <c r="AH112" s="2"/>
      <c r="AI112"/>
      <c r="AJ112"/>
      <c r="AK112" s="17"/>
      <c r="AL112"/>
      <c r="AM112"/>
      <c r="AN112"/>
      <c r="AO112"/>
      <c r="AP112"/>
      <c r="AQ112" s="2"/>
      <c r="AR112"/>
      <c r="AS112" s="17"/>
      <c r="AT112"/>
      <c r="AU112"/>
      <c r="AV112"/>
      <c r="AW112"/>
      <c r="AX112" s="16" t="s">
        <v>1048</v>
      </c>
      <c r="AY112" s="16"/>
      <c r="AZ112"/>
      <c r="BA112"/>
      <c r="BB112"/>
      <c r="BC112"/>
      <c r="BD112"/>
      <c r="BE112"/>
      <c r="BF112"/>
      <c r="BG112" s="2" t="s">
        <v>1048</v>
      </c>
      <c r="BH112" s="16" t="s">
        <v>1048</v>
      </c>
      <c r="BI112" s="16">
        <v>4.64524765729585E-4</v>
      </c>
      <c r="BJ112" s="2" t="s">
        <v>1048</v>
      </c>
      <c r="BK112" s="28">
        <v>0.46452476572958501</v>
      </c>
      <c r="BL112" s="3">
        <v>0.91996320147194111</v>
      </c>
      <c r="BM112" s="3" t="s">
        <v>1048</v>
      </c>
      <c r="BN112" s="3">
        <v>0.4877510040160643</v>
      </c>
    </row>
    <row r="113" spans="1:66" ht="15" customHeight="1" x14ac:dyDescent="0.3">
      <c r="A113" s="2" t="s">
        <v>235</v>
      </c>
      <c r="B113" s="2"/>
      <c r="C113" s="2" t="s">
        <v>647</v>
      </c>
      <c r="D113" s="15">
        <v>62.53</v>
      </c>
      <c r="E113" s="15">
        <v>-114.15</v>
      </c>
      <c r="F113" s="2" t="s">
        <v>101</v>
      </c>
      <c r="G113" s="14" t="s">
        <v>101</v>
      </c>
      <c r="H113" s="14"/>
      <c r="I113" s="14"/>
      <c r="J113" s="16">
        <v>130.09412</v>
      </c>
      <c r="K113" s="16" t="s">
        <v>1048</v>
      </c>
      <c r="L113" s="15" t="s">
        <v>1051</v>
      </c>
      <c r="M113"/>
      <c r="N113"/>
      <c r="O113" s="3"/>
      <c r="P113" s="3"/>
      <c r="Q113" s="2"/>
      <c r="R113" s="2"/>
      <c r="S113" s="16">
        <f>+J113/1000</f>
        <v>0.13009412000000001</v>
      </c>
      <c r="T113" t="s">
        <v>1452</v>
      </c>
      <c r="U113" s="16"/>
      <c r="V113" s="16"/>
      <c r="W113" s="3"/>
      <c r="X113" s="3"/>
      <c r="Y113" s="3"/>
      <c r="Z113" s="2">
        <v>2</v>
      </c>
      <c r="AA113"/>
      <c r="AB113" s="16"/>
      <c r="AC113"/>
      <c r="AD113" s="16"/>
      <c r="AE113"/>
      <c r="AF113"/>
      <c r="AG113" s="16"/>
      <c r="AH113" s="2"/>
      <c r="AI113"/>
      <c r="AJ113"/>
      <c r="AK113" s="17"/>
      <c r="AL113"/>
      <c r="AM113"/>
      <c r="AN113"/>
      <c r="AO113"/>
      <c r="AP113"/>
      <c r="AQ113" s="2"/>
      <c r="AR113"/>
      <c r="AS113" s="17"/>
      <c r="AT113"/>
      <c r="AU113"/>
      <c r="AV113"/>
      <c r="AW113"/>
      <c r="AX113" s="16" t="s">
        <v>1048</v>
      </c>
      <c r="AY113" s="16"/>
      <c r="AZ113"/>
      <c r="BA113"/>
      <c r="BB113"/>
      <c r="BC113"/>
      <c r="BD113"/>
      <c r="BE113"/>
      <c r="BF113"/>
      <c r="BG113" s="2" t="s">
        <v>1048</v>
      </c>
      <c r="BH113" s="16" t="s">
        <v>1048</v>
      </c>
      <c r="BI113" s="2">
        <v>1</v>
      </c>
      <c r="BJ113" s="2" t="s">
        <v>1048</v>
      </c>
      <c r="BK113" s="2" t="s">
        <v>1048</v>
      </c>
      <c r="BL113" s="3" t="s">
        <v>1048</v>
      </c>
      <c r="BM113" s="3" t="s">
        <v>1048</v>
      </c>
      <c r="BN113" s="3" t="s">
        <v>1048</v>
      </c>
    </row>
    <row r="114" spans="1:66" ht="15" customHeight="1" x14ac:dyDescent="0.3">
      <c r="A114" s="2" t="s">
        <v>484</v>
      </c>
      <c r="B114" s="2"/>
      <c r="C114" s="2" t="s">
        <v>817</v>
      </c>
      <c r="D114" s="15">
        <v>-21.09</v>
      </c>
      <c r="E114" s="15">
        <v>-44.59</v>
      </c>
      <c r="F114" s="2" t="s">
        <v>101</v>
      </c>
      <c r="G114" s="14" t="s">
        <v>101</v>
      </c>
      <c r="H114" s="14"/>
      <c r="I114" s="14"/>
      <c r="J114" s="16">
        <v>119.93295502008031</v>
      </c>
      <c r="K114" s="16" t="s">
        <v>1048</v>
      </c>
      <c r="L114" s="15" t="s">
        <v>14</v>
      </c>
      <c r="M114" s="2" t="s">
        <v>14</v>
      </c>
      <c r="N114" s="2">
        <v>4</v>
      </c>
      <c r="O114" s="3">
        <v>3.6237084350929929</v>
      </c>
      <c r="P114" s="3">
        <v>3.6237084350929929</v>
      </c>
      <c r="Q114" s="2" t="s">
        <v>1400</v>
      </c>
      <c r="R114" s="2">
        <v>4</v>
      </c>
      <c r="S114" s="3">
        <f>(3421*0.01)+(16868*0.0107)+(4222*0.0103)</f>
        <v>258.18419999999998</v>
      </c>
      <c r="T114" s="2" t="s">
        <v>446</v>
      </c>
      <c r="U114" s="16" t="s">
        <v>818</v>
      </c>
      <c r="V114" s="16" t="s">
        <v>316</v>
      </c>
      <c r="W114" s="3">
        <v>1.05</v>
      </c>
      <c r="X114" s="2" t="s">
        <v>117</v>
      </c>
      <c r="Y114" s="38" t="s">
        <v>819</v>
      </c>
      <c r="Z114" s="2">
        <v>73</v>
      </c>
      <c r="AA114" s="2" t="s">
        <v>168</v>
      </c>
      <c r="AB114" s="16"/>
      <c r="AC114"/>
      <c r="AD114" s="16"/>
      <c r="AE114"/>
      <c r="AF114"/>
      <c r="AG114" s="16"/>
      <c r="AH114" s="3"/>
      <c r="AI114"/>
      <c r="AJ114"/>
      <c r="AK114" s="17"/>
      <c r="AL114"/>
      <c r="AM114"/>
      <c r="AN114"/>
      <c r="AO114"/>
      <c r="AP114"/>
      <c r="AQ114" s="2"/>
      <c r="AR114"/>
      <c r="AS114" s="17"/>
      <c r="AT114"/>
      <c r="AU114"/>
      <c r="AV114"/>
      <c r="AW114"/>
      <c r="AX114" s="16" t="s">
        <v>1048</v>
      </c>
      <c r="AY114" s="16"/>
      <c r="AZ114"/>
      <c r="BA114"/>
      <c r="BB114"/>
      <c r="BC114"/>
      <c r="BD114"/>
      <c r="BE114"/>
      <c r="BF114"/>
      <c r="BG114" s="2" t="s">
        <v>1048</v>
      </c>
      <c r="BH114" s="16" t="s">
        <v>1048</v>
      </c>
      <c r="BI114" s="16">
        <v>0.46452476572958501</v>
      </c>
      <c r="BJ114" s="2" t="s">
        <v>1048</v>
      </c>
      <c r="BK114" s="28">
        <v>0.46452476572958501</v>
      </c>
      <c r="BL114" s="3">
        <v>1.19681439926832</v>
      </c>
      <c r="BM114" s="3" t="s">
        <v>1048</v>
      </c>
      <c r="BN114" s="3">
        <v>0.4877510040160643</v>
      </c>
    </row>
    <row r="115" spans="1:66" ht="15" customHeight="1" x14ac:dyDescent="0.3">
      <c r="A115" s="2" t="s">
        <v>132</v>
      </c>
      <c r="B115" s="2"/>
      <c r="C115" s="2" t="s">
        <v>810</v>
      </c>
      <c r="D115" s="15">
        <v>-31.51</v>
      </c>
      <c r="E115" s="15">
        <v>122.18</v>
      </c>
      <c r="F115" s="2" t="s">
        <v>101</v>
      </c>
      <c r="G115" s="14" t="s">
        <v>101</v>
      </c>
      <c r="H115" s="14"/>
      <c r="I115" s="14"/>
      <c r="J115" s="16">
        <v>118.54672021419009</v>
      </c>
      <c r="K115" s="16">
        <v>53.002275769745651</v>
      </c>
      <c r="L115" s="15" t="s">
        <v>14</v>
      </c>
      <c r="M115" s="2" t="s">
        <v>14</v>
      </c>
      <c r="N115" s="2">
        <v>3</v>
      </c>
      <c r="O115" s="3"/>
      <c r="P115" s="3"/>
      <c r="Q115" s="2" t="s">
        <v>1402</v>
      </c>
      <c r="R115" s="2">
        <v>4</v>
      </c>
      <c r="S115" s="16">
        <f>147200+108000</f>
        <v>255200</v>
      </c>
      <c r="T115" s="2" t="s">
        <v>793</v>
      </c>
      <c r="U115" s="16" t="s">
        <v>814</v>
      </c>
      <c r="V115" s="16" t="s">
        <v>762</v>
      </c>
      <c r="W115" s="3">
        <v>0.96</v>
      </c>
      <c r="X115" s="2" t="s">
        <v>117</v>
      </c>
      <c r="Y115" s="3" t="s">
        <v>815</v>
      </c>
      <c r="Z115" s="2">
        <v>72</v>
      </c>
      <c r="AA115" s="2" t="s">
        <v>168</v>
      </c>
      <c r="AB115" s="16">
        <v>114100</v>
      </c>
      <c r="AC115" s="2" t="s">
        <v>793</v>
      </c>
      <c r="AD115" s="16" t="s">
        <v>812</v>
      </c>
      <c r="AE115" s="2">
        <v>1.01</v>
      </c>
      <c r="AF115" s="2" t="s">
        <v>117</v>
      </c>
      <c r="AG115" s="3" t="s">
        <v>813</v>
      </c>
      <c r="AH115" s="16">
        <v>0.3</v>
      </c>
      <c r="AI115">
        <v>72</v>
      </c>
      <c r="AJ115" s="2" t="s">
        <v>40</v>
      </c>
      <c r="AK115" s="17"/>
      <c r="AL115"/>
      <c r="AM115"/>
      <c r="AN115"/>
      <c r="AO115"/>
      <c r="AP115"/>
      <c r="AQ115" s="2"/>
      <c r="AR115"/>
      <c r="AS115" s="17"/>
      <c r="AT115"/>
      <c r="AU115"/>
      <c r="AV115"/>
      <c r="AW115"/>
      <c r="AX115" s="16" t="s">
        <v>1048</v>
      </c>
      <c r="AY115" s="16"/>
      <c r="AZ115"/>
      <c r="BA115"/>
      <c r="BB115"/>
      <c r="BC115"/>
      <c r="BD115"/>
      <c r="BE115"/>
      <c r="BF115"/>
      <c r="BG115" s="2" t="s">
        <v>1048</v>
      </c>
      <c r="BH115" s="16">
        <v>4.64524765729585E-4</v>
      </c>
      <c r="BI115" s="16">
        <v>4.64524765729585E-4</v>
      </c>
      <c r="BJ115" s="28">
        <v>0.46452476572958501</v>
      </c>
      <c r="BK115" s="28">
        <v>0.46452476572958501</v>
      </c>
      <c r="BL115" s="3">
        <v>1.1585812190399998</v>
      </c>
      <c r="BM115" s="3">
        <v>0.46917001338688086</v>
      </c>
      <c r="BN115" s="3">
        <v>0.44594377510040162</v>
      </c>
    </row>
    <row r="116" spans="1:66" ht="15" customHeight="1" x14ac:dyDescent="0.3">
      <c r="A116" s="2" t="s">
        <v>52</v>
      </c>
      <c r="B116" s="2"/>
      <c r="C116" s="2" t="s">
        <v>832</v>
      </c>
      <c r="D116" s="15">
        <v>-24.56</v>
      </c>
      <c r="E116" s="15">
        <v>-66.63</v>
      </c>
      <c r="F116" s="2" t="s">
        <v>13</v>
      </c>
      <c r="G116" s="14" t="s">
        <v>13</v>
      </c>
      <c r="H116" s="14"/>
      <c r="I116" s="14"/>
      <c r="J116" s="16">
        <v>106</v>
      </c>
      <c r="K116" s="16" t="s">
        <v>1048</v>
      </c>
      <c r="L116" s="15" t="s">
        <v>1052</v>
      </c>
      <c r="M116" s="2" t="s">
        <v>830</v>
      </c>
      <c r="N116" s="2">
        <v>173</v>
      </c>
      <c r="O116" s="3"/>
      <c r="P116" s="3"/>
      <c r="Q116" s="2" t="s">
        <v>1402</v>
      </c>
      <c r="R116" s="2">
        <v>4</v>
      </c>
      <c r="S116" s="16">
        <v>106000</v>
      </c>
      <c r="T116" s="2" t="s">
        <v>395</v>
      </c>
      <c r="U116" s="16" t="s">
        <v>833</v>
      </c>
      <c r="V116" s="16" t="s">
        <v>401</v>
      </c>
      <c r="W116" s="3">
        <v>460</v>
      </c>
      <c r="X116" s="3" t="s">
        <v>154</v>
      </c>
      <c r="Y116" s="3" t="s">
        <v>834</v>
      </c>
      <c r="Z116" s="2">
        <v>104</v>
      </c>
      <c r="AA116" s="2" t="s">
        <v>15</v>
      </c>
      <c r="AB116" s="16"/>
      <c r="AC116"/>
      <c r="AD116" s="16"/>
      <c r="AE116"/>
      <c r="AF116"/>
      <c r="AG116" s="16"/>
      <c r="AH116" s="16"/>
      <c r="AI116"/>
      <c r="AJ116"/>
      <c r="AK116" s="17"/>
      <c r="AL116"/>
      <c r="AM116"/>
      <c r="AN116"/>
      <c r="AO116"/>
      <c r="AP116"/>
      <c r="AQ116" s="2"/>
      <c r="AR116"/>
      <c r="AS116" s="17"/>
      <c r="AT116"/>
      <c r="AU116"/>
      <c r="AV116"/>
      <c r="AW116"/>
      <c r="AX116" s="16" t="s">
        <v>1048</v>
      </c>
      <c r="AY116" s="16"/>
      <c r="AZ116"/>
      <c r="BA116"/>
      <c r="BB116"/>
      <c r="BC116"/>
      <c r="BD116"/>
      <c r="BE116"/>
      <c r="BF116"/>
      <c r="BG116" s="2" t="s">
        <v>1048</v>
      </c>
      <c r="BH116" s="16" t="s">
        <v>1048</v>
      </c>
      <c r="BI116" s="16">
        <v>1E-3</v>
      </c>
      <c r="BJ116" s="2" t="s">
        <v>1048</v>
      </c>
      <c r="BK116" s="2">
        <v>1E-4</v>
      </c>
      <c r="BL116" s="3">
        <v>1.0469999999999999</v>
      </c>
      <c r="BM116" s="3" t="s">
        <v>1048</v>
      </c>
      <c r="BN116" s="3">
        <v>4.5999999999999999E-2</v>
      </c>
    </row>
    <row r="117" spans="1:66" ht="15" customHeight="1" x14ac:dyDescent="0.3">
      <c r="A117" s="2" t="s">
        <v>235</v>
      </c>
      <c r="B117" s="2"/>
      <c r="C117" s="2" t="s">
        <v>671</v>
      </c>
      <c r="D117" s="15">
        <v>50.73</v>
      </c>
      <c r="E117" s="15">
        <v>-74.88</v>
      </c>
      <c r="F117" s="2" t="s">
        <v>101</v>
      </c>
      <c r="G117" s="14" t="s">
        <v>101</v>
      </c>
      <c r="H117" s="14"/>
      <c r="I117" s="14"/>
      <c r="J117" s="16">
        <v>99.6126907630522</v>
      </c>
      <c r="K117" s="16">
        <v>69.534712182061568</v>
      </c>
      <c r="L117" s="15" t="s">
        <v>1051</v>
      </c>
      <c r="M117"/>
      <c r="N117"/>
      <c r="O117" s="3"/>
      <c r="P117" s="3"/>
      <c r="Q117" s="2" t="s">
        <v>1402</v>
      </c>
      <c r="R117" s="2">
        <v>4</v>
      </c>
      <c r="S117" s="3">
        <f>(4.8*0.014)+(7.3*0.0127)+(4.1*0.0133)</f>
        <v>0.21443999999999999</v>
      </c>
      <c r="T117" s="2" t="s">
        <v>139</v>
      </c>
      <c r="U117" s="16" t="s">
        <v>674</v>
      </c>
      <c r="V117" s="16" t="s">
        <v>316</v>
      </c>
      <c r="W117" s="3">
        <f>(12*1.4+4.1*1.33)/(16.1)</f>
        <v>1.382173913043478</v>
      </c>
      <c r="X117" s="2" t="s">
        <v>117</v>
      </c>
      <c r="Y117" s="38" t="s">
        <v>675</v>
      </c>
      <c r="Z117" s="2">
        <v>59</v>
      </c>
      <c r="AA117" s="2" t="s">
        <v>15</v>
      </c>
      <c r="AB117" s="3">
        <f>(4.6*0.0157)+(6.1*0.0127)</f>
        <v>0.14968999999999999</v>
      </c>
      <c r="AC117" s="2" t="s">
        <v>139</v>
      </c>
      <c r="AD117" s="16" t="s">
        <v>672</v>
      </c>
      <c r="AE117" s="2">
        <v>1.4</v>
      </c>
      <c r="AF117" s="2" t="s">
        <v>605</v>
      </c>
      <c r="AG117" s="16" t="s">
        <v>673</v>
      </c>
      <c r="AH117"/>
      <c r="AI117">
        <v>59</v>
      </c>
      <c r="AJ117" s="2" t="s">
        <v>15</v>
      </c>
      <c r="AK117" s="17"/>
      <c r="AL117"/>
      <c r="AM117"/>
      <c r="AN117"/>
      <c r="AO117"/>
      <c r="AP117"/>
      <c r="AQ117" s="2"/>
      <c r="AR117"/>
      <c r="AS117" s="17"/>
      <c r="AT117"/>
      <c r="AU117"/>
      <c r="AV117"/>
      <c r="AW117"/>
      <c r="AX117" s="16" t="s">
        <v>1048</v>
      </c>
      <c r="AY117" s="16"/>
      <c r="AZ117"/>
      <c r="BA117"/>
      <c r="BB117"/>
      <c r="BC117"/>
      <c r="BD117"/>
      <c r="BE117"/>
      <c r="BF117"/>
      <c r="BG117" s="2" t="s">
        <v>1048</v>
      </c>
      <c r="BH117" s="16">
        <v>464.524765729585</v>
      </c>
      <c r="BI117" s="16">
        <v>464.524765729585</v>
      </c>
      <c r="BJ117" s="28">
        <v>0.46452476572958501</v>
      </c>
      <c r="BK117" s="28">
        <v>0.46452476572958501</v>
      </c>
      <c r="BL117" s="3">
        <v>1</v>
      </c>
      <c r="BM117" s="3">
        <v>0.65033467202141892</v>
      </c>
      <c r="BN117" s="3">
        <v>0.64205401315406541</v>
      </c>
    </row>
    <row r="118" spans="1:66" ht="15" customHeight="1" x14ac:dyDescent="0.3">
      <c r="A118" s="2" t="s">
        <v>467</v>
      </c>
      <c r="B118" s="2"/>
      <c r="C118" s="2" t="s">
        <v>820</v>
      </c>
      <c r="D118" s="15">
        <v>-20.03</v>
      </c>
      <c r="E118" s="15">
        <v>29.4</v>
      </c>
      <c r="F118" s="2" t="s">
        <v>101</v>
      </c>
      <c r="G118" s="14" t="s">
        <v>101</v>
      </c>
      <c r="H118" s="14"/>
      <c r="I118" s="14"/>
      <c r="J118" s="16">
        <v>99.034357429718881</v>
      </c>
      <c r="K118" s="16" t="s">
        <v>1048</v>
      </c>
      <c r="L118" s="15" t="s">
        <v>14</v>
      </c>
      <c r="M118" s="2" t="s">
        <v>14</v>
      </c>
      <c r="N118" s="2">
        <v>174</v>
      </c>
      <c r="O118" s="3">
        <v>1.1933120420815329</v>
      </c>
      <c r="P118" s="3">
        <v>2.3415367274093555</v>
      </c>
      <c r="Q118" s="2" t="s">
        <v>1400</v>
      </c>
      <c r="R118" s="2">
        <v>4</v>
      </c>
      <c r="S118" s="16">
        <v>213195</v>
      </c>
      <c r="T118" s="2" t="s">
        <v>793</v>
      </c>
      <c r="U118" s="16" t="s">
        <v>824</v>
      </c>
      <c r="V118" s="16" t="s">
        <v>401</v>
      </c>
      <c r="W118" s="3">
        <v>1.06</v>
      </c>
      <c r="X118" s="2" t="s">
        <v>117</v>
      </c>
      <c r="Y118" s="3" t="s">
        <v>825</v>
      </c>
      <c r="Z118" s="2">
        <v>74</v>
      </c>
      <c r="AA118" s="2" t="s">
        <v>792</v>
      </c>
      <c r="AB118" s="16"/>
      <c r="AC118"/>
      <c r="AD118" s="16"/>
      <c r="AE118"/>
      <c r="AF118"/>
      <c r="AG118" s="16"/>
      <c r="AH118" s="16"/>
      <c r="AI118"/>
      <c r="AJ118"/>
      <c r="AK118" s="17"/>
      <c r="AL118"/>
      <c r="AM118"/>
      <c r="AN118"/>
      <c r="AO118"/>
      <c r="AP118"/>
      <c r="AQ118" s="2"/>
      <c r="AR118"/>
      <c r="AS118" s="17">
        <v>238</v>
      </c>
      <c r="AT118" s="2" t="s">
        <v>223</v>
      </c>
      <c r="AU118" s="2" t="s">
        <v>569</v>
      </c>
      <c r="AV118">
        <v>74</v>
      </c>
      <c r="AW118" s="2" t="s">
        <v>76</v>
      </c>
      <c r="AX118" s="16">
        <v>2.7241472658364918</v>
      </c>
      <c r="AY118" s="16">
        <v>14500</v>
      </c>
      <c r="AZ118" s="2" t="s">
        <v>294</v>
      </c>
      <c r="BA118" s="2" t="s">
        <v>823</v>
      </c>
      <c r="BB118"/>
      <c r="BC118" s="2">
        <v>15</v>
      </c>
      <c r="BD118">
        <v>74</v>
      </c>
      <c r="BE118" s="2" t="s">
        <v>76</v>
      </c>
      <c r="BF118"/>
      <c r="BG118" s="16">
        <v>1.8787222523010289E-4</v>
      </c>
      <c r="BH118" s="16" t="s">
        <v>1048</v>
      </c>
      <c r="BI118" s="16">
        <v>4.64524765729585E-4</v>
      </c>
      <c r="BJ118" s="2" t="s">
        <v>1048</v>
      </c>
      <c r="BK118" s="28">
        <v>0.46452476572958501</v>
      </c>
      <c r="BL118" s="3">
        <v>1.0469999999999999</v>
      </c>
      <c r="BM118" s="3" t="s">
        <v>1048</v>
      </c>
      <c r="BN118" s="3">
        <v>0.49239625167336015</v>
      </c>
    </row>
    <row r="119" spans="1:66" ht="15" customHeight="1" x14ac:dyDescent="0.3">
      <c r="A119" s="2" t="s">
        <v>17</v>
      </c>
      <c r="B119" s="30"/>
      <c r="C119" s="30" t="s">
        <v>954</v>
      </c>
      <c r="D119" s="14">
        <v>-21.48</v>
      </c>
      <c r="E119" s="39">
        <v>-68.39</v>
      </c>
      <c r="F119" s="2" t="s">
        <v>13</v>
      </c>
      <c r="G119" s="14" t="s">
        <v>13</v>
      </c>
      <c r="H119" s="2"/>
      <c r="I119" s="2"/>
      <c r="J119" s="16">
        <v>96.98941201949107</v>
      </c>
      <c r="K119" s="16" t="s">
        <v>1048</v>
      </c>
      <c r="L119" s="15" t="s">
        <v>1051</v>
      </c>
      <c r="M119"/>
      <c r="N119"/>
      <c r="O119" s="3"/>
      <c r="P119" s="3"/>
      <c r="Q119" s="2"/>
      <c r="R119" s="2"/>
      <c r="S119" s="16">
        <v>516252</v>
      </c>
      <c r="T119" s="2" t="s">
        <v>725</v>
      </c>
      <c r="U119" s="16" t="s">
        <v>955</v>
      </c>
      <c r="V119" s="16"/>
      <c r="W119" s="3">
        <v>290</v>
      </c>
      <c r="X119" s="17" t="s">
        <v>78</v>
      </c>
      <c r="Y119" s="16" t="s">
        <v>956</v>
      </c>
      <c r="Z119" s="2">
        <v>89</v>
      </c>
      <c r="AA119" s="2" t="s">
        <v>110</v>
      </c>
      <c r="AB119" s="16"/>
      <c r="AC119"/>
      <c r="AD119" s="16"/>
      <c r="AE119"/>
      <c r="AF119"/>
      <c r="AG119" s="16"/>
      <c r="AH119" s="16"/>
      <c r="AI119"/>
      <c r="AJ119"/>
      <c r="AK119" s="17"/>
      <c r="AL119"/>
      <c r="AM119"/>
      <c r="AN119"/>
      <c r="AO119"/>
      <c r="AP119"/>
      <c r="AQ119" s="2"/>
      <c r="AR119"/>
      <c r="AS119" s="17"/>
      <c r="AT119"/>
      <c r="AU119"/>
      <c r="AV119"/>
      <c r="AW119"/>
      <c r="AX119" s="16" t="s">
        <v>1048</v>
      </c>
      <c r="AY119" s="16"/>
      <c r="AZ119"/>
      <c r="BA119"/>
      <c r="BB119"/>
      <c r="BC119"/>
      <c r="BD119"/>
      <c r="BE119"/>
      <c r="BF119"/>
      <c r="BG119" s="2" t="s">
        <v>1048</v>
      </c>
      <c r="BH119" s="16" t="s">
        <v>1048</v>
      </c>
      <c r="BI119" s="16">
        <v>1.8787222523010289E-4</v>
      </c>
      <c r="BJ119" s="2" t="s">
        <v>1048</v>
      </c>
      <c r="BK119" s="2">
        <v>1E-4</v>
      </c>
      <c r="BL119" s="3" t="s">
        <v>1048</v>
      </c>
      <c r="BM119" s="3" t="s">
        <v>1048</v>
      </c>
      <c r="BN119" s="3">
        <v>2.9000000000000001E-2</v>
      </c>
    </row>
    <row r="120" spans="1:66" ht="15" customHeight="1" x14ac:dyDescent="0.3">
      <c r="A120" s="2" t="s">
        <v>132</v>
      </c>
      <c r="B120" s="2"/>
      <c r="C120" s="2" t="s">
        <v>835</v>
      </c>
      <c r="D120" s="15">
        <v>-21.1</v>
      </c>
      <c r="E120" s="15">
        <v>119.85</v>
      </c>
      <c r="F120" s="2" t="s">
        <v>101</v>
      </c>
      <c r="G120" s="14" t="s">
        <v>101</v>
      </c>
      <c r="H120" s="14"/>
      <c r="I120" s="14"/>
      <c r="J120" s="16">
        <v>83.744524765729579</v>
      </c>
      <c r="K120" s="16" t="s">
        <v>1048</v>
      </c>
      <c r="L120" s="15" t="s">
        <v>1051</v>
      </c>
      <c r="M120"/>
      <c r="N120"/>
      <c r="O120" s="3"/>
      <c r="P120" s="3"/>
      <c r="Q120" s="2" t="s">
        <v>1402</v>
      </c>
      <c r="R120" s="2">
        <v>4</v>
      </c>
      <c r="S120" s="3">
        <f>(3.8*0.0097)+(14.2*0.0101)</f>
        <v>0.18028</v>
      </c>
      <c r="T120" s="2" t="s">
        <v>827</v>
      </c>
      <c r="U120" s="16" t="s">
        <v>836</v>
      </c>
      <c r="V120" s="16" t="s">
        <v>837</v>
      </c>
      <c r="W120" s="3">
        <v>1</v>
      </c>
      <c r="X120" s="3" t="s">
        <v>117</v>
      </c>
      <c r="Y120" s="3" t="s">
        <v>838</v>
      </c>
      <c r="Z120" s="2">
        <v>184</v>
      </c>
      <c r="AA120" s="2" t="s">
        <v>28</v>
      </c>
      <c r="AB120" s="16"/>
      <c r="AC120"/>
      <c r="AD120" s="16"/>
      <c r="AE120"/>
      <c r="AF120"/>
      <c r="AG120" s="16"/>
      <c r="AH120" s="16"/>
      <c r="AI120"/>
      <c r="AJ120"/>
      <c r="AK120" s="17"/>
      <c r="AL120"/>
      <c r="AM120"/>
      <c r="AN120"/>
      <c r="AO120"/>
      <c r="AP120"/>
      <c r="AQ120" s="2"/>
      <c r="AR120"/>
      <c r="AS120" s="17"/>
      <c r="AT120"/>
      <c r="AU120"/>
      <c r="AV120"/>
      <c r="AW120"/>
      <c r="AX120" s="16" t="s">
        <v>1048</v>
      </c>
      <c r="AY120" s="16"/>
      <c r="AZ120"/>
      <c r="BA120"/>
      <c r="BB120"/>
      <c r="BC120"/>
      <c r="BD120"/>
      <c r="BE120"/>
      <c r="BF120"/>
      <c r="BG120" s="2" t="s">
        <v>1048</v>
      </c>
      <c r="BH120" s="16" t="s">
        <v>1048</v>
      </c>
      <c r="BI120" s="16">
        <v>464.524765729585</v>
      </c>
      <c r="BJ120" s="2" t="s">
        <v>1048</v>
      </c>
      <c r="BK120" s="28">
        <v>0.46452476572958501</v>
      </c>
      <c r="BL120" s="3" t="s">
        <v>1048</v>
      </c>
      <c r="BM120" s="3" t="s">
        <v>1048</v>
      </c>
      <c r="BN120" s="3">
        <v>0.46452476572958501</v>
      </c>
    </row>
    <row r="121" spans="1:66" ht="15" customHeight="1" x14ac:dyDescent="0.3">
      <c r="A121" s="2" t="s">
        <v>128</v>
      </c>
      <c r="B121" s="2"/>
      <c r="C121" s="2" t="s">
        <v>1016</v>
      </c>
      <c r="D121" s="14">
        <v>28.32</v>
      </c>
      <c r="E121" s="14">
        <v>114.56</v>
      </c>
      <c r="F121" s="2" t="s">
        <v>101</v>
      </c>
      <c r="G121" s="14" t="s">
        <v>101</v>
      </c>
      <c r="H121" s="14"/>
      <c r="I121" s="14"/>
      <c r="J121" s="16">
        <v>81.536545749864658</v>
      </c>
      <c r="K121" s="16">
        <v>47.381526104417674</v>
      </c>
      <c r="L121" s="15" t="s">
        <v>14</v>
      </c>
      <c r="M121" s="2" t="s">
        <v>14</v>
      </c>
      <c r="N121" s="2">
        <v>5</v>
      </c>
      <c r="O121"/>
      <c r="P121"/>
      <c r="Q121" s="2"/>
      <c r="R121" s="2"/>
      <c r="S121" s="16">
        <v>434000</v>
      </c>
      <c r="T121" s="2" t="s">
        <v>725</v>
      </c>
      <c r="U121" s="16" t="s">
        <v>1018</v>
      </c>
      <c r="V121" s="16"/>
      <c r="W121" s="2">
        <v>0.39</v>
      </c>
      <c r="X121" s="17" t="s">
        <v>117</v>
      </c>
      <c r="Y121" s="17" t="s">
        <v>986</v>
      </c>
      <c r="Z121" s="2">
        <v>126</v>
      </c>
      <c r="AA121" s="2" t="s">
        <v>459</v>
      </c>
      <c r="AB121" s="16">
        <v>102000</v>
      </c>
      <c r="AC121" s="2" t="s">
        <v>731</v>
      </c>
      <c r="AD121" s="16"/>
      <c r="AE121"/>
      <c r="AF121"/>
      <c r="AG121" s="16"/>
      <c r="AH121" s="16"/>
      <c r="AI121">
        <v>126</v>
      </c>
      <c r="AJ121" s="2" t="s">
        <v>459</v>
      </c>
      <c r="AK121" s="17">
        <v>5426.46</v>
      </c>
      <c r="AL121" s="18" t="s">
        <v>10</v>
      </c>
      <c r="AM121" s="18" t="s">
        <v>31</v>
      </c>
      <c r="AN121" s="27"/>
      <c r="AO121" s="18" t="s">
        <v>47</v>
      </c>
      <c r="AP121" s="2" t="s">
        <v>1020</v>
      </c>
      <c r="AQ121" s="2">
        <v>189</v>
      </c>
      <c r="AR121" s="5"/>
      <c r="AS121" s="17">
        <v>155.04</v>
      </c>
      <c r="AT121" s="2" t="s">
        <v>33</v>
      </c>
      <c r="AU121" s="2" t="s">
        <v>1021</v>
      </c>
      <c r="AV121">
        <v>189</v>
      </c>
      <c r="AW121" s="2"/>
      <c r="AX121" s="16">
        <v>5.4107200866269629</v>
      </c>
      <c r="AY121" s="21">
        <f>3*0.0096*1000</f>
        <v>28.8</v>
      </c>
      <c r="AZ121" s="2" t="s">
        <v>245</v>
      </c>
      <c r="BA121" s="2" t="s">
        <v>1017</v>
      </c>
      <c r="BB121"/>
      <c r="BC121"/>
      <c r="BD121">
        <v>126</v>
      </c>
      <c r="BE121" s="2" t="s">
        <v>459</v>
      </c>
      <c r="BF121"/>
      <c r="BG121" s="16">
        <v>0.18787222523010288</v>
      </c>
      <c r="BH121" s="16">
        <v>4.64524765729585E-4</v>
      </c>
      <c r="BI121" s="16">
        <v>1.8787222523010289E-4</v>
      </c>
      <c r="BJ121" s="2" t="s">
        <v>1048</v>
      </c>
      <c r="BK121" s="28">
        <v>0.46452476572958501</v>
      </c>
      <c r="BL121" s="3">
        <v>1.0469999999999999</v>
      </c>
      <c r="BM121" s="3" t="s">
        <v>1048</v>
      </c>
      <c r="BN121" s="3">
        <v>0.18116465863453815</v>
      </c>
    </row>
    <row r="122" spans="1:66" ht="15" customHeight="1" x14ac:dyDescent="0.3">
      <c r="A122" s="2" t="s">
        <v>235</v>
      </c>
      <c r="B122" s="2"/>
      <c r="C122" s="2" t="s">
        <v>682</v>
      </c>
      <c r="D122" s="15">
        <v>50.26</v>
      </c>
      <c r="E122" s="15">
        <v>-94.56</v>
      </c>
      <c r="F122" s="2" t="s">
        <v>101</v>
      </c>
      <c r="G122" s="14" t="s">
        <v>101</v>
      </c>
      <c r="H122" s="14"/>
      <c r="I122" s="14"/>
      <c r="J122" s="16">
        <v>81.225871485943784</v>
      </c>
      <c r="K122" s="16" t="s">
        <v>1048</v>
      </c>
      <c r="L122" s="15" t="s">
        <v>1052</v>
      </c>
      <c r="M122" s="2" t="s">
        <v>256</v>
      </c>
      <c r="N122" s="2">
        <v>175</v>
      </c>
      <c r="O122" s="3"/>
      <c r="P122" s="3">
        <v>1.6883336464399774</v>
      </c>
      <c r="Q122" s="2" t="s">
        <v>1404</v>
      </c>
      <c r="R122" s="2">
        <v>4</v>
      </c>
      <c r="S122" s="3">
        <f>10.08*0.0135+2.81*0.0138</f>
        <v>0.17485800000000001</v>
      </c>
      <c r="T122" s="2" t="s">
        <v>685</v>
      </c>
      <c r="U122" s="3" t="s">
        <v>686</v>
      </c>
      <c r="V122" s="16"/>
      <c r="W122" s="3">
        <f>(10.08*0.0135+2.81*0.0138)/(10.08+2.81)*100</f>
        <v>1.3565399534522886</v>
      </c>
      <c r="X122" s="2" t="s">
        <v>117</v>
      </c>
      <c r="Y122" s="3" t="s">
        <v>688</v>
      </c>
      <c r="Z122" s="2">
        <v>183</v>
      </c>
      <c r="AA122" s="7"/>
      <c r="AB122" s="16"/>
      <c r="AC122"/>
      <c r="AD122" s="16"/>
      <c r="AE122"/>
      <c r="AF122"/>
      <c r="AG122" s="16"/>
      <c r="AH122" s="2"/>
      <c r="AI122"/>
      <c r="AJ122"/>
      <c r="AK122" s="17"/>
      <c r="AL122"/>
      <c r="AM122"/>
      <c r="AN122"/>
      <c r="AO122"/>
      <c r="AP122"/>
      <c r="AQ122" s="2"/>
      <c r="AR122"/>
      <c r="AS122" s="17"/>
      <c r="AT122"/>
      <c r="AU122"/>
      <c r="AV122"/>
      <c r="AW122"/>
      <c r="AX122" s="16" t="s">
        <v>1048</v>
      </c>
      <c r="AY122" s="16"/>
      <c r="AZ122"/>
      <c r="BA122"/>
      <c r="BB122" s="2" t="s">
        <v>684</v>
      </c>
      <c r="BC122"/>
      <c r="BD122"/>
      <c r="BE122"/>
      <c r="BF122"/>
      <c r="BG122" s="2" t="s">
        <v>1048</v>
      </c>
      <c r="BH122" s="16" t="s">
        <v>1048</v>
      </c>
      <c r="BI122" s="16">
        <v>464.524765729585</v>
      </c>
      <c r="BJ122" s="2" t="s">
        <v>1048</v>
      </c>
      <c r="BK122" s="28">
        <v>0.46452476572958501</v>
      </c>
      <c r="BL122" s="3" t="s">
        <v>1048</v>
      </c>
      <c r="BM122" s="3" t="s">
        <v>1048</v>
      </c>
      <c r="BN122" s="3">
        <v>0.63014640408024647</v>
      </c>
    </row>
    <row r="123" spans="1:66" ht="15" customHeight="1" x14ac:dyDescent="0.3">
      <c r="A123" s="2" t="s">
        <v>17</v>
      </c>
      <c r="B123" s="2"/>
      <c r="C123" s="2" t="s">
        <v>916</v>
      </c>
      <c r="D123" s="14">
        <v>-25.83</v>
      </c>
      <c r="E123" s="39">
        <v>-68.510000000000005</v>
      </c>
      <c r="F123" s="2" t="s">
        <v>13</v>
      </c>
      <c r="G123" s="14" t="s">
        <v>13</v>
      </c>
      <c r="H123" s="2"/>
      <c r="I123" s="2"/>
      <c r="J123" s="16">
        <v>80.432000000000002</v>
      </c>
      <c r="K123" s="16" t="s">
        <v>1048</v>
      </c>
      <c r="L123" s="15" t="s">
        <v>1051</v>
      </c>
      <c r="M123"/>
      <c r="N123"/>
      <c r="O123" s="3"/>
      <c r="P123" s="3"/>
      <c r="Q123" s="2"/>
      <c r="R123" s="2"/>
      <c r="S123" s="16">
        <v>80432</v>
      </c>
      <c r="T123" s="2" t="s">
        <v>156</v>
      </c>
      <c r="U123" s="16" t="s">
        <v>918</v>
      </c>
      <c r="V123" s="16" t="s">
        <v>401</v>
      </c>
      <c r="W123" s="3">
        <v>306</v>
      </c>
      <c r="X123" s="3" t="s">
        <v>22</v>
      </c>
      <c r="Y123" s="17" t="s">
        <v>920</v>
      </c>
      <c r="Z123" s="2">
        <v>88</v>
      </c>
      <c r="AA123" s="2" t="s">
        <v>919</v>
      </c>
      <c r="AB123" s="16"/>
      <c r="AC123"/>
      <c r="AD123" s="16"/>
      <c r="AE123"/>
      <c r="AF123"/>
      <c r="AG123" s="16"/>
      <c r="AH123" s="16"/>
      <c r="AI123"/>
      <c r="AJ123"/>
      <c r="AK123" s="17"/>
      <c r="AL123"/>
      <c r="AM123"/>
      <c r="AN123"/>
      <c r="AO123"/>
      <c r="AP123"/>
      <c r="AQ123" s="2"/>
      <c r="AR123"/>
      <c r="AS123" s="17"/>
      <c r="AT123"/>
      <c r="AU123"/>
      <c r="AV123"/>
      <c r="AW123"/>
      <c r="AX123" s="16" t="s">
        <v>1048</v>
      </c>
      <c r="AY123" s="16"/>
      <c r="AZ123"/>
      <c r="BA123"/>
      <c r="BB123"/>
      <c r="BC123"/>
      <c r="BD123"/>
      <c r="BE123"/>
      <c r="BF123"/>
      <c r="BG123" s="2" t="s">
        <v>1048</v>
      </c>
      <c r="BH123" s="16" t="s">
        <v>1048</v>
      </c>
      <c r="BI123" s="16">
        <v>1E-3</v>
      </c>
      <c r="BJ123" s="2" t="s">
        <v>1048</v>
      </c>
      <c r="BK123" s="2">
        <v>1E-4</v>
      </c>
      <c r="BL123" s="3">
        <v>1.0469999999999999</v>
      </c>
      <c r="BM123" s="3" t="s">
        <v>1048</v>
      </c>
      <c r="BN123" s="3">
        <v>3.0600000000000002E-2</v>
      </c>
    </row>
    <row r="124" spans="1:66" ht="15" customHeight="1" x14ac:dyDescent="0.3">
      <c r="A124" s="2" t="s">
        <v>235</v>
      </c>
      <c r="B124" s="2"/>
      <c r="C124" s="2" t="s">
        <v>665</v>
      </c>
      <c r="D124" s="15">
        <v>48.36</v>
      </c>
      <c r="E124" s="15">
        <v>-78.19</v>
      </c>
      <c r="F124" s="2" t="s">
        <v>101</v>
      </c>
      <c r="G124" s="14" t="s">
        <v>101</v>
      </c>
      <c r="H124" s="14"/>
      <c r="I124" s="14"/>
      <c r="J124" s="16">
        <v>80.176974564926368</v>
      </c>
      <c r="K124" s="16">
        <v>50.308032128514064</v>
      </c>
      <c r="L124" s="15" t="s">
        <v>1052</v>
      </c>
      <c r="M124" s="2" t="s">
        <v>102</v>
      </c>
      <c r="N124" s="2">
        <v>176</v>
      </c>
      <c r="O124" s="3"/>
      <c r="P124" s="3"/>
      <c r="Q124" s="2"/>
      <c r="R124" s="2"/>
      <c r="S124" s="16">
        <f>59200+83400+30000</f>
        <v>172600</v>
      </c>
      <c r="T124" s="2" t="s">
        <v>455</v>
      </c>
      <c r="U124" s="16" t="s">
        <v>669</v>
      </c>
      <c r="V124" s="16" t="s">
        <v>316</v>
      </c>
      <c r="W124" s="3">
        <v>1.01</v>
      </c>
      <c r="X124" s="2" t="s">
        <v>117</v>
      </c>
      <c r="Y124" s="38" t="s">
        <v>670</v>
      </c>
      <c r="Z124" s="2">
        <v>58</v>
      </c>
      <c r="AA124" s="2" t="s">
        <v>15</v>
      </c>
      <c r="AB124" s="24">
        <f>57.6+50.7</f>
        <v>108.30000000000001</v>
      </c>
      <c r="AC124" s="2" t="s">
        <v>446</v>
      </c>
      <c r="AD124" s="16" t="s">
        <v>667</v>
      </c>
      <c r="AE124" s="2">
        <v>0.96</v>
      </c>
      <c r="AF124" s="2" t="s">
        <v>605</v>
      </c>
      <c r="AG124" s="16" t="s">
        <v>668</v>
      </c>
      <c r="AH124" s="2">
        <v>0.55000000000000004</v>
      </c>
      <c r="AI124">
        <v>58</v>
      </c>
      <c r="AJ124" s="2" t="s">
        <v>15</v>
      </c>
      <c r="AK124" s="17"/>
      <c r="AL124"/>
      <c r="AM124"/>
      <c r="AN124"/>
      <c r="AO124"/>
      <c r="AP124"/>
      <c r="AQ124" s="2"/>
      <c r="AR124"/>
      <c r="AS124" s="17"/>
      <c r="AT124"/>
      <c r="AU124"/>
      <c r="AV124"/>
      <c r="AW124"/>
      <c r="AX124" s="16" t="s">
        <v>1048</v>
      </c>
      <c r="AY124" s="16"/>
      <c r="AZ124"/>
      <c r="BA124"/>
      <c r="BB124"/>
      <c r="BC124" s="2">
        <v>22</v>
      </c>
      <c r="BD124"/>
      <c r="BE124"/>
      <c r="BF124"/>
      <c r="BG124" s="2" t="s">
        <v>1048</v>
      </c>
      <c r="BH124" s="16">
        <v>0.46452476572958501</v>
      </c>
      <c r="BI124" s="16">
        <v>4.64524765729585E-4</v>
      </c>
      <c r="BJ124" s="28">
        <v>0.46452476572958501</v>
      </c>
      <c r="BK124" s="28">
        <v>0.46452476572958501</v>
      </c>
      <c r="BL124" s="3">
        <v>1</v>
      </c>
      <c r="BM124" s="3">
        <v>0.44594377510040162</v>
      </c>
      <c r="BN124" s="3">
        <v>0.46917001338688086</v>
      </c>
    </row>
    <row r="125" spans="1:66" ht="15" customHeight="1" x14ac:dyDescent="0.3">
      <c r="A125" s="2" t="s">
        <v>484</v>
      </c>
      <c r="B125" s="2"/>
      <c r="C125" s="2" t="s">
        <v>798</v>
      </c>
      <c r="D125" s="15">
        <v>-16.13</v>
      </c>
      <c r="E125" s="15">
        <v>-42.12</v>
      </c>
      <c r="F125" s="2" t="s">
        <v>101</v>
      </c>
      <c r="G125" s="14" t="s">
        <v>101</v>
      </c>
      <c r="H125" s="14"/>
      <c r="I125" s="14"/>
      <c r="J125" s="16">
        <v>74.463319946452472</v>
      </c>
      <c r="K125" s="16" t="s">
        <v>1048</v>
      </c>
      <c r="L125" s="15" t="s">
        <v>1051</v>
      </c>
      <c r="M125"/>
      <c r="N125"/>
      <c r="O125" s="3"/>
      <c r="P125" s="3"/>
      <c r="Q125" s="2" t="s">
        <v>1402</v>
      </c>
      <c r="R125" s="2">
        <v>4</v>
      </c>
      <c r="S125" s="3">
        <f>25.1+135.2</f>
        <v>160.29999999999998</v>
      </c>
      <c r="T125" s="2" t="s">
        <v>446</v>
      </c>
      <c r="U125" s="16" t="s">
        <v>800</v>
      </c>
      <c r="V125" s="16" t="s">
        <v>762</v>
      </c>
      <c r="W125" s="3">
        <v>1.21</v>
      </c>
      <c r="X125" s="2" t="s">
        <v>117</v>
      </c>
      <c r="Y125" s="3" t="s">
        <v>801</v>
      </c>
      <c r="Z125" s="2">
        <v>70</v>
      </c>
      <c r="AA125" s="2" t="s">
        <v>40</v>
      </c>
      <c r="AB125" s="16"/>
      <c r="AC125"/>
      <c r="AD125" s="16"/>
      <c r="AE125"/>
      <c r="AF125"/>
      <c r="AG125" s="16"/>
      <c r="AH125" s="2"/>
      <c r="AI125"/>
      <c r="AJ125"/>
      <c r="AK125" s="17"/>
      <c r="AL125"/>
      <c r="AM125"/>
      <c r="AN125"/>
      <c r="AO125"/>
      <c r="AP125"/>
      <c r="AQ125" s="2"/>
      <c r="AR125"/>
      <c r="AS125" s="17"/>
      <c r="AT125"/>
      <c r="AU125"/>
      <c r="AV125"/>
      <c r="AW125"/>
      <c r="AX125" s="16" t="s">
        <v>1048</v>
      </c>
      <c r="AY125" s="16"/>
      <c r="AZ125"/>
      <c r="BA125"/>
      <c r="BB125"/>
      <c r="BC125"/>
      <c r="BD125"/>
      <c r="BE125"/>
      <c r="BF125"/>
      <c r="BG125" s="2" t="s">
        <v>1048</v>
      </c>
      <c r="BH125" s="16" t="s">
        <v>1048</v>
      </c>
      <c r="BI125" s="16">
        <v>0.46452476572958501</v>
      </c>
      <c r="BJ125" s="2" t="s">
        <v>1048</v>
      </c>
      <c r="BK125" s="28">
        <v>0.46452476572958501</v>
      </c>
      <c r="BL125" s="3">
        <v>1</v>
      </c>
      <c r="BM125" s="3" t="s">
        <v>1048</v>
      </c>
      <c r="BN125" s="3">
        <v>0.56207496653279787</v>
      </c>
    </row>
    <row r="126" spans="1:66" ht="15" customHeight="1" x14ac:dyDescent="0.3">
      <c r="A126" s="2" t="s">
        <v>132</v>
      </c>
      <c r="B126" s="2"/>
      <c r="C126" s="2" t="s">
        <v>726</v>
      </c>
      <c r="D126" s="15">
        <v>-33.56</v>
      </c>
      <c r="E126" s="15">
        <v>120.03</v>
      </c>
      <c r="F126" s="2" t="s">
        <v>101</v>
      </c>
      <c r="G126" s="14" t="s">
        <v>101</v>
      </c>
      <c r="H126" s="14"/>
      <c r="I126" s="14"/>
      <c r="J126" s="16">
        <v>71.07228915662651</v>
      </c>
      <c r="K126" s="16">
        <v>38.741365461847387</v>
      </c>
      <c r="L126" s="15" t="s">
        <v>14</v>
      </c>
      <c r="M126" s="2" t="s">
        <v>14</v>
      </c>
      <c r="N126" s="2">
        <v>3</v>
      </c>
      <c r="O126" s="3">
        <v>5.6359195942137887</v>
      </c>
      <c r="P126" s="3"/>
      <c r="Q126" s="2" t="s">
        <v>1400</v>
      </c>
      <c r="R126" s="2">
        <v>4</v>
      </c>
      <c r="S126" s="16">
        <f>2000+121000+17000+13000</f>
        <v>153000</v>
      </c>
      <c r="T126" s="2" t="s">
        <v>177</v>
      </c>
      <c r="U126" s="16" t="s">
        <v>734</v>
      </c>
      <c r="V126" s="16" t="s">
        <v>736</v>
      </c>
      <c r="W126" s="3">
        <v>1.3</v>
      </c>
      <c r="X126" s="2" t="s">
        <v>117</v>
      </c>
      <c r="Y126" s="3" t="s">
        <v>737</v>
      </c>
      <c r="Z126" s="2">
        <v>22</v>
      </c>
      <c r="AA126" s="2" t="s">
        <v>735</v>
      </c>
      <c r="AB126" s="16">
        <f>1400+69000+13000</f>
        <v>83400</v>
      </c>
      <c r="AC126" s="2" t="s">
        <v>731</v>
      </c>
      <c r="AD126" s="2" t="s">
        <v>732</v>
      </c>
      <c r="AE126" s="2">
        <v>1.2</v>
      </c>
      <c r="AF126" s="2" t="s">
        <v>117</v>
      </c>
      <c r="AG126" s="16" t="s">
        <v>733</v>
      </c>
      <c r="AH126" s="2">
        <v>0.3</v>
      </c>
      <c r="AI126">
        <v>22</v>
      </c>
      <c r="AJ126" s="4" t="s">
        <v>730</v>
      </c>
      <c r="AK126" s="17">
        <f>29.12/0.012*0.055</f>
        <v>133.46666666666667</v>
      </c>
      <c r="AL126" s="2" t="s">
        <v>739</v>
      </c>
      <c r="AM126" s="2" t="s">
        <v>121</v>
      </c>
      <c r="AN126" s="27">
        <v>5.5E-2</v>
      </c>
      <c r="AO126" s="18" t="s">
        <v>47</v>
      </c>
      <c r="AP126" s="2" t="s">
        <v>740</v>
      </c>
      <c r="AQ126" s="2">
        <v>22</v>
      </c>
      <c r="AR126" s="2" t="s">
        <v>738</v>
      </c>
      <c r="AS126" s="17">
        <v>80.3</v>
      </c>
      <c r="AT126" s="2" t="s">
        <v>88</v>
      </c>
      <c r="AU126" s="2" t="s">
        <v>742</v>
      </c>
      <c r="AV126">
        <v>22</v>
      </c>
      <c r="AW126" s="2" t="s">
        <v>741</v>
      </c>
      <c r="AX126" s="16">
        <v>3.6511646586345381</v>
      </c>
      <c r="AY126" s="16">
        <f>131*0.06</f>
        <v>7.8599999999999994</v>
      </c>
      <c r="AZ126" s="2" t="s">
        <v>727</v>
      </c>
      <c r="BA126" s="2" t="s">
        <v>728</v>
      </c>
      <c r="BB126" s="2" t="s">
        <v>717</v>
      </c>
      <c r="BC126"/>
      <c r="BD126">
        <v>22</v>
      </c>
      <c r="BE126" s="5" t="s">
        <v>729</v>
      </c>
      <c r="BF126"/>
      <c r="BG126" s="16">
        <v>0.46452476572958501</v>
      </c>
      <c r="BH126" s="16">
        <v>4.64524765729585E-4</v>
      </c>
      <c r="BI126" s="16">
        <v>4.64524765729585E-4</v>
      </c>
      <c r="BJ126" s="28">
        <v>0.46452476572958501</v>
      </c>
      <c r="BK126" s="28">
        <v>0.46452476572958501</v>
      </c>
      <c r="BL126" s="3">
        <v>0.91996320147194111</v>
      </c>
      <c r="BM126" s="3">
        <v>0.55742971887550197</v>
      </c>
      <c r="BN126" s="3">
        <v>0.60388219544846056</v>
      </c>
    </row>
    <row r="127" spans="1:66" ht="15" customHeight="1" x14ac:dyDescent="0.3">
      <c r="A127" s="2" t="s">
        <v>235</v>
      </c>
      <c r="B127" s="2"/>
      <c r="C127" s="2" t="s">
        <v>236</v>
      </c>
      <c r="D127" s="15">
        <v>50.92</v>
      </c>
      <c r="E127" s="15">
        <v>-91.57</v>
      </c>
      <c r="F127" s="2" t="s">
        <v>101</v>
      </c>
      <c r="G127" s="14" t="s">
        <v>101</v>
      </c>
      <c r="H127" s="2"/>
      <c r="I127" s="2"/>
      <c r="J127" s="16">
        <v>70.821445783132518</v>
      </c>
      <c r="K127" s="16" t="s">
        <v>1048</v>
      </c>
      <c r="L127" s="15" t="s">
        <v>1051</v>
      </c>
      <c r="M127"/>
      <c r="N127"/>
      <c r="O127" s="3"/>
      <c r="P127" s="3"/>
      <c r="Q127" s="2"/>
      <c r="R127" s="2"/>
      <c r="S127" s="3">
        <f>12.6*0.0121</f>
        <v>0.15245999999999998</v>
      </c>
      <c r="T127" s="2" t="s">
        <v>206</v>
      </c>
      <c r="U127" s="16" t="s">
        <v>239</v>
      </c>
      <c r="V127" s="16"/>
      <c r="W127" s="3">
        <v>1.21</v>
      </c>
      <c r="X127" s="2" t="s">
        <v>117</v>
      </c>
      <c r="Y127" s="3" t="s">
        <v>240</v>
      </c>
      <c r="Z127" s="2">
        <v>92</v>
      </c>
      <c r="AA127" s="2" t="s">
        <v>76</v>
      </c>
      <c r="AB127" s="16"/>
      <c r="AC127"/>
      <c r="AD127" s="16"/>
      <c r="AE127"/>
      <c r="AF127"/>
      <c r="AG127" s="16"/>
      <c r="AH127" s="2"/>
      <c r="AI127"/>
      <c r="AJ127"/>
      <c r="AK127" s="17"/>
      <c r="AL127"/>
      <c r="AM127"/>
      <c r="AN127"/>
      <c r="AO127"/>
      <c r="AP127"/>
      <c r="AQ127" s="2"/>
      <c r="AR127"/>
      <c r="AS127" s="17"/>
      <c r="AT127"/>
      <c r="AU127"/>
      <c r="AV127"/>
      <c r="AW127"/>
      <c r="AX127" s="16" t="s">
        <v>1048</v>
      </c>
      <c r="AY127" s="16"/>
      <c r="AZ127"/>
      <c r="BA127"/>
      <c r="BB127"/>
      <c r="BC127"/>
      <c r="BD127"/>
      <c r="BE127"/>
      <c r="BF127"/>
      <c r="BG127" s="2" t="s">
        <v>1048</v>
      </c>
      <c r="BH127" s="16" t="s">
        <v>1048</v>
      </c>
      <c r="BI127" s="16">
        <v>464.524765729585</v>
      </c>
      <c r="BJ127" s="2" t="s">
        <v>1048</v>
      </c>
      <c r="BK127" s="28">
        <v>0.46452476572958501</v>
      </c>
      <c r="BL127" s="3">
        <v>0.86138876542316578</v>
      </c>
      <c r="BM127" s="3" t="s">
        <v>1048</v>
      </c>
      <c r="BN127" s="3">
        <v>0.56207496653279787</v>
      </c>
    </row>
    <row r="128" spans="1:66" ht="15" customHeight="1" x14ac:dyDescent="0.3">
      <c r="A128" s="2" t="s">
        <v>132</v>
      </c>
      <c r="B128" s="2"/>
      <c r="C128" s="2" t="s">
        <v>747</v>
      </c>
      <c r="D128" s="15">
        <v>-32.07</v>
      </c>
      <c r="E128" s="15">
        <v>122.07</v>
      </c>
      <c r="F128" s="2" t="s">
        <v>101</v>
      </c>
      <c r="G128" s="14" t="s">
        <v>101</v>
      </c>
      <c r="H128" s="14"/>
      <c r="I128" s="14"/>
      <c r="J128" s="16">
        <v>69.678714859437747</v>
      </c>
      <c r="K128" s="16" t="s">
        <v>1048</v>
      </c>
      <c r="L128" s="15" t="s">
        <v>1051</v>
      </c>
      <c r="M128"/>
      <c r="N128"/>
      <c r="O128" s="3"/>
      <c r="P128" s="3"/>
      <c r="Q128" s="2" t="s">
        <v>1402</v>
      </c>
      <c r="R128" s="2">
        <v>4</v>
      </c>
      <c r="S128" s="3">
        <f>(9.1*0.01)+(5.9*0.01)</f>
        <v>0.15</v>
      </c>
      <c r="T128" s="2" t="s">
        <v>139</v>
      </c>
      <c r="U128" s="16" t="s">
        <v>748</v>
      </c>
      <c r="V128" s="16" t="s">
        <v>126</v>
      </c>
      <c r="W128" s="3">
        <v>1</v>
      </c>
      <c r="X128" s="2" t="s">
        <v>117</v>
      </c>
      <c r="Y128" s="3" t="s">
        <v>749</v>
      </c>
      <c r="Z128" s="2">
        <v>62</v>
      </c>
      <c r="AA128" s="2" t="s">
        <v>168</v>
      </c>
      <c r="AB128" s="16"/>
      <c r="AC128"/>
      <c r="AD128" s="16"/>
      <c r="AE128"/>
      <c r="AF128"/>
      <c r="AG128" s="16"/>
      <c r="AH128" s="2"/>
      <c r="AI128"/>
      <c r="AJ128"/>
      <c r="AK128" s="17"/>
      <c r="AL128"/>
      <c r="AM128"/>
      <c r="AN128"/>
      <c r="AO128"/>
      <c r="AP128"/>
      <c r="AQ128" s="2"/>
      <c r="AR128"/>
      <c r="AS128" s="17"/>
      <c r="AT128"/>
      <c r="AU128"/>
      <c r="AV128"/>
      <c r="AW128"/>
      <c r="AX128" s="16" t="s">
        <v>1048</v>
      </c>
      <c r="AY128" s="16"/>
      <c r="AZ128"/>
      <c r="BA128"/>
      <c r="BB128"/>
      <c r="BC128"/>
      <c r="BD128"/>
      <c r="BE128"/>
      <c r="BF128"/>
      <c r="BG128" s="2" t="s">
        <v>1048</v>
      </c>
      <c r="BH128" s="16" t="s">
        <v>1048</v>
      </c>
      <c r="BI128" s="16">
        <v>464.524765729585</v>
      </c>
      <c r="BJ128" s="2" t="s">
        <v>1048</v>
      </c>
      <c r="BK128" s="28">
        <v>0.46452476572958501</v>
      </c>
      <c r="BL128" s="3">
        <v>1.0469999999999999</v>
      </c>
      <c r="BM128" s="3" t="s">
        <v>1048</v>
      </c>
      <c r="BN128" s="3">
        <v>0.46452476572958501</v>
      </c>
    </row>
    <row r="129" spans="1:66" ht="15" customHeight="1" x14ac:dyDescent="0.3">
      <c r="A129" s="2" t="s">
        <v>235</v>
      </c>
      <c r="B129" s="2"/>
      <c r="C129" s="2" t="s">
        <v>768</v>
      </c>
      <c r="D129" s="15">
        <v>49.46</v>
      </c>
      <c r="E129" s="15">
        <v>-88.05</v>
      </c>
      <c r="F129" s="2" t="s">
        <v>101</v>
      </c>
      <c r="G129" s="14" t="s">
        <v>101</v>
      </c>
      <c r="H129" s="14"/>
      <c r="I129" s="14"/>
      <c r="J129" s="16">
        <v>66.975645247657297</v>
      </c>
      <c r="K129" s="16" t="s">
        <v>1048</v>
      </c>
      <c r="L129" s="15" t="s">
        <v>1052</v>
      </c>
      <c r="M129" s="2" t="s">
        <v>102</v>
      </c>
      <c r="N129" s="2">
        <v>177</v>
      </c>
      <c r="O129" s="3"/>
      <c r="P129" s="3">
        <v>2.4839376291564905</v>
      </c>
      <c r="Q129" s="2" t="s">
        <v>1404</v>
      </c>
      <c r="R129" s="2">
        <v>4</v>
      </c>
      <c r="S129" s="3">
        <f>(2.31*0.0104)+(4.31*0.0099)+(6.68*0.0116)</f>
        <v>0.144181</v>
      </c>
      <c r="T129" s="2" t="s">
        <v>139</v>
      </c>
      <c r="U129" s="16" t="s">
        <v>770</v>
      </c>
      <c r="V129" s="16" t="s">
        <v>316</v>
      </c>
      <c r="W129" s="3">
        <v>1.06</v>
      </c>
      <c r="X129" s="3" t="s">
        <v>117</v>
      </c>
      <c r="Y129" s="3" t="s">
        <v>772</v>
      </c>
      <c r="Z129" s="2">
        <v>102</v>
      </c>
      <c r="AA129" s="2" t="s">
        <v>771</v>
      </c>
      <c r="AB129" s="16"/>
      <c r="AC129"/>
      <c r="AD129" s="16"/>
      <c r="AE129"/>
      <c r="AF129"/>
      <c r="AG129" s="16"/>
      <c r="AH129" s="2"/>
      <c r="AI129"/>
      <c r="AJ129"/>
      <c r="AK129" s="17">
        <f>463*0.769</f>
        <v>356.04700000000003</v>
      </c>
      <c r="AL129" s="2" t="s">
        <v>477</v>
      </c>
      <c r="AM129" s="2" t="s">
        <v>121</v>
      </c>
      <c r="AN129" s="27">
        <v>0.06</v>
      </c>
      <c r="AO129" s="18" t="s">
        <v>773</v>
      </c>
      <c r="AP129" s="2" t="s">
        <v>1082</v>
      </c>
      <c r="AQ129" s="2">
        <v>102</v>
      </c>
      <c r="AR129" s="2" t="s">
        <v>565</v>
      </c>
      <c r="AS129" s="17">
        <v>353</v>
      </c>
      <c r="AT129" s="2" t="s">
        <v>88</v>
      </c>
      <c r="AU129" s="2" t="s">
        <v>123</v>
      </c>
      <c r="AV129">
        <v>102</v>
      </c>
      <c r="AW129" s="2" t="s">
        <v>774</v>
      </c>
      <c r="AX129" s="16" t="s">
        <v>1048</v>
      </c>
      <c r="AY129" s="16"/>
      <c r="AZ129"/>
      <c r="BA129"/>
      <c r="BB129"/>
      <c r="BC129"/>
      <c r="BD129"/>
      <c r="BE129"/>
      <c r="BF129"/>
      <c r="BG129" s="2" t="s">
        <v>1048</v>
      </c>
      <c r="BH129" s="16" t="s">
        <v>1048</v>
      </c>
      <c r="BI129" s="16">
        <v>464.524765729585</v>
      </c>
      <c r="BJ129" s="2" t="s">
        <v>1048</v>
      </c>
      <c r="BK129" s="28">
        <v>0.46452476572958501</v>
      </c>
      <c r="BL129" s="3">
        <v>1.0469999999999999</v>
      </c>
      <c r="BM129" s="3" t="s">
        <v>1048</v>
      </c>
      <c r="BN129" s="3">
        <v>0.49239625167336015</v>
      </c>
    </row>
    <row r="130" spans="1:66" ht="15" customHeight="1" x14ac:dyDescent="0.3">
      <c r="A130" s="2" t="s">
        <v>689</v>
      </c>
      <c r="B130" s="2"/>
      <c r="C130" s="2" t="s">
        <v>690</v>
      </c>
      <c r="D130" s="15">
        <v>63.391620000000003</v>
      </c>
      <c r="E130" s="15">
        <v>23.502559999999999</v>
      </c>
      <c r="F130" s="2" t="s">
        <v>101</v>
      </c>
      <c r="G130" s="14" t="s">
        <v>101</v>
      </c>
      <c r="H130" s="14"/>
      <c r="I130" s="14"/>
      <c r="J130" s="16">
        <v>65.811640498105035</v>
      </c>
      <c r="K130" s="16">
        <v>36.372062804547916</v>
      </c>
      <c r="L130" s="2" t="s">
        <v>73</v>
      </c>
      <c r="M130" s="2" t="s">
        <v>73</v>
      </c>
      <c r="N130" s="2">
        <v>4</v>
      </c>
      <c r="O130" s="3">
        <v>1.2399023107270335</v>
      </c>
      <c r="P130" s="3">
        <v>2.479804621454067</v>
      </c>
      <c r="Q130" s="2" t="s">
        <v>1403</v>
      </c>
      <c r="R130" s="2">
        <v>4</v>
      </c>
      <c r="S130" s="16">
        <f>156.7+193.6</f>
        <v>350.29999999999995</v>
      </c>
      <c r="T130" s="2" t="s">
        <v>249</v>
      </c>
      <c r="U130" s="16" t="s">
        <v>696</v>
      </c>
      <c r="V130" s="16" t="s">
        <v>316</v>
      </c>
      <c r="W130" s="3">
        <v>0.4</v>
      </c>
      <c r="X130" s="3" t="s">
        <v>692</v>
      </c>
      <c r="Y130" s="3" t="s">
        <v>697</v>
      </c>
      <c r="Z130" s="2">
        <v>101</v>
      </c>
      <c r="AA130" s="2" t="s">
        <v>1050</v>
      </c>
      <c r="AB130" s="16">
        <v>193.6</v>
      </c>
      <c r="AC130" s="2" t="s">
        <v>249</v>
      </c>
      <c r="AD130" s="16" t="s">
        <v>694</v>
      </c>
      <c r="AE130" s="2">
        <v>0.4</v>
      </c>
      <c r="AF130" s="2" t="s">
        <v>692</v>
      </c>
      <c r="AG130" s="16" t="s">
        <v>695</v>
      </c>
      <c r="AH130" s="2">
        <v>0.4</v>
      </c>
      <c r="AI130">
        <v>101</v>
      </c>
      <c r="AJ130" s="2" t="s">
        <v>693</v>
      </c>
      <c r="AK130" s="17">
        <f>(6004.16-2473)*0.055/0.356</f>
        <v>545.54438202247195</v>
      </c>
      <c r="AL130" s="2" t="s">
        <v>699</v>
      </c>
      <c r="AM130" s="2" t="s">
        <v>121</v>
      </c>
      <c r="AN130" s="27">
        <v>5.5E-2</v>
      </c>
      <c r="AO130" s="3" t="s">
        <v>700</v>
      </c>
      <c r="AP130" s="2" t="s">
        <v>701</v>
      </c>
      <c r="AQ130" s="2">
        <v>101</v>
      </c>
      <c r="AR130" s="3" t="s">
        <v>698</v>
      </c>
      <c r="AS130" s="17">
        <v>582.5</v>
      </c>
      <c r="AT130" s="2" t="s">
        <v>88</v>
      </c>
      <c r="AU130" s="2" t="s">
        <v>703</v>
      </c>
      <c r="AV130">
        <v>101</v>
      </c>
      <c r="AW130" s="2" t="s">
        <v>702</v>
      </c>
      <c r="AX130" s="16">
        <v>2.4821173104434915</v>
      </c>
      <c r="AY130" s="16">
        <v>15000</v>
      </c>
      <c r="AZ130" s="2" t="s">
        <v>532</v>
      </c>
      <c r="BA130"/>
      <c r="BB130"/>
      <c r="BC130" s="2">
        <v>16</v>
      </c>
      <c r="BD130">
        <v>101</v>
      </c>
      <c r="BE130" s="2" t="s">
        <v>691</v>
      </c>
      <c r="BF130"/>
      <c r="BG130" s="16">
        <v>1.6547448736289942E-4</v>
      </c>
      <c r="BH130" s="16">
        <v>0.18787222523010288</v>
      </c>
      <c r="BI130" s="21">
        <v>0.18787222523010288</v>
      </c>
      <c r="BJ130" s="2">
        <v>1</v>
      </c>
      <c r="BK130" s="2">
        <v>1</v>
      </c>
      <c r="BL130" s="3">
        <v>0.91996320147194111</v>
      </c>
      <c r="BM130" s="3">
        <v>0.4</v>
      </c>
      <c r="BN130" s="3">
        <v>0.4</v>
      </c>
    </row>
    <row r="131" spans="1:66" ht="15" customHeight="1" x14ac:dyDescent="0.3">
      <c r="A131" s="2" t="s">
        <v>132</v>
      </c>
      <c r="B131" s="2"/>
      <c r="C131" s="2" t="s">
        <v>759</v>
      </c>
      <c r="D131" s="15">
        <v>-31.77</v>
      </c>
      <c r="E131" s="15">
        <v>121.61</v>
      </c>
      <c r="F131" s="2" t="s">
        <v>101</v>
      </c>
      <c r="G131" s="14" t="s">
        <v>101</v>
      </c>
      <c r="H131" s="14"/>
      <c r="I131" s="14"/>
      <c r="J131" s="16">
        <v>63.175368139223558</v>
      </c>
      <c r="K131" s="16" t="s">
        <v>1048</v>
      </c>
      <c r="L131" s="15" t="s">
        <v>1051</v>
      </c>
      <c r="M131"/>
      <c r="N131"/>
      <c r="O131" s="3"/>
      <c r="P131" s="3">
        <v>5.1234266391132817</v>
      </c>
      <c r="Q131" s="2" t="s">
        <v>1404</v>
      </c>
      <c r="R131" s="2">
        <v>4</v>
      </c>
      <c r="S131" s="16">
        <v>136000</v>
      </c>
      <c r="T131" s="2" t="s">
        <v>177</v>
      </c>
      <c r="U131" s="16" t="s">
        <v>761</v>
      </c>
      <c r="V131" s="16" t="s">
        <v>762</v>
      </c>
      <c r="W131" s="3">
        <v>1.21</v>
      </c>
      <c r="X131" s="2" t="s">
        <v>117</v>
      </c>
      <c r="Y131" s="3" t="s">
        <v>763</v>
      </c>
      <c r="Z131" s="2">
        <v>65</v>
      </c>
      <c r="AA131" s="2" t="s">
        <v>28</v>
      </c>
      <c r="AB131" s="16"/>
      <c r="AC131"/>
      <c r="AD131" s="16"/>
      <c r="AE131"/>
      <c r="AF131"/>
      <c r="AG131" s="16"/>
      <c r="AH131" s="2"/>
      <c r="AI131"/>
      <c r="AJ131"/>
      <c r="AK131" s="17"/>
      <c r="AL131"/>
      <c r="AM131"/>
      <c r="AN131"/>
      <c r="AO131"/>
      <c r="AP131"/>
      <c r="AQ131" s="2"/>
      <c r="AR131"/>
      <c r="AS131" s="17"/>
      <c r="AT131"/>
      <c r="AU131"/>
      <c r="AV131"/>
      <c r="AW131"/>
      <c r="AX131" s="16" t="s">
        <v>1048</v>
      </c>
      <c r="AY131" s="16"/>
      <c r="AZ131"/>
      <c r="BA131"/>
      <c r="BB131"/>
      <c r="BC131"/>
      <c r="BD131"/>
      <c r="BE131"/>
      <c r="BF131"/>
      <c r="BG131" s="2" t="s">
        <v>1048</v>
      </c>
      <c r="BH131" s="16" t="s">
        <v>1048</v>
      </c>
      <c r="BI131" s="16">
        <v>4.64524765729585E-4</v>
      </c>
      <c r="BJ131" s="2" t="s">
        <v>1048</v>
      </c>
      <c r="BK131" s="28">
        <v>0.46452476572958501</v>
      </c>
      <c r="BL131" s="3">
        <v>1.0469999999999999</v>
      </c>
      <c r="BM131" s="3" t="s">
        <v>1048</v>
      </c>
      <c r="BN131" s="3">
        <v>0.56207496653279787</v>
      </c>
    </row>
    <row r="132" spans="1:66" ht="15" customHeight="1" x14ac:dyDescent="0.3">
      <c r="A132" s="2" t="s">
        <v>69</v>
      </c>
      <c r="B132" s="2" t="s">
        <v>775</v>
      </c>
      <c r="C132" s="2" t="s">
        <v>776</v>
      </c>
      <c r="D132" s="15">
        <v>34.680949200000001</v>
      </c>
      <c r="E132" s="15">
        <v>-113.557467</v>
      </c>
      <c r="F132" s="2" t="s">
        <v>72</v>
      </c>
      <c r="G132" s="14" t="s">
        <v>72</v>
      </c>
      <c r="H132" s="14"/>
      <c r="I132" s="14"/>
      <c r="J132" s="16">
        <v>60.300000000000004</v>
      </c>
      <c r="K132" s="16" t="s">
        <v>1048</v>
      </c>
      <c r="L132" s="15" t="s">
        <v>1051</v>
      </c>
      <c r="M132"/>
      <c r="N132"/>
      <c r="O132" s="3"/>
      <c r="P132" s="3"/>
      <c r="Q132" s="2" t="s">
        <v>1402</v>
      </c>
      <c r="R132" s="2">
        <v>4</v>
      </c>
      <c r="S132" s="16">
        <f>28400+31900</f>
        <v>60300</v>
      </c>
      <c r="T132" s="2" t="s">
        <v>395</v>
      </c>
      <c r="U132" s="16" t="s">
        <v>777</v>
      </c>
      <c r="V132" s="16" t="s">
        <v>778</v>
      </c>
      <c r="W132" s="3">
        <v>1850</v>
      </c>
      <c r="X132" s="3" t="s">
        <v>78</v>
      </c>
      <c r="Y132" s="3" t="s">
        <v>779</v>
      </c>
      <c r="Z132" s="2">
        <v>67</v>
      </c>
      <c r="AA132" s="2" t="s">
        <v>15</v>
      </c>
      <c r="AB132" s="16"/>
      <c r="AC132"/>
      <c r="AD132" s="16"/>
      <c r="AE132"/>
      <c r="AF132"/>
      <c r="AG132" s="16"/>
      <c r="AH132" s="2"/>
      <c r="AI132"/>
      <c r="AJ132"/>
      <c r="AK132" s="17"/>
      <c r="AL132"/>
      <c r="AM132"/>
      <c r="AN132"/>
      <c r="AO132"/>
      <c r="AP132"/>
      <c r="AQ132" s="2"/>
      <c r="AR132"/>
      <c r="AS132" s="17"/>
      <c r="AT132"/>
      <c r="AU132"/>
      <c r="AV132"/>
      <c r="AW132"/>
      <c r="AX132" s="16" t="s">
        <v>1048</v>
      </c>
      <c r="AY132" s="16"/>
      <c r="AZ132"/>
      <c r="BA132"/>
      <c r="BB132"/>
      <c r="BC132" s="2">
        <v>20</v>
      </c>
      <c r="BD132"/>
      <c r="BE132"/>
      <c r="BF132"/>
      <c r="BG132" s="2" t="s">
        <v>1048</v>
      </c>
      <c r="BH132" s="16" t="s">
        <v>1048</v>
      </c>
      <c r="BI132" s="16">
        <v>1E-3</v>
      </c>
      <c r="BJ132" s="2" t="s">
        <v>1048</v>
      </c>
      <c r="BK132" s="2">
        <v>1E-4</v>
      </c>
      <c r="BL132" s="3">
        <v>1</v>
      </c>
      <c r="BM132" s="3" t="s">
        <v>1048</v>
      </c>
      <c r="BN132" s="3">
        <v>0.185</v>
      </c>
    </row>
    <row r="133" spans="1:66" ht="15" customHeight="1" x14ac:dyDescent="0.3">
      <c r="A133" s="2" t="s">
        <v>17</v>
      </c>
      <c r="B133" s="2"/>
      <c r="C133" s="2" t="s">
        <v>940</v>
      </c>
      <c r="D133" s="14">
        <v>-18.21</v>
      </c>
      <c r="E133" s="39">
        <v>-69.34</v>
      </c>
      <c r="F133" s="2" t="s">
        <v>13</v>
      </c>
      <c r="G133" s="14" t="s">
        <v>13</v>
      </c>
      <c r="H133" s="2"/>
      <c r="I133" s="2"/>
      <c r="J133" s="16">
        <v>60.29946940985382</v>
      </c>
      <c r="K133" s="16" t="s">
        <v>1048</v>
      </c>
      <c r="L133" s="15" t="s">
        <v>1051</v>
      </c>
      <c r="M133"/>
      <c r="N133"/>
      <c r="O133" s="3"/>
      <c r="P133" s="3"/>
      <c r="Q133" s="2"/>
      <c r="R133" s="2"/>
      <c r="S133" s="16">
        <v>320960</v>
      </c>
      <c r="T133" s="2" t="s">
        <v>725</v>
      </c>
      <c r="U133" s="16" t="s">
        <v>941</v>
      </c>
      <c r="V133" s="16"/>
      <c r="W133" s="3">
        <v>73</v>
      </c>
      <c r="X133" s="17" t="s">
        <v>78</v>
      </c>
      <c r="Y133" s="16" t="s">
        <v>942</v>
      </c>
      <c r="Z133" s="2">
        <v>89</v>
      </c>
      <c r="AA133" s="2" t="s">
        <v>110</v>
      </c>
      <c r="AB133" s="16"/>
      <c r="AC133"/>
      <c r="AD133" s="16"/>
      <c r="AE133"/>
      <c r="AF133"/>
      <c r="AG133" s="16"/>
      <c r="AH133" s="16"/>
      <c r="AI133"/>
      <c r="AJ133"/>
      <c r="AK133" s="17"/>
      <c r="AL133"/>
      <c r="AM133"/>
      <c r="AN133"/>
      <c r="AO133"/>
      <c r="AP133"/>
      <c r="AQ133" s="2"/>
      <c r="AR133"/>
      <c r="AS133" s="17"/>
      <c r="AT133"/>
      <c r="AU133"/>
      <c r="AV133"/>
      <c r="AW133"/>
      <c r="AX133" s="16" t="s">
        <v>1048</v>
      </c>
      <c r="AY133" s="16"/>
      <c r="AZ133"/>
      <c r="BA133"/>
      <c r="BB133"/>
      <c r="BC133"/>
      <c r="BD133"/>
      <c r="BE133"/>
      <c r="BF133"/>
      <c r="BG133" s="2" t="s">
        <v>1048</v>
      </c>
      <c r="BH133" s="16" t="s">
        <v>1048</v>
      </c>
      <c r="BI133" s="16">
        <v>1.8787222523010289E-4</v>
      </c>
      <c r="BJ133" s="2" t="s">
        <v>1048</v>
      </c>
      <c r="BK133" s="2">
        <v>1E-4</v>
      </c>
      <c r="BL133" s="3" t="s">
        <v>1048</v>
      </c>
      <c r="BM133" s="3" t="s">
        <v>1048</v>
      </c>
      <c r="BN133" s="3">
        <v>7.3000000000000001E-3</v>
      </c>
    </row>
    <row r="134" spans="1:66" ht="15" customHeight="1" x14ac:dyDescent="0.3">
      <c r="A134" s="2" t="s">
        <v>857</v>
      </c>
      <c r="B134" s="2"/>
      <c r="C134" s="2" t="s">
        <v>858</v>
      </c>
      <c r="D134" s="14">
        <v>50.38</v>
      </c>
      <c r="E134" s="14">
        <v>-4.87</v>
      </c>
      <c r="F134" s="2" t="s">
        <v>101</v>
      </c>
      <c r="G134" s="14" t="s">
        <v>101</v>
      </c>
      <c r="H134" s="2"/>
      <c r="I134" s="2"/>
      <c r="J134" s="16">
        <v>57.638232931726904</v>
      </c>
      <c r="K134" s="16" t="s">
        <v>1048</v>
      </c>
      <c r="L134" s="15" t="s">
        <v>1051</v>
      </c>
      <c r="M134"/>
      <c r="N134"/>
      <c r="O134" s="3"/>
      <c r="P134" s="3">
        <v>1.2399023107270335</v>
      </c>
      <c r="Q134" s="2" t="s">
        <v>1404</v>
      </c>
      <c r="R134" s="2">
        <v>4</v>
      </c>
      <c r="S134" s="3">
        <f>51.7*0.0024</f>
        <v>0.12408</v>
      </c>
      <c r="T134" s="2" t="s">
        <v>827</v>
      </c>
      <c r="U134" s="3" t="s">
        <v>860</v>
      </c>
      <c r="V134" s="16" t="s">
        <v>401</v>
      </c>
      <c r="W134" s="3">
        <v>0.24</v>
      </c>
      <c r="X134" s="2" t="s">
        <v>117</v>
      </c>
      <c r="Y134" s="3" t="s">
        <v>861</v>
      </c>
      <c r="Z134" s="2">
        <v>84</v>
      </c>
      <c r="AA134" s="2" t="s">
        <v>15</v>
      </c>
      <c r="AB134" s="16"/>
      <c r="AC134"/>
      <c r="AD134" s="16"/>
      <c r="AE134"/>
      <c r="AF134"/>
      <c r="AG134" s="16"/>
      <c r="AH134" s="3"/>
      <c r="AI134"/>
      <c r="AJ134"/>
      <c r="AK134" s="17"/>
      <c r="AL134"/>
      <c r="AM134"/>
      <c r="AN134"/>
      <c r="AO134"/>
      <c r="AP134"/>
      <c r="AQ134" s="2"/>
      <c r="AR134"/>
      <c r="AS134" s="17">
        <v>243.8</v>
      </c>
      <c r="AT134" s="2" t="s">
        <v>88</v>
      </c>
      <c r="AU134" s="2" t="s">
        <v>589</v>
      </c>
      <c r="AV134">
        <v>84</v>
      </c>
      <c r="AW134" s="2" t="s">
        <v>15</v>
      </c>
      <c r="AX134" s="16">
        <v>1.2907010014306155</v>
      </c>
      <c r="AY134" s="16">
        <v>7800</v>
      </c>
      <c r="AZ134" s="2" t="s">
        <v>532</v>
      </c>
      <c r="BA134"/>
      <c r="BB134"/>
      <c r="BC134" s="2">
        <v>20</v>
      </c>
      <c r="BD134">
        <v>84</v>
      </c>
      <c r="BE134" s="2" t="s">
        <v>15</v>
      </c>
      <c r="BF134"/>
      <c r="BG134" s="16">
        <v>1.6547448736289942E-4</v>
      </c>
      <c r="BH134" s="16" t="s">
        <v>1048</v>
      </c>
      <c r="BI134" s="16">
        <v>464.524765729585</v>
      </c>
      <c r="BJ134" s="2" t="s">
        <v>1048</v>
      </c>
      <c r="BK134" s="28">
        <v>0.46452476572958501</v>
      </c>
      <c r="BL134" s="3">
        <v>1</v>
      </c>
      <c r="BM134" s="3" t="s">
        <v>1048</v>
      </c>
      <c r="BN134" s="3">
        <v>0.1114859437751004</v>
      </c>
    </row>
    <row r="135" spans="1:66" ht="15" customHeight="1" x14ac:dyDescent="0.3">
      <c r="A135" s="2" t="s">
        <v>128</v>
      </c>
      <c r="B135" s="2"/>
      <c r="C135" s="2" t="s">
        <v>720</v>
      </c>
      <c r="D135" s="15">
        <v>31.14</v>
      </c>
      <c r="E135" s="15">
        <v>105.11</v>
      </c>
      <c r="F135" s="2" t="s">
        <v>101</v>
      </c>
      <c r="G135" s="14" t="s">
        <v>101</v>
      </c>
      <c r="H135" s="14"/>
      <c r="I135" s="14"/>
      <c r="J135" s="16">
        <v>53.038372000000003</v>
      </c>
      <c r="K135" s="16" t="s">
        <v>1048</v>
      </c>
      <c r="L135" s="15" t="s">
        <v>1051</v>
      </c>
      <c r="M135"/>
      <c r="N135"/>
      <c r="O135" s="3"/>
      <c r="P135" s="3">
        <v>5.0174713507420616</v>
      </c>
      <c r="Q135" s="2" t="s">
        <v>1401</v>
      </c>
      <c r="R135" s="2">
        <v>4</v>
      </c>
      <c r="S135" s="16">
        <f>+J135/1000</f>
        <v>5.3038372E-2</v>
      </c>
      <c r="T135" t="s">
        <v>1452</v>
      </c>
      <c r="U135" s="16"/>
      <c r="V135" s="16"/>
      <c r="W135" s="3"/>
      <c r="X135" s="3"/>
      <c r="Y135" s="3"/>
      <c r="Z135" s="2">
        <v>2</v>
      </c>
      <c r="AA135"/>
      <c r="AB135" s="16"/>
      <c r="AC135"/>
      <c r="AD135" s="16"/>
      <c r="AE135"/>
      <c r="AF135"/>
      <c r="AG135" s="16"/>
      <c r="AH135" s="2"/>
      <c r="AI135"/>
      <c r="AJ135"/>
      <c r="AK135" s="17"/>
      <c r="AL135"/>
      <c r="AM135"/>
      <c r="AN135"/>
      <c r="AO135"/>
      <c r="AP135"/>
      <c r="AQ135" s="2"/>
      <c r="AR135"/>
      <c r="AS135" s="17"/>
      <c r="AT135"/>
      <c r="AU135"/>
      <c r="AV135"/>
      <c r="AW135"/>
      <c r="AX135" s="16" t="s">
        <v>1048</v>
      </c>
      <c r="AY135" s="16"/>
      <c r="AZ135"/>
      <c r="BA135"/>
      <c r="BB135"/>
      <c r="BC135"/>
      <c r="BD135"/>
      <c r="BE135"/>
      <c r="BF135"/>
      <c r="BG135" s="2" t="s">
        <v>1048</v>
      </c>
      <c r="BH135" s="16" t="s">
        <v>1048</v>
      </c>
      <c r="BI135" s="2">
        <v>1</v>
      </c>
      <c r="BJ135" s="2" t="s">
        <v>1048</v>
      </c>
      <c r="BK135" s="2" t="s">
        <v>1048</v>
      </c>
      <c r="BL135" s="3" t="s">
        <v>1048</v>
      </c>
      <c r="BM135" s="3" t="s">
        <v>1048</v>
      </c>
      <c r="BN135" s="3" t="s">
        <v>1048</v>
      </c>
    </row>
    <row r="136" spans="1:66" ht="15" customHeight="1" x14ac:dyDescent="0.3">
      <c r="A136" s="2" t="s">
        <v>235</v>
      </c>
      <c r="B136" s="2"/>
      <c r="C136" s="2" t="s">
        <v>743</v>
      </c>
      <c r="D136" s="15">
        <v>54.85</v>
      </c>
      <c r="E136" s="15">
        <v>-99.72</v>
      </c>
      <c r="F136" s="2" t="s">
        <v>101</v>
      </c>
      <c r="G136" s="14" t="s">
        <v>101</v>
      </c>
      <c r="H136" s="14"/>
      <c r="I136" s="14"/>
      <c r="J136" s="16">
        <v>51.309547523427042</v>
      </c>
      <c r="K136" s="16" t="s">
        <v>1048</v>
      </c>
      <c r="L136" s="15" t="s">
        <v>1051</v>
      </c>
      <c r="M136"/>
      <c r="N136"/>
      <c r="O136" s="3"/>
      <c r="P136" s="3"/>
      <c r="Q136" s="2"/>
      <c r="R136" s="2"/>
      <c r="S136" s="16">
        <f>91190+19266</f>
        <v>110456</v>
      </c>
      <c r="T136" s="2" t="s">
        <v>177</v>
      </c>
      <c r="U136" s="16" t="s">
        <v>745</v>
      </c>
      <c r="V136" s="16" t="s">
        <v>126</v>
      </c>
      <c r="W136" s="3">
        <f>(9.082*1+1.968*0.98)/(9.082+1.968)</f>
        <v>0.99643800904977375</v>
      </c>
      <c r="X136" s="2" t="s">
        <v>117</v>
      </c>
      <c r="Y136" s="3" t="s">
        <v>746</v>
      </c>
      <c r="Z136" s="2">
        <v>61</v>
      </c>
      <c r="AA136" s="2" t="s">
        <v>168</v>
      </c>
      <c r="AB136" s="16"/>
      <c r="AC136"/>
      <c r="AD136" s="16"/>
      <c r="AE136"/>
      <c r="AF136"/>
      <c r="AG136" s="16"/>
      <c r="AH136" s="2"/>
      <c r="AI136"/>
      <c r="AJ136"/>
      <c r="AK136" s="17"/>
      <c r="AL136"/>
      <c r="AM136"/>
      <c r="AN136"/>
      <c r="AO136"/>
      <c r="AP136"/>
      <c r="AQ136" s="2"/>
      <c r="AR136"/>
      <c r="AS136" s="17"/>
      <c r="AT136"/>
      <c r="AU136"/>
      <c r="AV136"/>
      <c r="AW136"/>
      <c r="AX136" s="16" t="s">
        <v>1048</v>
      </c>
      <c r="AY136" s="16"/>
      <c r="AZ136"/>
      <c r="BA136"/>
      <c r="BB136"/>
      <c r="BC136"/>
      <c r="BD136"/>
      <c r="BE136"/>
      <c r="BF136"/>
      <c r="BG136" s="2" t="s">
        <v>1048</v>
      </c>
      <c r="BH136" s="16" t="s">
        <v>1048</v>
      </c>
      <c r="BI136" s="16">
        <v>4.64524765729585E-4</v>
      </c>
      <c r="BJ136" s="2" t="s">
        <v>1048</v>
      </c>
      <c r="BK136" s="28">
        <v>0.46452476572958501</v>
      </c>
      <c r="BL136" s="3">
        <v>1.0469999999999999</v>
      </c>
      <c r="BM136" s="3" t="s">
        <v>1048</v>
      </c>
      <c r="BN136" s="3">
        <v>0.46287013271790028</v>
      </c>
    </row>
    <row r="137" spans="1:66" ht="15" customHeight="1" x14ac:dyDescent="0.3">
      <c r="A137" s="2" t="s">
        <v>498</v>
      </c>
      <c r="B137" s="2"/>
      <c r="C137" s="2" t="s">
        <v>721</v>
      </c>
      <c r="D137" s="15">
        <v>51.057000000000002</v>
      </c>
      <c r="E137" s="15">
        <v>114.834</v>
      </c>
      <c r="F137" s="2" t="s">
        <v>101</v>
      </c>
      <c r="G137" s="14" t="s">
        <v>101</v>
      </c>
      <c r="H137" s="14"/>
      <c r="I137" s="14"/>
      <c r="J137" s="16">
        <v>50.036200000000008</v>
      </c>
      <c r="K137" s="16" t="s">
        <v>1048</v>
      </c>
      <c r="L137" s="15" t="s">
        <v>1051</v>
      </c>
      <c r="M137"/>
      <c r="N137"/>
      <c r="O137" s="3"/>
      <c r="P137" s="3"/>
      <c r="Q137" s="2"/>
      <c r="R137" s="2"/>
      <c r="S137" s="16">
        <f>+J137/1000</f>
        <v>5.003620000000001E-2</v>
      </c>
      <c r="T137" t="s">
        <v>1452</v>
      </c>
      <c r="U137" s="16"/>
      <c r="V137" s="16"/>
      <c r="W137" s="3"/>
      <c r="X137" s="3"/>
      <c r="Y137" s="3"/>
      <c r="Z137" s="2">
        <v>2</v>
      </c>
      <c r="AA137"/>
      <c r="AB137" s="16"/>
      <c r="AC137"/>
      <c r="AD137" s="16"/>
      <c r="AE137"/>
      <c r="AF137"/>
      <c r="AG137" s="16"/>
      <c r="AH137" s="2"/>
      <c r="AI137"/>
      <c r="AJ137"/>
      <c r="AK137" s="17"/>
      <c r="AL137"/>
      <c r="AM137"/>
      <c r="AN137"/>
      <c r="AO137"/>
      <c r="AP137"/>
      <c r="AQ137" s="2"/>
      <c r="AR137"/>
      <c r="AS137" s="17"/>
      <c r="AT137"/>
      <c r="AU137"/>
      <c r="AV137"/>
      <c r="AW137"/>
      <c r="AX137" s="16" t="s">
        <v>1048</v>
      </c>
      <c r="AY137" s="16"/>
      <c r="AZ137"/>
      <c r="BA137"/>
      <c r="BB137"/>
      <c r="BC137"/>
      <c r="BD137"/>
      <c r="BE137"/>
      <c r="BF137"/>
      <c r="BG137" s="2" t="s">
        <v>1048</v>
      </c>
      <c r="BH137" s="16" t="s">
        <v>1048</v>
      </c>
      <c r="BI137" s="2">
        <v>1</v>
      </c>
      <c r="BJ137" s="2" t="s">
        <v>1048</v>
      </c>
      <c r="BK137" s="2" t="s">
        <v>1048</v>
      </c>
      <c r="BL137" s="3" t="s">
        <v>1048</v>
      </c>
      <c r="BM137" s="3" t="s">
        <v>1048</v>
      </c>
      <c r="BN137" s="3" t="s">
        <v>1048</v>
      </c>
    </row>
    <row r="138" spans="1:66" ht="15" customHeight="1" x14ac:dyDescent="0.3">
      <c r="A138" s="2" t="s">
        <v>676</v>
      </c>
      <c r="B138" s="2"/>
      <c r="C138" s="2" t="s">
        <v>849</v>
      </c>
      <c r="D138" s="15">
        <v>41.730333000000002</v>
      </c>
      <c r="E138" s="15">
        <v>-7.7264520000000001</v>
      </c>
      <c r="F138" s="2" t="s">
        <v>101</v>
      </c>
      <c r="G138" s="14" t="s">
        <v>101</v>
      </c>
      <c r="H138" s="2"/>
      <c r="I138" s="2"/>
      <c r="J138" s="16">
        <v>47.846050870147259</v>
      </c>
      <c r="K138" s="16" t="s">
        <v>1048</v>
      </c>
      <c r="L138" s="15" t="s">
        <v>1051</v>
      </c>
      <c r="M138"/>
      <c r="N138"/>
      <c r="O138" s="3"/>
      <c r="P138" s="3"/>
      <c r="Q138" s="2"/>
      <c r="R138" s="2"/>
      <c r="S138" s="3">
        <f>10.3*0.01</f>
        <v>0.10300000000000001</v>
      </c>
      <c r="T138" s="2" t="s">
        <v>139</v>
      </c>
      <c r="U138" s="16" t="s">
        <v>850</v>
      </c>
      <c r="V138" s="16" t="s">
        <v>401</v>
      </c>
      <c r="W138" s="3">
        <v>1</v>
      </c>
      <c r="X138" s="3" t="s">
        <v>117</v>
      </c>
      <c r="Y138" s="3" t="s">
        <v>851</v>
      </c>
      <c r="Z138" s="2">
        <v>110</v>
      </c>
      <c r="AA138" s="2" t="s">
        <v>15</v>
      </c>
      <c r="AB138" s="16"/>
      <c r="AC138"/>
      <c r="AD138" s="16"/>
      <c r="AE138"/>
      <c r="AF138"/>
      <c r="AG138" s="16"/>
      <c r="AH138" s="16"/>
      <c r="AI138"/>
      <c r="AJ138"/>
      <c r="AK138" s="17"/>
      <c r="AL138"/>
      <c r="AM138"/>
      <c r="AN138"/>
      <c r="AO138"/>
      <c r="AP138"/>
      <c r="AQ138" s="2"/>
      <c r="AR138"/>
      <c r="AS138" s="17"/>
      <c r="AT138"/>
      <c r="AU138"/>
      <c r="AV138"/>
      <c r="AW138"/>
      <c r="AX138" s="16" t="s">
        <v>1048</v>
      </c>
      <c r="AY138" s="16"/>
      <c r="AZ138"/>
      <c r="BA138"/>
      <c r="BB138"/>
      <c r="BC138"/>
      <c r="BD138"/>
      <c r="BE138"/>
      <c r="BF138"/>
      <c r="BG138" s="2" t="s">
        <v>1048</v>
      </c>
      <c r="BH138" s="16" t="s">
        <v>1048</v>
      </c>
      <c r="BI138" s="16">
        <v>464.524765729585</v>
      </c>
      <c r="BJ138" s="2" t="s">
        <v>1048</v>
      </c>
      <c r="BK138" s="28">
        <v>0.46452476572958501</v>
      </c>
      <c r="BL138" s="3">
        <v>1.19681439926832</v>
      </c>
      <c r="BM138" s="3" t="s">
        <v>1048</v>
      </c>
      <c r="BN138" s="3">
        <v>0.46452476572958501</v>
      </c>
    </row>
    <row r="139" spans="1:66" ht="15" customHeight="1" x14ac:dyDescent="0.3">
      <c r="A139" s="2" t="s">
        <v>235</v>
      </c>
      <c r="B139" s="2"/>
      <c r="C139" s="2" t="s">
        <v>764</v>
      </c>
      <c r="D139" s="15">
        <v>50.41</v>
      </c>
      <c r="E139" s="15">
        <v>-88.45</v>
      </c>
      <c r="F139" s="2" t="s">
        <v>101</v>
      </c>
      <c r="G139" s="14" t="s">
        <v>101</v>
      </c>
      <c r="H139" s="14"/>
      <c r="I139" s="14"/>
      <c r="J139" s="16">
        <v>46.907710843373494</v>
      </c>
      <c r="K139" s="16" t="s">
        <v>1048</v>
      </c>
      <c r="L139" s="15" t="s">
        <v>1052</v>
      </c>
      <c r="M139" s="2" t="s">
        <v>102</v>
      </c>
      <c r="N139" s="2">
        <v>178</v>
      </c>
      <c r="O139" s="3"/>
      <c r="P139" s="3"/>
      <c r="Q139" s="2" t="s">
        <v>1402</v>
      </c>
      <c r="R139" s="2">
        <v>4</v>
      </c>
      <c r="S139" s="3">
        <f>(5.2*0.0129)+(2.6*0.009)+(2.1*0.005)</f>
        <v>0.10098</v>
      </c>
      <c r="T139" s="2" t="s">
        <v>139</v>
      </c>
      <c r="U139" s="16" t="s">
        <v>766</v>
      </c>
      <c r="V139" s="16" t="s">
        <v>762</v>
      </c>
      <c r="W139" s="3">
        <v>1.04</v>
      </c>
      <c r="X139" s="2" t="s">
        <v>117</v>
      </c>
      <c r="Y139" s="3" t="s">
        <v>767</v>
      </c>
      <c r="Z139" s="2">
        <v>66</v>
      </c>
      <c r="AA139" s="2" t="s">
        <v>15</v>
      </c>
      <c r="AB139" s="16"/>
      <c r="AC139"/>
      <c r="AD139" s="16"/>
      <c r="AE139"/>
      <c r="AF139"/>
      <c r="AG139" s="16"/>
      <c r="AH139" s="2"/>
      <c r="AI139"/>
      <c r="AJ139"/>
      <c r="AK139" s="17"/>
      <c r="AL139"/>
      <c r="AM139"/>
      <c r="AN139"/>
      <c r="AO139"/>
      <c r="AP139"/>
      <c r="AQ139" s="2"/>
      <c r="AR139"/>
      <c r="AS139" s="17"/>
      <c r="AT139"/>
      <c r="AU139"/>
      <c r="AV139"/>
      <c r="AW139"/>
      <c r="AX139" s="16" t="s">
        <v>1048</v>
      </c>
      <c r="AY139" s="16"/>
      <c r="AZ139"/>
      <c r="BA139"/>
      <c r="BB139"/>
      <c r="BC139"/>
      <c r="BD139"/>
      <c r="BE139"/>
      <c r="BF139"/>
      <c r="BG139" s="2" t="s">
        <v>1048</v>
      </c>
      <c r="BH139" s="16" t="s">
        <v>1048</v>
      </c>
      <c r="BI139" s="16">
        <v>464.524765729585</v>
      </c>
      <c r="BJ139" s="2" t="s">
        <v>1048</v>
      </c>
      <c r="BK139" s="28">
        <v>0.46452476572958501</v>
      </c>
      <c r="BL139" s="3">
        <v>1</v>
      </c>
      <c r="BM139" s="3" t="s">
        <v>1048</v>
      </c>
      <c r="BN139" s="3">
        <v>0.4831057563587684</v>
      </c>
    </row>
    <row r="140" spans="1:66" ht="15" customHeight="1" x14ac:dyDescent="0.3">
      <c r="A140" s="2" t="s">
        <v>128</v>
      </c>
      <c r="B140" s="30"/>
      <c r="C140" s="30" t="s">
        <v>1039</v>
      </c>
      <c r="D140" s="14">
        <v>28.36</v>
      </c>
      <c r="E140" s="14">
        <v>114.59</v>
      </c>
      <c r="F140" s="2" t="s">
        <v>101</v>
      </c>
      <c r="G140" s="14" t="s">
        <v>101</v>
      </c>
      <c r="H140" s="14"/>
      <c r="I140" s="14"/>
      <c r="J140" s="16">
        <v>46.616453815261046</v>
      </c>
      <c r="K140" s="16" t="s">
        <v>1048</v>
      </c>
      <c r="L140" s="15" t="s">
        <v>14</v>
      </c>
      <c r="M140" s="2" t="s">
        <v>14</v>
      </c>
      <c r="N140" s="2">
        <v>5</v>
      </c>
      <c r="O140"/>
      <c r="P140"/>
      <c r="Q140" s="2"/>
      <c r="R140" s="2"/>
      <c r="S140" s="16">
        <v>100353</v>
      </c>
      <c r="T140" s="2" t="s">
        <v>1025</v>
      </c>
      <c r="U140" s="16" t="s">
        <v>1042</v>
      </c>
      <c r="V140" s="16"/>
      <c r="W140" s="2">
        <v>0.37</v>
      </c>
      <c r="X140" s="17" t="s">
        <v>117</v>
      </c>
      <c r="Y140" s="17" t="s">
        <v>1043</v>
      </c>
      <c r="Z140" s="2">
        <v>126</v>
      </c>
      <c r="AA140" s="2" t="s">
        <v>199</v>
      </c>
      <c r="AB140" s="16"/>
      <c r="AC140"/>
      <c r="AD140" s="16"/>
      <c r="AE140"/>
      <c r="AF140"/>
      <c r="AG140" s="16"/>
      <c r="AH140" s="16"/>
      <c r="AI140"/>
      <c r="AJ140"/>
      <c r="AK140" s="17"/>
      <c r="AL140"/>
      <c r="AM140"/>
      <c r="AN140"/>
      <c r="AO140"/>
      <c r="AP140"/>
      <c r="AQ140" s="2"/>
      <c r="AR140"/>
      <c r="AS140" s="17"/>
      <c r="AT140"/>
      <c r="AU140"/>
      <c r="AV140"/>
      <c r="AW140"/>
      <c r="AX140" s="16">
        <v>3.0937349397590364</v>
      </c>
      <c r="AY140" s="3">
        <f>1.8*0.0037*1000</f>
        <v>6.66</v>
      </c>
      <c r="AZ140" s="2" t="s">
        <v>470</v>
      </c>
      <c r="BA140" s="2" t="s">
        <v>1040</v>
      </c>
      <c r="BB140"/>
      <c r="BC140" s="2">
        <v>14.5</v>
      </c>
      <c r="BD140">
        <v>126</v>
      </c>
      <c r="BE140" s="7" t="s">
        <v>1041</v>
      </c>
      <c r="BF140"/>
      <c r="BG140" s="16">
        <v>0.46452476572958501</v>
      </c>
      <c r="BH140" s="16" t="s">
        <v>1048</v>
      </c>
      <c r="BI140" s="16">
        <v>4.64524765729585E-4</v>
      </c>
      <c r="BJ140" s="2" t="s">
        <v>1048</v>
      </c>
      <c r="BK140" s="28">
        <v>0.46452476572958501</v>
      </c>
      <c r="BL140" s="3" t="s">
        <v>1048</v>
      </c>
      <c r="BM140" s="3" t="s">
        <v>1048</v>
      </c>
      <c r="BN140" s="3">
        <v>0.17187416331994645</v>
      </c>
    </row>
    <row r="141" spans="1:66" ht="15" customHeight="1" x14ac:dyDescent="0.3">
      <c r="A141" s="2" t="s">
        <v>52</v>
      </c>
      <c r="B141" s="2"/>
      <c r="C141" s="2" t="s">
        <v>722</v>
      </c>
      <c r="D141" s="15">
        <v>-24.12</v>
      </c>
      <c r="E141" s="15">
        <v>-66.97</v>
      </c>
      <c r="F141" s="2" t="s">
        <v>13</v>
      </c>
      <c r="G141" s="14" t="s">
        <v>13</v>
      </c>
      <c r="H141" s="14"/>
      <c r="I141" s="14"/>
      <c r="J141" s="16">
        <v>46.051239848402822</v>
      </c>
      <c r="K141" s="16" t="s">
        <v>1048</v>
      </c>
      <c r="L141" s="15" t="s">
        <v>14</v>
      </c>
      <c r="M141" s="2" t="s">
        <v>14</v>
      </c>
      <c r="N141" s="2">
        <v>179</v>
      </c>
      <c r="O141" s="3">
        <v>1.3150479053165507</v>
      </c>
      <c r="P141" s="3">
        <v>1.8786398647379297</v>
      </c>
      <c r="Q141" s="2" t="s">
        <v>1400</v>
      </c>
      <c r="R141" s="2">
        <v>4</v>
      </c>
      <c r="S141" s="16">
        <v>245120</v>
      </c>
      <c r="T141" s="2" t="s">
        <v>725</v>
      </c>
      <c r="U141" s="16"/>
      <c r="V141" s="16"/>
      <c r="W141" s="3"/>
      <c r="X141" s="3"/>
      <c r="Y141" s="3"/>
      <c r="Z141" s="2">
        <v>45</v>
      </c>
      <c r="AA141" s="2" t="s">
        <v>28</v>
      </c>
      <c r="AB141" s="16"/>
      <c r="AC141"/>
      <c r="AD141" s="16"/>
      <c r="AE141" s="2"/>
      <c r="AF141" s="2"/>
      <c r="AG141" s="16"/>
      <c r="AH141" s="2"/>
      <c r="AI141"/>
      <c r="AJ141" s="2"/>
      <c r="AK141" s="17">
        <v>4625</v>
      </c>
      <c r="AL141" s="18" t="s">
        <v>10</v>
      </c>
      <c r="AM141" s="18" t="s">
        <v>31</v>
      </c>
      <c r="AN141" s="2"/>
      <c r="AO141" s="2"/>
      <c r="AP141" s="2" t="s">
        <v>164</v>
      </c>
      <c r="AQ141" s="2">
        <v>45</v>
      </c>
      <c r="AR141" s="2" t="s">
        <v>23</v>
      </c>
      <c r="AS141" s="17">
        <v>141</v>
      </c>
      <c r="AT141" s="2" t="s">
        <v>223</v>
      </c>
      <c r="AU141" s="2" t="s">
        <v>123</v>
      </c>
      <c r="AV141">
        <v>45</v>
      </c>
      <c r="AW141" s="2" t="s">
        <v>23</v>
      </c>
      <c r="AX141" s="16">
        <v>1.8787222523010287</v>
      </c>
      <c r="AY141" s="16">
        <v>10</v>
      </c>
      <c r="AZ141" s="2" t="s">
        <v>216</v>
      </c>
      <c r="BA141" s="2"/>
      <c r="BB141" s="2" t="s">
        <v>217</v>
      </c>
      <c r="BC141" s="2">
        <v>16.5</v>
      </c>
      <c r="BD141">
        <v>45</v>
      </c>
      <c r="BE141" s="2" t="s">
        <v>428</v>
      </c>
      <c r="BF141"/>
      <c r="BG141" s="16">
        <v>0.18787222523010288</v>
      </c>
      <c r="BH141" s="16" t="s">
        <v>1048</v>
      </c>
      <c r="BI141" s="16">
        <v>1.8787222523010289E-4</v>
      </c>
      <c r="BJ141" s="2" t="s">
        <v>1048</v>
      </c>
      <c r="BK141" s="2" t="s">
        <v>1048</v>
      </c>
      <c r="BL141" s="3">
        <v>1.0469999999999999</v>
      </c>
      <c r="BM141" s="3" t="s">
        <v>1048</v>
      </c>
      <c r="BN141" s="3" t="s">
        <v>1048</v>
      </c>
    </row>
    <row r="142" spans="1:66" ht="15" customHeight="1" x14ac:dyDescent="0.3">
      <c r="A142" s="2" t="s">
        <v>235</v>
      </c>
      <c r="B142" s="2"/>
      <c r="C142" s="2" t="s">
        <v>399</v>
      </c>
      <c r="D142" s="15">
        <v>54.436109000000002</v>
      </c>
      <c r="E142" s="15">
        <v>-116.87223400000001</v>
      </c>
      <c r="F142" s="2" t="s">
        <v>13</v>
      </c>
      <c r="G142" s="14" t="s">
        <v>384</v>
      </c>
      <c r="H142" s="2"/>
      <c r="I142" s="2"/>
      <c r="J142" s="16">
        <v>43.414999999999999</v>
      </c>
      <c r="K142" s="16" t="s">
        <v>1048</v>
      </c>
      <c r="L142" s="15" t="s">
        <v>1051</v>
      </c>
      <c r="M142" s="2"/>
      <c r="N142" s="2"/>
      <c r="O142" s="3"/>
      <c r="P142" s="3"/>
      <c r="Q142" s="2" t="s">
        <v>1402</v>
      </c>
      <c r="R142" s="2">
        <v>4</v>
      </c>
      <c r="S142" s="16">
        <v>43415</v>
      </c>
      <c r="T142" s="2" t="s">
        <v>395</v>
      </c>
      <c r="U142" s="16" t="s">
        <v>400</v>
      </c>
      <c r="V142" s="16" t="s">
        <v>401</v>
      </c>
      <c r="W142" s="3">
        <v>72</v>
      </c>
      <c r="X142" s="3" t="s">
        <v>402</v>
      </c>
      <c r="Y142" s="3" t="s">
        <v>403</v>
      </c>
      <c r="Z142" s="2">
        <v>113</v>
      </c>
      <c r="AA142" s="2" t="s">
        <v>15</v>
      </c>
      <c r="AB142" s="16"/>
      <c r="AC142"/>
      <c r="AD142" s="16"/>
      <c r="AE142"/>
      <c r="AF142"/>
      <c r="AG142" s="16"/>
      <c r="AH142" s="2"/>
      <c r="AI142"/>
      <c r="AJ142"/>
      <c r="AK142" s="17"/>
      <c r="AL142"/>
      <c r="AM142"/>
      <c r="AN142"/>
      <c r="AO142"/>
      <c r="AP142"/>
      <c r="AQ142" s="2"/>
      <c r="AR142"/>
      <c r="AS142" s="17"/>
      <c r="AT142"/>
      <c r="AU142"/>
      <c r="AV142"/>
      <c r="AW142"/>
      <c r="AX142" s="16" t="s">
        <v>1048</v>
      </c>
      <c r="AY142" s="16"/>
      <c r="AZ142"/>
      <c r="BA142"/>
      <c r="BB142"/>
      <c r="BC142"/>
      <c r="BD142"/>
      <c r="BE142"/>
      <c r="BF142"/>
      <c r="BG142" s="2" t="s">
        <v>1048</v>
      </c>
      <c r="BH142" s="16" t="s">
        <v>1048</v>
      </c>
      <c r="BI142" s="16">
        <v>1E-3</v>
      </c>
      <c r="BJ142" s="2" t="s">
        <v>1048</v>
      </c>
      <c r="BK142" s="2">
        <v>1E-4</v>
      </c>
      <c r="BL142" s="3">
        <v>0.91996320147194111</v>
      </c>
      <c r="BM142" s="3" t="s">
        <v>1048</v>
      </c>
      <c r="BN142" s="3">
        <v>7.2000000000000007E-3</v>
      </c>
    </row>
    <row r="143" spans="1:66" ht="15" customHeight="1" x14ac:dyDescent="0.3">
      <c r="A143" s="2" t="s">
        <v>69</v>
      </c>
      <c r="B143" s="2" t="s">
        <v>480</v>
      </c>
      <c r="C143" s="2" t="s">
        <v>969</v>
      </c>
      <c r="D143" s="14">
        <v>34.78</v>
      </c>
      <c r="E143" s="14">
        <v>-116.43</v>
      </c>
      <c r="F143" s="2" t="s">
        <v>72</v>
      </c>
      <c r="G143" s="14" t="s">
        <v>72</v>
      </c>
      <c r="H143" s="2"/>
      <c r="I143" s="2"/>
      <c r="J143" s="16">
        <v>41.431359999999998</v>
      </c>
      <c r="K143" s="16">
        <v>15.05067</v>
      </c>
      <c r="L143" s="2" t="s">
        <v>73</v>
      </c>
      <c r="M143" s="4" t="s">
        <v>73</v>
      </c>
      <c r="N143" s="2">
        <v>4</v>
      </c>
      <c r="O143" s="3"/>
      <c r="P143" s="3">
        <v>0.93725342851775306</v>
      </c>
      <c r="Q143" s="2" t="s">
        <v>1403</v>
      </c>
      <c r="R143" s="2">
        <v>4</v>
      </c>
      <c r="S143" s="2">
        <f>120.44*344/1000000</f>
        <v>4.143136E-2</v>
      </c>
      <c r="T143" s="4" t="s">
        <v>296</v>
      </c>
      <c r="U143" s="16" t="s">
        <v>974</v>
      </c>
      <c r="V143" s="16"/>
      <c r="W143" s="3">
        <v>344</v>
      </c>
      <c r="X143" s="17" t="s">
        <v>78</v>
      </c>
      <c r="Y143" s="17" t="s">
        <v>975</v>
      </c>
      <c r="Z143" s="2">
        <v>117</v>
      </c>
      <c r="AA143" s="2" t="s">
        <v>971</v>
      </c>
      <c r="AB143" s="3">
        <f>41.01*367/1000000</f>
        <v>1.505067E-2</v>
      </c>
      <c r="AC143" s="2" t="s">
        <v>296</v>
      </c>
      <c r="AD143" s="16" t="s">
        <v>972</v>
      </c>
      <c r="AE143" s="2">
        <v>367</v>
      </c>
      <c r="AF143" s="2" t="s">
        <v>78</v>
      </c>
      <c r="AG143" s="16" t="s">
        <v>973</v>
      </c>
      <c r="AH143" s="16"/>
      <c r="AI143">
        <v>117</v>
      </c>
      <c r="AJ143" s="2" t="s">
        <v>971</v>
      </c>
      <c r="AK143" s="17"/>
      <c r="AL143"/>
      <c r="AM143"/>
      <c r="AN143"/>
      <c r="AO143"/>
      <c r="AP143"/>
      <c r="AQ143" s="2"/>
      <c r="AR143"/>
      <c r="AS143" s="17"/>
      <c r="AT143"/>
      <c r="AU143"/>
      <c r="AV143"/>
      <c r="AW143"/>
      <c r="AX143" s="16" t="s">
        <v>1048</v>
      </c>
      <c r="AY143" s="16"/>
      <c r="AZ143"/>
      <c r="BA143"/>
      <c r="BB143"/>
      <c r="BC143"/>
      <c r="BD143"/>
      <c r="BE143"/>
      <c r="BF143"/>
      <c r="BG143" s="2" t="s">
        <v>1048</v>
      </c>
      <c r="BH143" s="16">
        <v>1000</v>
      </c>
      <c r="BI143" s="16">
        <v>1000</v>
      </c>
      <c r="BJ143" s="2">
        <v>1E-4</v>
      </c>
      <c r="BK143" s="2">
        <v>1E-4</v>
      </c>
      <c r="BL143" s="3" t="s">
        <v>1048</v>
      </c>
      <c r="BM143" s="3">
        <v>3.6700000000000003E-2</v>
      </c>
      <c r="BN143" s="3">
        <v>3.44E-2</v>
      </c>
    </row>
    <row r="144" spans="1:66" ht="15" customHeight="1" x14ac:dyDescent="0.3">
      <c r="A144" s="2" t="s">
        <v>69</v>
      </c>
      <c r="B144" s="2" t="s">
        <v>70</v>
      </c>
      <c r="C144" s="2" t="s">
        <v>1002</v>
      </c>
      <c r="D144" s="14">
        <v>37.700000000000003</v>
      </c>
      <c r="E144" s="14">
        <v>-117.53</v>
      </c>
      <c r="F144" s="2" t="s">
        <v>13</v>
      </c>
      <c r="G144" s="39" t="s">
        <v>13</v>
      </c>
      <c r="H144" s="39"/>
      <c r="I144" s="39"/>
      <c r="J144" s="16">
        <v>40.9</v>
      </c>
      <c r="K144" s="16" t="s">
        <v>1048</v>
      </c>
      <c r="L144" s="15" t="s">
        <v>1052</v>
      </c>
      <c r="M144" s="2" t="s">
        <v>268</v>
      </c>
      <c r="N144" s="2">
        <v>4</v>
      </c>
      <c r="O144" s="3"/>
      <c r="P144" s="3">
        <v>1.7027991733984593</v>
      </c>
      <c r="Q144" s="2" t="s">
        <v>1404</v>
      </c>
      <c r="R144" s="2">
        <v>4</v>
      </c>
      <c r="S144" s="16">
        <v>40900</v>
      </c>
      <c r="T144" s="2" t="s">
        <v>991</v>
      </c>
      <c r="U144" s="16" t="s">
        <v>1004</v>
      </c>
      <c r="V144" s="16" t="s">
        <v>547</v>
      </c>
      <c r="W144" s="3">
        <v>123</v>
      </c>
      <c r="X144" s="17" t="s">
        <v>154</v>
      </c>
      <c r="Y144" s="17" t="s">
        <v>1006</v>
      </c>
      <c r="Z144" s="2">
        <v>121</v>
      </c>
      <c r="AA144" s="2" t="s">
        <v>1005</v>
      </c>
      <c r="AB144" s="16"/>
      <c r="AC144"/>
      <c r="AD144" s="16"/>
      <c r="AE144"/>
      <c r="AF144"/>
      <c r="AG144" s="16"/>
      <c r="AH144" s="16"/>
      <c r="AI144"/>
      <c r="AJ144"/>
      <c r="AK144" s="17">
        <v>3652</v>
      </c>
      <c r="AL144" s="18" t="s">
        <v>10</v>
      </c>
      <c r="AM144" s="18" t="s">
        <v>31</v>
      </c>
      <c r="AN144" s="2"/>
      <c r="AO144" s="18" t="s">
        <v>47</v>
      </c>
      <c r="AP144" s="2" t="s">
        <v>164</v>
      </c>
      <c r="AQ144" s="2">
        <v>121</v>
      </c>
      <c r="AR144" s="2" t="s">
        <v>1007</v>
      </c>
      <c r="AS144" s="17">
        <v>297</v>
      </c>
      <c r="AT144" s="2" t="s">
        <v>33</v>
      </c>
      <c r="AU144" s="2" t="s">
        <v>1009</v>
      </c>
      <c r="AV144">
        <v>121</v>
      </c>
      <c r="AW144" s="2" t="s">
        <v>1008</v>
      </c>
      <c r="AX144" s="16">
        <v>1.9029566046733433</v>
      </c>
      <c r="AY144" s="16">
        <v>11500</v>
      </c>
      <c r="AZ144" s="2" t="s">
        <v>989</v>
      </c>
      <c r="BA144"/>
      <c r="BB144"/>
      <c r="BC144"/>
      <c r="BD144">
        <v>121</v>
      </c>
      <c r="BE144" s="2" t="s">
        <v>1003</v>
      </c>
      <c r="BF144"/>
      <c r="BG144" s="16">
        <v>1.6547448736289942E-4</v>
      </c>
      <c r="BH144" s="16" t="s">
        <v>1048</v>
      </c>
      <c r="BI144" s="16">
        <v>1E-3</v>
      </c>
      <c r="BJ144" s="2" t="s">
        <v>1048</v>
      </c>
      <c r="BK144" s="2">
        <v>1E-4</v>
      </c>
      <c r="BL144" s="3">
        <v>1.1585812190399998</v>
      </c>
      <c r="BM144" s="3" t="s">
        <v>1048</v>
      </c>
      <c r="BN144" s="3">
        <v>1.23E-2</v>
      </c>
    </row>
    <row r="145" spans="1:66" ht="15" customHeight="1" x14ac:dyDescent="0.3">
      <c r="A145" s="2" t="s">
        <v>484</v>
      </c>
      <c r="B145" s="2"/>
      <c r="C145" s="2" t="s">
        <v>896</v>
      </c>
      <c r="D145" s="15">
        <v>-16.739999999999998</v>
      </c>
      <c r="E145" s="15">
        <v>-41.9</v>
      </c>
      <c r="F145" s="2" t="s">
        <v>101</v>
      </c>
      <c r="G145" s="14" t="s">
        <v>101</v>
      </c>
      <c r="H145" s="2"/>
      <c r="I145" s="2"/>
      <c r="J145" s="16">
        <v>32.689767190037905</v>
      </c>
      <c r="K145" s="16" t="s">
        <v>1048</v>
      </c>
      <c r="L145" s="15" t="s">
        <v>1051</v>
      </c>
      <c r="M145"/>
      <c r="N145"/>
      <c r="O145" s="3"/>
      <c r="P145" s="3"/>
      <c r="Q145" s="2"/>
      <c r="R145" s="2"/>
      <c r="S145" s="24">
        <f>120.8+35.7+17.5</f>
        <v>174</v>
      </c>
      <c r="T145" s="2" t="s">
        <v>249</v>
      </c>
      <c r="U145" s="16" t="s">
        <v>897</v>
      </c>
      <c r="V145"/>
      <c r="W145" s="3">
        <f>(1.14*156.5+1.06*17.5)/(156.5+17.5)</f>
        <v>1.1319540229885059</v>
      </c>
      <c r="X145" s="2" t="s">
        <v>117</v>
      </c>
      <c r="Y145" s="16" t="s">
        <v>898</v>
      </c>
      <c r="Z145" s="2">
        <v>49</v>
      </c>
      <c r="AA145" s="2" t="s">
        <v>889</v>
      </c>
      <c r="AB145" s="16"/>
      <c r="AC145"/>
      <c r="AD145" s="16"/>
      <c r="AE145"/>
      <c r="AF145"/>
      <c r="AG145" s="16"/>
      <c r="AH145" s="24"/>
      <c r="AI145"/>
      <c r="AJ145"/>
      <c r="AK145" s="17"/>
      <c r="AL145"/>
      <c r="AM145"/>
      <c r="AN145"/>
      <c r="AO145"/>
      <c r="AP145"/>
      <c r="AQ145" s="2"/>
      <c r="AR145"/>
      <c r="AS145" s="17"/>
      <c r="AT145"/>
      <c r="AU145"/>
      <c r="AV145"/>
      <c r="AW145"/>
      <c r="AX145" s="16" t="s">
        <v>1048</v>
      </c>
      <c r="AY145" s="16"/>
      <c r="AZ145"/>
      <c r="BA145"/>
      <c r="BB145"/>
      <c r="BC145"/>
      <c r="BD145"/>
      <c r="BE145"/>
      <c r="BF145"/>
      <c r="BG145" s="2" t="s">
        <v>1048</v>
      </c>
      <c r="BH145" s="16" t="s">
        <v>1048</v>
      </c>
      <c r="BI145" s="21">
        <v>0.18787222523010288</v>
      </c>
      <c r="BJ145" s="2" t="s">
        <v>1048</v>
      </c>
      <c r="BK145" s="28">
        <v>0.46452476572958501</v>
      </c>
      <c r="BL145" s="3">
        <v>1</v>
      </c>
      <c r="BM145" s="3" t="s">
        <v>1048</v>
      </c>
      <c r="BN145" s="3">
        <v>0.52582067734539695</v>
      </c>
    </row>
    <row r="146" spans="1:66" ht="15" customHeight="1" x14ac:dyDescent="0.3">
      <c r="A146" s="2" t="s">
        <v>235</v>
      </c>
      <c r="B146" s="2"/>
      <c r="C146" s="2" t="s">
        <v>780</v>
      </c>
      <c r="D146" s="15">
        <v>54.87</v>
      </c>
      <c r="E146" s="15">
        <v>-99.65</v>
      </c>
      <c r="F146" s="2" t="s">
        <v>101</v>
      </c>
      <c r="G146" s="14" t="s">
        <v>101</v>
      </c>
      <c r="H146" s="14"/>
      <c r="I146" s="14"/>
      <c r="J146" s="16">
        <v>28.020272000000002</v>
      </c>
      <c r="K146" s="16" t="s">
        <v>1048</v>
      </c>
      <c r="L146" s="15" t="s">
        <v>1051</v>
      </c>
      <c r="M146"/>
      <c r="N146"/>
      <c r="O146" s="3"/>
      <c r="P146" s="3"/>
      <c r="Q146" s="2"/>
      <c r="R146" s="2"/>
      <c r="S146" s="16">
        <f t="shared" ref="S146:S148" si="4">+J146/1000</f>
        <v>2.8020272000000002E-2</v>
      </c>
      <c r="T146" t="s">
        <v>1452</v>
      </c>
      <c r="U146" s="16"/>
      <c r="V146" s="16"/>
      <c r="W146" s="3"/>
      <c r="X146" s="3"/>
      <c r="Y146" s="3"/>
      <c r="Z146" s="2">
        <v>2</v>
      </c>
      <c r="AA146"/>
      <c r="AB146" s="16"/>
      <c r="AC146"/>
      <c r="AD146" s="16"/>
      <c r="AE146"/>
      <c r="AF146"/>
      <c r="AG146" s="16"/>
      <c r="AH146" s="2"/>
      <c r="AI146"/>
      <c r="AJ146"/>
      <c r="AK146" s="17"/>
      <c r="AL146"/>
      <c r="AM146"/>
      <c r="AN146"/>
      <c r="AO146"/>
      <c r="AP146"/>
      <c r="AQ146" s="2"/>
      <c r="AR146"/>
      <c r="AS146" s="17"/>
      <c r="AT146"/>
      <c r="AU146"/>
      <c r="AV146"/>
      <c r="AW146"/>
      <c r="AX146" s="16" t="s">
        <v>1048</v>
      </c>
      <c r="AY146" s="16"/>
      <c r="AZ146"/>
      <c r="BA146"/>
      <c r="BB146"/>
      <c r="BC146"/>
      <c r="BD146"/>
      <c r="BE146"/>
      <c r="BF146"/>
      <c r="BG146" s="2" t="s">
        <v>1048</v>
      </c>
      <c r="BH146" s="16" t="s">
        <v>1048</v>
      </c>
      <c r="BI146" s="2">
        <v>1</v>
      </c>
      <c r="BJ146" s="2" t="s">
        <v>1048</v>
      </c>
      <c r="BK146" s="2" t="s">
        <v>1048</v>
      </c>
      <c r="BL146" s="3" t="s">
        <v>1048</v>
      </c>
      <c r="BM146" s="3" t="s">
        <v>1048</v>
      </c>
      <c r="BN146" s="3" t="s">
        <v>1048</v>
      </c>
    </row>
    <row r="147" spans="1:66" ht="15" customHeight="1" x14ac:dyDescent="0.3">
      <c r="A147" s="2" t="s">
        <v>235</v>
      </c>
      <c r="B147" s="2"/>
      <c r="C147" s="2" t="s">
        <v>781</v>
      </c>
      <c r="D147" s="15">
        <v>54.86</v>
      </c>
      <c r="E147" s="15">
        <v>-94.19</v>
      </c>
      <c r="F147" s="2" t="s">
        <v>101</v>
      </c>
      <c r="G147" s="14" t="s">
        <v>101</v>
      </c>
      <c r="H147" s="14"/>
      <c r="I147" s="14"/>
      <c r="J147" s="16">
        <v>25.018100000000004</v>
      </c>
      <c r="K147" s="16" t="s">
        <v>1048</v>
      </c>
      <c r="L147" s="15" t="s">
        <v>1051</v>
      </c>
      <c r="M147"/>
      <c r="N147"/>
      <c r="O147" s="3"/>
      <c r="P147" s="3"/>
      <c r="Q147" s="2"/>
      <c r="R147" s="2"/>
      <c r="S147" s="16">
        <f t="shared" si="4"/>
        <v>2.5018100000000005E-2</v>
      </c>
      <c r="T147" t="s">
        <v>1452</v>
      </c>
      <c r="U147" s="16"/>
      <c r="V147" s="16"/>
      <c r="W147" s="3"/>
      <c r="X147" s="3"/>
      <c r="Y147" s="3"/>
      <c r="Z147" s="2">
        <v>2</v>
      </c>
      <c r="AA147"/>
      <c r="AB147" s="16"/>
      <c r="AC147"/>
      <c r="AD147" s="16"/>
      <c r="AE147"/>
      <c r="AF147"/>
      <c r="AG147" s="16"/>
      <c r="AH147" s="2"/>
      <c r="AI147"/>
      <c r="AJ147"/>
      <c r="AK147" s="17"/>
      <c r="AL147"/>
      <c r="AM147"/>
      <c r="AN147"/>
      <c r="AO147"/>
      <c r="AP147"/>
      <c r="AQ147" s="2"/>
      <c r="AR147"/>
      <c r="AS147" s="17"/>
      <c r="AT147"/>
      <c r="AU147"/>
      <c r="AV147"/>
      <c r="AW147"/>
      <c r="AX147" s="16" t="s">
        <v>1048</v>
      </c>
      <c r="AY147" s="16"/>
      <c r="AZ147"/>
      <c r="BA147"/>
      <c r="BB147"/>
      <c r="BC147"/>
      <c r="BD147"/>
      <c r="BE147"/>
      <c r="BF147"/>
      <c r="BG147" s="2" t="s">
        <v>1048</v>
      </c>
      <c r="BH147" s="16" t="s">
        <v>1048</v>
      </c>
      <c r="BI147" s="2">
        <v>1</v>
      </c>
      <c r="BJ147" s="2" t="s">
        <v>1048</v>
      </c>
      <c r="BK147" s="2" t="s">
        <v>1048</v>
      </c>
      <c r="BL147" s="3" t="s">
        <v>1048</v>
      </c>
      <c r="BM147" s="3" t="s">
        <v>1048</v>
      </c>
      <c r="BN147" s="3" t="s">
        <v>1048</v>
      </c>
    </row>
    <row r="148" spans="1:66" ht="15" customHeight="1" x14ac:dyDescent="0.3">
      <c r="A148" s="2" t="s">
        <v>235</v>
      </c>
      <c r="B148" s="2"/>
      <c r="C148" s="2" t="s">
        <v>782</v>
      </c>
      <c r="D148" s="15">
        <v>54.88</v>
      </c>
      <c r="E148" s="15">
        <v>-100.03</v>
      </c>
      <c r="F148" s="2" t="s">
        <v>101</v>
      </c>
      <c r="G148" s="14" t="s">
        <v>101</v>
      </c>
      <c r="H148" s="14"/>
      <c r="I148" s="14"/>
      <c r="J148" s="16">
        <v>25.018100000000004</v>
      </c>
      <c r="K148" s="16" t="s">
        <v>1048</v>
      </c>
      <c r="L148" s="15" t="s">
        <v>1051</v>
      </c>
      <c r="M148"/>
      <c r="N148"/>
      <c r="O148" s="3"/>
      <c r="P148" s="3"/>
      <c r="Q148" s="2"/>
      <c r="R148" s="2"/>
      <c r="S148" s="16">
        <f t="shared" si="4"/>
        <v>2.5018100000000005E-2</v>
      </c>
      <c r="T148" t="s">
        <v>1452</v>
      </c>
      <c r="U148" s="16"/>
      <c r="V148" s="16"/>
      <c r="W148" s="3"/>
      <c r="X148" s="3"/>
      <c r="Y148" s="3"/>
      <c r="Z148" s="2">
        <v>2</v>
      </c>
      <c r="AA148"/>
      <c r="AB148" s="16"/>
      <c r="AC148"/>
      <c r="AD148" s="16"/>
      <c r="AE148"/>
      <c r="AF148"/>
      <c r="AG148" s="16"/>
      <c r="AH148" s="2"/>
      <c r="AI148"/>
      <c r="AJ148"/>
      <c r="AK148" s="17"/>
      <c r="AL148"/>
      <c r="AM148"/>
      <c r="AN148"/>
      <c r="AO148"/>
      <c r="AP148"/>
      <c r="AQ148" s="2"/>
      <c r="AR148"/>
      <c r="AS148" s="17"/>
      <c r="AT148"/>
      <c r="AU148"/>
      <c r="AV148"/>
      <c r="AW148"/>
      <c r="AX148" s="16" t="s">
        <v>1048</v>
      </c>
      <c r="AY148" s="16"/>
      <c r="AZ148"/>
      <c r="BA148"/>
      <c r="BB148"/>
      <c r="BC148"/>
      <c r="BD148"/>
      <c r="BE148"/>
      <c r="BF148"/>
      <c r="BG148" s="2" t="s">
        <v>1048</v>
      </c>
      <c r="BH148" s="16" t="s">
        <v>1048</v>
      </c>
      <c r="BI148" s="2">
        <v>1</v>
      </c>
      <c r="BJ148" s="2" t="s">
        <v>1048</v>
      </c>
      <c r="BK148" s="2" t="s">
        <v>1048</v>
      </c>
      <c r="BL148" s="3" t="s">
        <v>1048</v>
      </c>
      <c r="BM148" s="3" t="s">
        <v>1048</v>
      </c>
      <c r="BN148" s="3" t="s">
        <v>1048</v>
      </c>
    </row>
    <row r="149" spans="1:66" ht="15" customHeight="1" x14ac:dyDescent="0.3">
      <c r="A149" s="2" t="s">
        <v>676</v>
      </c>
      <c r="B149" s="2"/>
      <c r="C149" s="2" t="s">
        <v>984</v>
      </c>
      <c r="D149" s="14">
        <v>40.479999999999997</v>
      </c>
      <c r="E149" s="14">
        <v>-7.34</v>
      </c>
      <c r="F149" s="2" t="s">
        <v>101</v>
      </c>
      <c r="G149" s="14" t="s">
        <v>101</v>
      </c>
      <c r="H149" s="2"/>
      <c r="I149" s="2"/>
      <c r="J149" s="16">
        <v>23.722815261044175</v>
      </c>
      <c r="K149" s="16" t="s">
        <v>1048</v>
      </c>
      <c r="L149" s="15" t="s">
        <v>14</v>
      </c>
      <c r="M149" s="2" t="s">
        <v>14</v>
      </c>
      <c r="N149" s="2">
        <v>4</v>
      </c>
      <c r="O149" s="3">
        <v>0.33815517565282732</v>
      </c>
      <c r="P149" s="3">
        <v>0.33815517565282732</v>
      </c>
      <c r="Q149" s="2" t="s">
        <v>1400</v>
      </c>
      <c r="R149" s="2">
        <v>4</v>
      </c>
      <c r="S149" s="3">
        <f>5.87*(0.87/100)</f>
        <v>5.1068999999999996E-2</v>
      </c>
      <c r="T149" s="2" t="s">
        <v>985</v>
      </c>
      <c r="U149" s="16" t="s">
        <v>986</v>
      </c>
      <c r="V149" s="16" t="s">
        <v>987</v>
      </c>
      <c r="W149" s="3">
        <v>0.87</v>
      </c>
      <c r="X149" s="17" t="s">
        <v>117</v>
      </c>
      <c r="Y149" s="17" t="s">
        <v>986</v>
      </c>
      <c r="Z149" s="2">
        <v>120</v>
      </c>
      <c r="AA149" s="2" t="s">
        <v>15</v>
      </c>
      <c r="AB149" s="16"/>
      <c r="AC149"/>
      <c r="AD149" s="16"/>
      <c r="AE149"/>
      <c r="AF149"/>
      <c r="AG149" s="16"/>
      <c r="AH149" s="16"/>
      <c r="AI149"/>
      <c r="AJ149"/>
      <c r="AK149" s="17"/>
      <c r="AL149"/>
      <c r="AM149"/>
      <c r="AN149"/>
      <c r="AO149"/>
      <c r="AP149"/>
      <c r="AQ149" s="2"/>
      <c r="AR149"/>
      <c r="AS149" s="17"/>
      <c r="AT149" s="2"/>
      <c r="AU149" s="2"/>
      <c r="AV149"/>
      <c r="AW149" s="2"/>
      <c r="AX149" s="16" t="s">
        <v>1048</v>
      </c>
      <c r="AY149" s="16"/>
      <c r="AZ149"/>
      <c r="BA149"/>
      <c r="BB149"/>
      <c r="BC149"/>
      <c r="BD149"/>
      <c r="BE149"/>
      <c r="BF149"/>
      <c r="BG149" s="2" t="s">
        <v>1048</v>
      </c>
      <c r="BH149" s="16" t="s">
        <v>1048</v>
      </c>
      <c r="BI149" s="16">
        <v>464.524765729585</v>
      </c>
      <c r="BJ149" s="2" t="s">
        <v>1048</v>
      </c>
      <c r="BK149" s="28">
        <v>0.46452476572958501</v>
      </c>
      <c r="BL149" s="3" t="s">
        <v>1048</v>
      </c>
      <c r="BM149" s="3" t="s">
        <v>1048</v>
      </c>
      <c r="BN149" s="3">
        <v>0.40413654618473893</v>
      </c>
    </row>
    <row r="150" spans="1:66" ht="15" customHeight="1" x14ac:dyDescent="0.3">
      <c r="A150" s="2" t="s">
        <v>484</v>
      </c>
      <c r="B150" s="2"/>
      <c r="C150" s="2" t="s">
        <v>783</v>
      </c>
      <c r="D150" s="15">
        <v>-16.78</v>
      </c>
      <c r="E150" s="15">
        <v>-41.91</v>
      </c>
      <c r="F150" s="2" t="s">
        <v>101</v>
      </c>
      <c r="G150" s="14" t="s">
        <v>101</v>
      </c>
      <c r="H150" s="14"/>
      <c r="I150" s="14"/>
      <c r="J150" s="16">
        <v>23.016652000000001</v>
      </c>
      <c r="K150" s="16" t="s">
        <v>1048</v>
      </c>
      <c r="L150" s="15" t="s">
        <v>14</v>
      </c>
      <c r="M150" s="4" t="s">
        <v>14</v>
      </c>
      <c r="N150" s="2">
        <v>4</v>
      </c>
      <c r="O150" s="3">
        <v>1.0708247229006198</v>
      </c>
      <c r="P150" s="3">
        <v>1.0708247229006198</v>
      </c>
      <c r="Q150" s="2" t="s">
        <v>1400</v>
      </c>
      <c r="R150" s="2">
        <v>4</v>
      </c>
      <c r="S150" s="16">
        <f>+J150/1000</f>
        <v>2.3016652000000002E-2</v>
      </c>
      <c r="T150" t="s">
        <v>1452</v>
      </c>
      <c r="U150" s="16"/>
      <c r="V150" s="16"/>
      <c r="W150" s="3"/>
      <c r="X150" s="3"/>
      <c r="Y150" s="3"/>
      <c r="Z150" s="2">
        <v>2</v>
      </c>
      <c r="AA150"/>
      <c r="AB150" s="16"/>
      <c r="AC150"/>
      <c r="AD150" s="16"/>
      <c r="AE150"/>
      <c r="AF150"/>
      <c r="AG150" s="16"/>
      <c r="AH150" s="2"/>
      <c r="AI150"/>
      <c r="AJ150"/>
      <c r="AK150" s="17"/>
      <c r="AL150"/>
      <c r="AM150"/>
      <c r="AN150"/>
      <c r="AO150"/>
      <c r="AP150"/>
      <c r="AQ150" s="2"/>
      <c r="AR150"/>
      <c r="AS150" s="17"/>
      <c r="AT150"/>
      <c r="AU150"/>
      <c r="AV150"/>
      <c r="AW150"/>
      <c r="AX150" s="16" t="s">
        <v>1048</v>
      </c>
      <c r="AY150" s="16"/>
      <c r="AZ150"/>
      <c r="BA150"/>
      <c r="BB150"/>
      <c r="BC150"/>
      <c r="BD150"/>
      <c r="BE150"/>
      <c r="BF150"/>
      <c r="BG150" s="2" t="s">
        <v>1048</v>
      </c>
      <c r="BH150" s="16" t="s">
        <v>1048</v>
      </c>
      <c r="BI150" s="2">
        <v>1</v>
      </c>
      <c r="BJ150" s="2" t="s">
        <v>1048</v>
      </c>
      <c r="BK150" s="2" t="s">
        <v>1048</v>
      </c>
      <c r="BL150" s="3" t="s">
        <v>1048</v>
      </c>
      <c r="BM150" s="3" t="s">
        <v>1048</v>
      </c>
      <c r="BN150" s="3" t="s">
        <v>1048</v>
      </c>
    </row>
    <row r="151" spans="1:66" ht="15" customHeight="1" x14ac:dyDescent="0.3">
      <c r="A151" s="2" t="s">
        <v>235</v>
      </c>
      <c r="B151" s="2"/>
      <c r="C151" s="2" t="s">
        <v>957</v>
      </c>
      <c r="D151" s="14">
        <v>50.93</v>
      </c>
      <c r="E151" s="14">
        <v>-91.71</v>
      </c>
      <c r="F151" s="2" t="s">
        <v>101</v>
      </c>
      <c r="G151" s="14" t="s">
        <v>101</v>
      </c>
      <c r="H151" s="2"/>
      <c r="I151" s="2"/>
      <c r="J151" s="16">
        <v>21.112650602409637</v>
      </c>
      <c r="K151" s="16" t="s">
        <v>1048</v>
      </c>
      <c r="L151" s="15" t="s">
        <v>1051</v>
      </c>
      <c r="M151"/>
      <c r="N151"/>
      <c r="O151" s="3"/>
      <c r="P151" s="3"/>
      <c r="Q151" s="2"/>
      <c r="R151" s="2"/>
      <c r="S151" s="16">
        <f>4.5*0.0101</f>
        <v>4.5449999999999997E-2</v>
      </c>
      <c r="T151" s="2" t="s">
        <v>139</v>
      </c>
      <c r="U151" s="16" t="s">
        <v>958</v>
      </c>
      <c r="V151" s="16"/>
      <c r="W151" s="3">
        <v>1.01</v>
      </c>
      <c r="X151" s="2" t="s">
        <v>117</v>
      </c>
      <c r="Y151" s="17" t="s">
        <v>959</v>
      </c>
      <c r="Z151" s="2">
        <v>92</v>
      </c>
      <c r="AA151" s="2" t="s">
        <v>76</v>
      </c>
      <c r="AB151" s="16"/>
      <c r="AC151"/>
      <c r="AD151" s="16"/>
      <c r="AE151"/>
      <c r="AF151"/>
      <c r="AG151" s="16"/>
      <c r="AH151" s="16"/>
      <c r="AI151"/>
      <c r="AJ151"/>
      <c r="AK151" s="17"/>
      <c r="AL151"/>
      <c r="AM151"/>
      <c r="AN151"/>
      <c r="AO151"/>
      <c r="AP151"/>
      <c r="AQ151" s="2"/>
      <c r="AR151"/>
      <c r="AS151" s="17"/>
      <c r="AT151"/>
      <c r="AU151"/>
      <c r="AV151"/>
      <c r="AW151"/>
      <c r="AX151" s="16" t="s">
        <v>1048</v>
      </c>
      <c r="AY151" s="16"/>
      <c r="AZ151"/>
      <c r="BA151"/>
      <c r="BB151"/>
      <c r="BC151"/>
      <c r="BD151"/>
      <c r="BE151"/>
      <c r="BF151"/>
      <c r="BG151" s="2" t="s">
        <v>1048</v>
      </c>
      <c r="BH151" s="16" t="s">
        <v>1048</v>
      </c>
      <c r="BI151" s="16">
        <v>464.524765729585</v>
      </c>
      <c r="BJ151" s="2" t="s">
        <v>1048</v>
      </c>
      <c r="BK151" s="28">
        <v>0.46452476572958501</v>
      </c>
      <c r="BL151" s="3">
        <v>0.86138876542316578</v>
      </c>
      <c r="BM151" s="3" t="s">
        <v>1048</v>
      </c>
      <c r="BN151" s="3">
        <v>0.46917001338688086</v>
      </c>
    </row>
    <row r="152" spans="1:66" ht="15" customHeight="1" x14ac:dyDescent="0.3">
      <c r="A152" s="2" t="s">
        <v>235</v>
      </c>
      <c r="B152" s="2"/>
      <c r="C152" s="2" t="s">
        <v>784</v>
      </c>
      <c r="D152" s="15">
        <v>62.45</v>
      </c>
      <c r="E152" s="15">
        <v>-112.21</v>
      </c>
      <c r="F152" s="2" t="s">
        <v>101</v>
      </c>
      <c r="G152" s="14" t="s">
        <v>101</v>
      </c>
      <c r="H152" s="14"/>
      <c r="I152" s="14"/>
      <c r="J152" s="16">
        <v>20.014480000000002</v>
      </c>
      <c r="K152" s="16" t="s">
        <v>1048</v>
      </c>
      <c r="L152" s="15" t="s">
        <v>1051</v>
      </c>
      <c r="M152"/>
      <c r="N152"/>
      <c r="O152" s="3"/>
      <c r="P152" s="3"/>
      <c r="Q152" s="2"/>
      <c r="R152" s="2"/>
      <c r="S152" s="16">
        <f>+J152/1000</f>
        <v>2.0014480000000001E-2</v>
      </c>
      <c r="T152" t="s">
        <v>1452</v>
      </c>
      <c r="U152" s="16"/>
      <c r="V152" s="16"/>
      <c r="W152" s="3"/>
      <c r="X152" s="3"/>
      <c r="Y152" s="3"/>
      <c r="Z152" s="2">
        <v>2</v>
      </c>
      <c r="AA152"/>
      <c r="AB152" s="16"/>
      <c r="AC152"/>
      <c r="AD152" s="16"/>
      <c r="AE152"/>
      <c r="AF152"/>
      <c r="AG152" s="16"/>
      <c r="AH152" s="2"/>
      <c r="AI152"/>
      <c r="AJ152"/>
      <c r="AK152" s="17"/>
      <c r="AL152"/>
      <c r="AM152"/>
      <c r="AN152"/>
      <c r="AO152"/>
      <c r="AP152"/>
      <c r="AQ152" s="2"/>
      <c r="AR152"/>
      <c r="AS152" s="17"/>
      <c r="AT152"/>
      <c r="AU152"/>
      <c r="AV152"/>
      <c r="AW152"/>
      <c r="AX152" s="16" t="s">
        <v>1048</v>
      </c>
      <c r="AY152" s="16"/>
      <c r="AZ152"/>
      <c r="BA152"/>
      <c r="BB152"/>
      <c r="BC152"/>
      <c r="BD152"/>
      <c r="BE152"/>
      <c r="BF152"/>
      <c r="BG152" s="2" t="s">
        <v>1048</v>
      </c>
      <c r="BH152" s="16" t="s">
        <v>1048</v>
      </c>
      <c r="BI152" s="2">
        <v>1</v>
      </c>
      <c r="BJ152" s="2" t="s">
        <v>1048</v>
      </c>
      <c r="BK152" s="2" t="s">
        <v>1048</v>
      </c>
      <c r="BL152" s="3" t="s">
        <v>1048</v>
      </c>
      <c r="BM152" s="3" t="s">
        <v>1048</v>
      </c>
      <c r="BN152" s="3" t="s">
        <v>1048</v>
      </c>
    </row>
    <row r="153" spans="1:66" ht="15" customHeight="1" x14ac:dyDescent="0.3">
      <c r="A153" s="2" t="s">
        <v>132</v>
      </c>
      <c r="B153" s="2"/>
      <c r="C153" s="2" t="s">
        <v>788</v>
      </c>
      <c r="D153" s="15">
        <v>-12.68</v>
      </c>
      <c r="E153" s="15">
        <v>130.77000000000001</v>
      </c>
      <c r="F153" s="2" t="s">
        <v>101</v>
      </c>
      <c r="G153" s="14" t="s">
        <v>101</v>
      </c>
      <c r="H153" s="14"/>
      <c r="I153" s="14"/>
      <c r="J153" s="16">
        <v>19.928112449799197</v>
      </c>
      <c r="K153" s="16">
        <v>45.476974564926373</v>
      </c>
      <c r="L153" s="15" t="s">
        <v>14</v>
      </c>
      <c r="M153" s="2" t="s">
        <v>789</v>
      </c>
      <c r="N153" s="2">
        <v>180</v>
      </c>
      <c r="O153" s="3">
        <v>4.3439789592335147</v>
      </c>
      <c r="P153" s="3">
        <v>3.7817020477174519</v>
      </c>
      <c r="Q153" s="2" t="s">
        <v>1400</v>
      </c>
      <c r="R153" s="2">
        <v>4</v>
      </c>
      <c r="S153" s="16">
        <f>29500+9000+4400</f>
        <v>42900</v>
      </c>
      <c r="T153" s="2" t="s">
        <v>793</v>
      </c>
      <c r="U153" s="16" t="s">
        <v>796</v>
      </c>
      <c r="V153" s="16" t="s">
        <v>316</v>
      </c>
      <c r="W153" s="3">
        <v>1.49</v>
      </c>
      <c r="X153" s="2" t="s">
        <v>117</v>
      </c>
      <c r="Y153" s="38" t="s">
        <v>797</v>
      </c>
      <c r="Z153" s="2">
        <v>69</v>
      </c>
      <c r="AA153" s="2" t="s">
        <v>792</v>
      </c>
      <c r="AB153" s="16">
        <f>52100+45800</f>
        <v>97900</v>
      </c>
      <c r="AC153" s="2" t="s">
        <v>793</v>
      </c>
      <c r="AD153" s="16" t="s">
        <v>794</v>
      </c>
      <c r="AE153" s="2">
        <v>1.3</v>
      </c>
      <c r="AF153" s="2" t="s">
        <v>117</v>
      </c>
      <c r="AG153" s="16" t="s">
        <v>795</v>
      </c>
      <c r="AH153" s="2"/>
      <c r="AI153">
        <v>69</v>
      </c>
      <c r="AJ153" s="2" t="s">
        <v>792</v>
      </c>
      <c r="AK153" s="17"/>
      <c r="AL153"/>
      <c r="AM153"/>
      <c r="AN153"/>
      <c r="AO153"/>
      <c r="AP153"/>
      <c r="AQ153" s="2"/>
      <c r="AR153"/>
      <c r="AS153" s="17">
        <v>89</v>
      </c>
      <c r="AT153" s="2" t="s">
        <v>223</v>
      </c>
      <c r="AU153" s="2" t="s">
        <v>569</v>
      </c>
      <c r="AV153">
        <v>69</v>
      </c>
      <c r="AW153" s="2" t="s">
        <v>23</v>
      </c>
      <c r="AX153" s="16" t="s">
        <v>1048</v>
      </c>
      <c r="AY153" s="16"/>
      <c r="AZ153" s="2"/>
      <c r="BA153"/>
      <c r="BB153"/>
      <c r="BC153" s="2">
        <v>10</v>
      </c>
      <c r="BD153"/>
      <c r="BE153"/>
      <c r="BF153"/>
      <c r="BG153" s="2" t="s">
        <v>1048</v>
      </c>
      <c r="BH153" s="16">
        <v>4.64524765729585E-4</v>
      </c>
      <c r="BI153" s="16">
        <v>4.64524765729585E-4</v>
      </c>
      <c r="BJ153" s="28">
        <v>0.46452476572958501</v>
      </c>
      <c r="BK153" s="28">
        <v>0.46452476572958501</v>
      </c>
      <c r="BL153" s="3">
        <v>1.0469999999999999</v>
      </c>
      <c r="BM153" s="3">
        <v>0.60388219544846056</v>
      </c>
      <c r="BN153" s="3">
        <v>0.69214190093708161</v>
      </c>
    </row>
    <row r="154" spans="1:66" ht="15" customHeight="1" x14ac:dyDescent="0.3">
      <c r="A154" s="2" t="s">
        <v>235</v>
      </c>
      <c r="B154" s="2"/>
      <c r="C154" s="2" t="s">
        <v>785</v>
      </c>
      <c r="D154" s="15">
        <v>50.43</v>
      </c>
      <c r="E154" s="15">
        <v>-95.44</v>
      </c>
      <c r="F154" s="2" t="s">
        <v>101</v>
      </c>
      <c r="G154" s="14" t="s">
        <v>101</v>
      </c>
      <c r="H154" s="14"/>
      <c r="I154" s="14"/>
      <c r="J154" s="16">
        <v>19.013756000000001</v>
      </c>
      <c r="K154" s="16" t="s">
        <v>1048</v>
      </c>
      <c r="L154" s="15" t="s">
        <v>14</v>
      </c>
      <c r="M154" s="2" t="s">
        <v>14</v>
      </c>
      <c r="N154" s="2">
        <v>181</v>
      </c>
      <c r="O154" s="3">
        <v>3.0663159872252486</v>
      </c>
      <c r="P154" s="3">
        <v>6.9688145782453494</v>
      </c>
      <c r="Q154" s="2" t="s">
        <v>1400</v>
      </c>
      <c r="R154" s="2">
        <v>4</v>
      </c>
      <c r="S154" s="16">
        <f>+J154/1000</f>
        <v>1.9013756E-2</v>
      </c>
      <c r="T154" t="s">
        <v>1452</v>
      </c>
      <c r="U154" s="16"/>
      <c r="V154" s="16"/>
      <c r="W154" s="3"/>
      <c r="X154" s="3"/>
      <c r="Y154" s="3"/>
      <c r="Z154" s="2">
        <v>2</v>
      </c>
      <c r="AA154"/>
      <c r="AB154" s="16"/>
      <c r="AC154"/>
      <c r="AD154" s="16"/>
      <c r="AE154"/>
      <c r="AF154"/>
      <c r="AG154" s="16"/>
      <c r="AH154" s="2"/>
      <c r="AI154"/>
      <c r="AJ154"/>
      <c r="AK154" s="17"/>
      <c r="AL154"/>
      <c r="AM154"/>
      <c r="AN154"/>
      <c r="AO154"/>
      <c r="AP154"/>
      <c r="AQ154" s="2"/>
      <c r="AR154"/>
      <c r="AS154" s="17"/>
      <c r="AT154"/>
      <c r="AU154"/>
      <c r="AV154"/>
      <c r="AW154"/>
      <c r="AX154" s="16" t="s">
        <v>1048</v>
      </c>
      <c r="AY154" s="16"/>
      <c r="AZ154"/>
      <c r="BA154"/>
      <c r="BB154"/>
      <c r="BC154"/>
      <c r="BD154"/>
      <c r="BE154"/>
      <c r="BF154"/>
      <c r="BG154" s="2" t="s">
        <v>1048</v>
      </c>
      <c r="BH154" s="16" t="s">
        <v>1048</v>
      </c>
      <c r="BI154" s="2">
        <v>1</v>
      </c>
      <c r="BJ154" s="2" t="s">
        <v>1048</v>
      </c>
      <c r="BK154" s="2" t="s">
        <v>1048</v>
      </c>
      <c r="BL154" s="3" t="s">
        <v>1048</v>
      </c>
      <c r="BM154" s="3" t="s">
        <v>1048</v>
      </c>
      <c r="BN154" s="3" t="s">
        <v>1048</v>
      </c>
    </row>
    <row r="155" spans="1:66" ht="15" customHeight="1" x14ac:dyDescent="0.3">
      <c r="A155" s="2" t="s">
        <v>128</v>
      </c>
      <c r="B155" s="2"/>
      <c r="C155" s="2" t="s">
        <v>787</v>
      </c>
      <c r="D155" s="15">
        <v>24.43</v>
      </c>
      <c r="E155" s="15">
        <v>115.87</v>
      </c>
      <c r="F155" s="2" t="s">
        <v>101</v>
      </c>
      <c r="G155" s="14" t="s">
        <v>101</v>
      </c>
      <c r="H155" s="14"/>
      <c r="I155" s="14"/>
      <c r="J155" s="16">
        <v>18.787222523010289</v>
      </c>
      <c r="K155" s="16" t="s">
        <v>1048</v>
      </c>
      <c r="L155" s="15" t="s">
        <v>1051</v>
      </c>
      <c r="M155"/>
      <c r="N155"/>
      <c r="O155" s="3"/>
      <c r="P155" s="3"/>
      <c r="Q155" s="2"/>
      <c r="R155" s="2"/>
      <c r="S155" s="24">
        <v>0.1</v>
      </c>
      <c r="T155" s="2" t="s">
        <v>219</v>
      </c>
      <c r="U155" s="16"/>
      <c r="V155" s="16"/>
      <c r="W155" s="3"/>
      <c r="X155" s="3"/>
      <c r="Y155" s="3"/>
      <c r="Z155" s="2">
        <v>95</v>
      </c>
      <c r="AA155" s="2" t="s">
        <v>309</v>
      </c>
      <c r="AB155" s="16"/>
      <c r="AC155"/>
      <c r="AD155" s="16"/>
      <c r="AE155"/>
      <c r="AF155"/>
      <c r="AG155" s="16"/>
      <c r="AH155" s="2"/>
      <c r="AI155"/>
      <c r="AJ155"/>
      <c r="AK155" s="17"/>
      <c r="AL155"/>
      <c r="AM155"/>
      <c r="AN155"/>
      <c r="AO155"/>
      <c r="AP155"/>
      <c r="AQ155" s="2"/>
      <c r="AR155"/>
      <c r="AS155" s="17"/>
      <c r="AT155"/>
      <c r="AU155"/>
      <c r="AV155"/>
      <c r="AW155"/>
      <c r="AX155" s="16" t="s">
        <v>1048</v>
      </c>
      <c r="AY155" s="16"/>
      <c r="AZ155" s="4"/>
      <c r="BA155" s="2"/>
      <c r="BB155"/>
      <c r="BC155"/>
      <c r="BD155"/>
      <c r="BE155"/>
      <c r="BF155"/>
      <c r="BG155" s="2" t="s">
        <v>1048</v>
      </c>
      <c r="BH155" s="16" t="s">
        <v>1048</v>
      </c>
      <c r="BI155" s="16">
        <v>187.87222523010288</v>
      </c>
      <c r="BJ155" s="2" t="s">
        <v>1048</v>
      </c>
      <c r="BK155" s="2" t="s">
        <v>1048</v>
      </c>
      <c r="BL155" s="3">
        <v>1</v>
      </c>
      <c r="BM155" s="3" t="s">
        <v>1048</v>
      </c>
      <c r="BN155" s="3" t="s">
        <v>1048</v>
      </c>
    </row>
    <row r="156" spans="1:66" ht="15" customHeight="1" x14ac:dyDescent="0.3">
      <c r="A156" s="2" t="s">
        <v>235</v>
      </c>
      <c r="B156" s="2"/>
      <c r="C156" s="2" t="s">
        <v>806</v>
      </c>
      <c r="D156" s="15">
        <v>49.41</v>
      </c>
      <c r="E156" s="15">
        <v>-91.94</v>
      </c>
      <c r="F156" s="2" t="s">
        <v>101</v>
      </c>
      <c r="G156" s="14" t="s">
        <v>101</v>
      </c>
      <c r="H156" s="14"/>
      <c r="I156" s="14"/>
      <c r="J156" s="16">
        <v>17.324000000000002</v>
      </c>
      <c r="K156" s="16" t="s">
        <v>1048</v>
      </c>
      <c r="L156" s="15" t="s">
        <v>1051</v>
      </c>
      <c r="M156" s="2"/>
      <c r="N156" s="2"/>
      <c r="O156" s="3"/>
      <c r="P156" s="3"/>
      <c r="Q156" s="2"/>
      <c r="R156" s="2"/>
      <c r="S156" s="16">
        <f>321+6503+10500</f>
        <v>17324</v>
      </c>
      <c r="T156" s="2" t="s">
        <v>395</v>
      </c>
      <c r="U156" s="16" t="s">
        <v>808</v>
      </c>
      <c r="V156" s="16" t="s">
        <v>316</v>
      </c>
      <c r="W156" s="3">
        <v>0.61</v>
      </c>
      <c r="X156" s="2" t="s">
        <v>117</v>
      </c>
      <c r="Y156" s="38" t="s">
        <v>809</v>
      </c>
      <c r="Z156" s="2">
        <v>71</v>
      </c>
      <c r="AA156" s="2" t="s">
        <v>15</v>
      </c>
      <c r="AB156" s="16"/>
      <c r="AC156"/>
      <c r="AD156" s="16"/>
      <c r="AE156"/>
      <c r="AF156"/>
      <c r="AG156" s="16"/>
      <c r="AH156" s="16"/>
      <c r="AI156"/>
      <c r="AJ156"/>
      <c r="AK156" s="17"/>
      <c r="AL156"/>
      <c r="AM156"/>
      <c r="AN156"/>
      <c r="AO156"/>
      <c r="AP156"/>
      <c r="AQ156" s="2"/>
      <c r="AR156"/>
      <c r="AS156" s="17"/>
      <c r="AT156"/>
      <c r="AU156"/>
      <c r="AV156"/>
      <c r="AW156"/>
      <c r="AX156" s="16" t="s">
        <v>1048</v>
      </c>
      <c r="AY156" s="16"/>
      <c r="AZ156"/>
      <c r="BA156"/>
      <c r="BB156"/>
      <c r="BC156"/>
      <c r="BD156"/>
      <c r="BE156"/>
      <c r="BF156"/>
      <c r="BG156" s="2" t="s">
        <v>1048</v>
      </c>
      <c r="BH156" s="16" t="s">
        <v>1048</v>
      </c>
      <c r="BI156" s="16">
        <v>1E-3</v>
      </c>
      <c r="BJ156" s="2" t="s">
        <v>1048</v>
      </c>
      <c r="BK156" s="28">
        <v>0.46452476572958501</v>
      </c>
      <c r="BL156" s="3">
        <v>0.91996320147194111</v>
      </c>
      <c r="BM156" s="3" t="s">
        <v>1048</v>
      </c>
      <c r="BN156" s="3">
        <v>0.28336010709504683</v>
      </c>
    </row>
    <row r="157" spans="1:66" ht="15" customHeight="1" x14ac:dyDescent="0.3">
      <c r="A157" s="2" t="s">
        <v>128</v>
      </c>
      <c r="B157" s="2"/>
      <c r="C157" s="2" t="s">
        <v>1034</v>
      </c>
      <c r="D157" s="14">
        <v>28.36</v>
      </c>
      <c r="E157" s="14">
        <v>114.58</v>
      </c>
      <c r="F157" s="2" t="s">
        <v>101</v>
      </c>
      <c r="G157" s="14" t="s">
        <v>101</v>
      </c>
      <c r="H157" s="14"/>
      <c r="I157" s="14"/>
      <c r="J157" s="16">
        <v>14.632530120481928</v>
      </c>
      <c r="K157" s="16" t="s">
        <v>1048</v>
      </c>
      <c r="L157" s="15" t="s">
        <v>14</v>
      </c>
      <c r="M157" s="2" t="s">
        <v>14</v>
      </c>
      <c r="N157" s="2">
        <v>5</v>
      </c>
      <c r="O157"/>
      <c r="P157"/>
      <c r="Q157" s="2"/>
      <c r="R157" s="2"/>
      <c r="S157" s="16">
        <v>31500</v>
      </c>
      <c r="T157" s="2" t="s">
        <v>1025</v>
      </c>
      <c r="U157" s="16" t="s">
        <v>1036</v>
      </c>
      <c r="V157" s="16"/>
      <c r="W157" s="2">
        <v>0.35</v>
      </c>
      <c r="X157" s="17" t="s">
        <v>117</v>
      </c>
      <c r="Y157" s="17" t="s">
        <v>1038</v>
      </c>
      <c r="Z157" s="2">
        <v>126</v>
      </c>
      <c r="AA157" s="2" t="s">
        <v>1037</v>
      </c>
      <c r="AB157" s="16"/>
      <c r="AC157"/>
      <c r="AD157" s="16"/>
      <c r="AE157"/>
      <c r="AF157"/>
      <c r="AG157" s="16"/>
      <c r="AH157" s="16"/>
      <c r="AI157"/>
      <c r="AJ157"/>
      <c r="AK157" s="17"/>
      <c r="AL157"/>
      <c r="AM157"/>
      <c r="AN157"/>
      <c r="AO157"/>
      <c r="AP157"/>
      <c r="AQ157" s="2"/>
      <c r="AR157"/>
      <c r="AS157" s="17"/>
      <c r="AT157"/>
      <c r="AU157"/>
      <c r="AV157"/>
      <c r="AW157"/>
      <c r="AX157" s="16">
        <v>2.4387550200803214</v>
      </c>
      <c r="AY157" s="28">
        <f>1.5*0.0035*1000</f>
        <v>5.25</v>
      </c>
      <c r="AZ157" s="2" t="s">
        <v>470</v>
      </c>
      <c r="BA157" s="2" t="s">
        <v>1035</v>
      </c>
      <c r="BB157"/>
      <c r="BC157" s="2">
        <v>6.71</v>
      </c>
      <c r="BD157">
        <v>126</v>
      </c>
      <c r="BE157" s="2" t="s">
        <v>325</v>
      </c>
      <c r="BF157"/>
      <c r="BG157" s="16">
        <v>0.46452476572958501</v>
      </c>
      <c r="BH157" s="16" t="s">
        <v>1048</v>
      </c>
      <c r="BI157" s="16">
        <v>4.64524765729585E-4</v>
      </c>
      <c r="BJ157" s="2" t="s">
        <v>1048</v>
      </c>
      <c r="BK157" s="28">
        <v>0.46452476572958501</v>
      </c>
      <c r="BL157" s="3" t="s">
        <v>1048</v>
      </c>
      <c r="BM157" s="3" t="s">
        <v>1048</v>
      </c>
      <c r="BN157" s="3">
        <v>0.16258366800535473</v>
      </c>
    </row>
    <row r="158" spans="1:66" ht="15" customHeight="1" x14ac:dyDescent="0.3">
      <c r="A158" s="2" t="s">
        <v>484</v>
      </c>
      <c r="B158" s="2"/>
      <c r="C158" s="2" t="s">
        <v>899</v>
      </c>
      <c r="D158" s="15">
        <v>-16.739999999999998</v>
      </c>
      <c r="E158" s="15">
        <v>-41.9</v>
      </c>
      <c r="F158" s="2" t="s">
        <v>101</v>
      </c>
      <c r="G158" s="14" t="s">
        <v>101</v>
      </c>
      <c r="H158" s="2"/>
      <c r="I158" s="2"/>
      <c r="J158" s="16">
        <v>12.230481862479698</v>
      </c>
      <c r="K158" s="16" t="s">
        <v>1048</v>
      </c>
      <c r="L158" s="15" t="s">
        <v>1051</v>
      </c>
      <c r="M158"/>
      <c r="N158"/>
      <c r="O158" s="3"/>
      <c r="P158" s="3"/>
      <c r="Q158" s="2"/>
      <c r="R158" s="2"/>
      <c r="S158" s="24">
        <f>44.6+14.9+5.6</f>
        <v>65.099999999999994</v>
      </c>
      <c r="T158" s="2" t="s">
        <v>249</v>
      </c>
      <c r="U158" s="16" t="s">
        <v>900</v>
      </c>
      <c r="V158"/>
      <c r="W158" s="3">
        <f>(1.09*59.5+0.87*5.6)/(59.5+5.6)</f>
        <v>1.0710752688172045</v>
      </c>
      <c r="X158" s="2" t="s">
        <v>117</v>
      </c>
      <c r="Y158" s="16" t="s">
        <v>902</v>
      </c>
      <c r="Z158" s="2">
        <v>49</v>
      </c>
      <c r="AA158" s="2" t="s">
        <v>901</v>
      </c>
      <c r="AB158" s="16"/>
      <c r="AC158"/>
      <c r="AD158" s="16"/>
      <c r="AE158"/>
      <c r="AF158"/>
      <c r="AG158" s="16"/>
      <c r="AH158" s="24"/>
      <c r="AI158"/>
      <c r="AJ158"/>
      <c r="AK158" s="17"/>
      <c r="AL158"/>
      <c r="AM158"/>
      <c r="AN158"/>
      <c r="AO158"/>
      <c r="AP158"/>
      <c r="AQ158" s="2"/>
      <c r="AR158"/>
      <c r="AS158" s="17"/>
      <c r="AT158"/>
      <c r="AU158"/>
      <c r="AV158"/>
      <c r="AW158"/>
      <c r="AX158" s="16" t="s">
        <v>1048</v>
      </c>
      <c r="AY158" s="16"/>
      <c r="AZ158"/>
      <c r="BA158"/>
      <c r="BB158"/>
      <c r="BC158"/>
      <c r="BD158"/>
      <c r="BE158"/>
      <c r="BF158"/>
      <c r="BG158" s="2" t="s">
        <v>1048</v>
      </c>
      <c r="BH158" s="16" t="s">
        <v>1048</v>
      </c>
      <c r="BI158" s="21">
        <v>0.18787222523010288</v>
      </c>
      <c r="BJ158" s="2" t="s">
        <v>1048</v>
      </c>
      <c r="BK158" s="28">
        <v>0.46452476572958501</v>
      </c>
      <c r="BL158" s="3">
        <v>1</v>
      </c>
      <c r="BM158" s="3" t="s">
        <v>1048</v>
      </c>
      <c r="BN158" s="3">
        <v>0.49754098832606419</v>
      </c>
    </row>
    <row r="159" spans="1:66" ht="15" customHeight="1" x14ac:dyDescent="0.3">
      <c r="A159" s="2" t="s">
        <v>676</v>
      </c>
      <c r="B159" s="2"/>
      <c r="C159" s="2" t="s">
        <v>802</v>
      </c>
      <c r="D159" s="15">
        <v>40.431158000000003</v>
      </c>
      <c r="E159" s="15">
        <v>-7.3405079999999998</v>
      </c>
      <c r="F159" s="2" t="s">
        <v>101</v>
      </c>
      <c r="G159" s="14" t="s">
        <v>101</v>
      </c>
      <c r="H159" s="14"/>
      <c r="I159" s="14"/>
      <c r="J159" s="16">
        <v>10.007240000000001</v>
      </c>
      <c r="K159" s="16" t="s">
        <v>1048</v>
      </c>
      <c r="L159" s="15" t="s">
        <v>1051</v>
      </c>
      <c r="M159"/>
      <c r="N159"/>
      <c r="O159" s="3"/>
      <c r="P159" s="3">
        <v>4.8805185046026676</v>
      </c>
      <c r="Q159" s="2" t="s">
        <v>1404</v>
      </c>
      <c r="R159" s="2">
        <v>4</v>
      </c>
      <c r="S159" s="16">
        <f t="shared" ref="S159:S162" si="5">+J159/1000</f>
        <v>1.0007240000000001E-2</v>
      </c>
      <c r="T159" t="s">
        <v>1452</v>
      </c>
      <c r="U159" s="16"/>
      <c r="V159" s="16"/>
      <c r="W159" s="3"/>
      <c r="X159" s="3"/>
      <c r="Y159" s="3"/>
      <c r="Z159" s="2">
        <v>2</v>
      </c>
      <c r="AA159"/>
      <c r="AB159" s="16"/>
      <c r="AC159"/>
      <c r="AD159" s="16"/>
      <c r="AE159"/>
      <c r="AF159"/>
      <c r="AG159" s="16"/>
      <c r="AH159" s="16"/>
      <c r="AI159"/>
      <c r="AJ159"/>
      <c r="AK159" s="17"/>
      <c r="AL159"/>
      <c r="AM159"/>
      <c r="AN159"/>
      <c r="AO159"/>
      <c r="AP159"/>
      <c r="AQ159" s="2"/>
      <c r="AR159"/>
      <c r="AS159" s="17"/>
      <c r="AT159"/>
      <c r="AU159"/>
      <c r="AV159"/>
      <c r="AW159"/>
      <c r="AX159" s="16" t="s">
        <v>1048</v>
      </c>
      <c r="AY159" s="16"/>
      <c r="AZ159"/>
      <c r="BA159"/>
      <c r="BB159"/>
      <c r="BC159"/>
      <c r="BD159"/>
      <c r="BE159"/>
      <c r="BF159"/>
      <c r="BG159" s="2" t="s">
        <v>1048</v>
      </c>
      <c r="BH159" s="16" t="s">
        <v>1048</v>
      </c>
      <c r="BI159" s="2">
        <v>1</v>
      </c>
      <c r="BJ159" s="2" t="s">
        <v>1048</v>
      </c>
      <c r="BK159" s="2" t="s">
        <v>1048</v>
      </c>
      <c r="BL159" s="3" t="s">
        <v>1048</v>
      </c>
      <c r="BM159" s="3" t="s">
        <v>1048</v>
      </c>
      <c r="BN159" s="3" t="s">
        <v>1048</v>
      </c>
    </row>
    <row r="160" spans="1:66" ht="15" customHeight="1" x14ac:dyDescent="0.3">
      <c r="A160" s="2" t="s">
        <v>235</v>
      </c>
      <c r="B160" s="2"/>
      <c r="C160" s="2" t="s">
        <v>803</v>
      </c>
      <c r="D160" s="15">
        <v>49.44</v>
      </c>
      <c r="E160" s="15">
        <v>-88.04</v>
      </c>
      <c r="F160" s="2" t="s">
        <v>101</v>
      </c>
      <c r="G160" s="14" t="s">
        <v>101</v>
      </c>
      <c r="H160" s="14"/>
      <c r="I160" s="14"/>
      <c r="J160" s="16">
        <v>10.007240000000001</v>
      </c>
      <c r="K160" s="16" t="s">
        <v>1048</v>
      </c>
      <c r="L160" s="15" t="s">
        <v>1051</v>
      </c>
      <c r="M160"/>
      <c r="N160"/>
      <c r="O160" s="3"/>
      <c r="P160" s="3"/>
      <c r="Q160" s="2"/>
      <c r="R160" s="2"/>
      <c r="S160" s="16">
        <f t="shared" si="5"/>
        <v>1.0007240000000001E-2</v>
      </c>
      <c r="T160" t="s">
        <v>1452</v>
      </c>
      <c r="U160" s="16"/>
      <c r="V160" s="16"/>
      <c r="W160" s="3"/>
      <c r="X160" s="3"/>
      <c r="Y160" s="3"/>
      <c r="Z160" s="2">
        <v>2</v>
      </c>
      <c r="AA160"/>
      <c r="AB160" s="16"/>
      <c r="AC160"/>
      <c r="AD160" s="16"/>
      <c r="AE160"/>
      <c r="AF160"/>
      <c r="AG160" s="16"/>
      <c r="AH160" s="16"/>
      <c r="AI160"/>
      <c r="AJ160"/>
      <c r="AK160" s="17"/>
      <c r="AL160"/>
      <c r="AM160"/>
      <c r="AN160"/>
      <c r="AO160"/>
      <c r="AP160"/>
      <c r="AQ160" s="2"/>
      <c r="AR160"/>
      <c r="AS160" s="17"/>
      <c r="AT160"/>
      <c r="AU160"/>
      <c r="AV160"/>
      <c r="AW160"/>
      <c r="AX160" s="16" t="s">
        <v>1048</v>
      </c>
      <c r="AY160" s="16"/>
      <c r="AZ160"/>
      <c r="BA160"/>
      <c r="BB160"/>
      <c r="BC160"/>
      <c r="BD160"/>
      <c r="BE160"/>
      <c r="BF160"/>
      <c r="BG160" s="2" t="s">
        <v>1048</v>
      </c>
      <c r="BH160" s="16" t="s">
        <v>1048</v>
      </c>
      <c r="BI160" s="2">
        <v>1</v>
      </c>
      <c r="BJ160" s="2" t="s">
        <v>1048</v>
      </c>
      <c r="BK160" s="2" t="s">
        <v>1048</v>
      </c>
      <c r="BL160" s="3" t="s">
        <v>1048</v>
      </c>
      <c r="BM160" s="3" t="s">
        <v>1048</v>
      </c>
      <c r="BN160" s="3" t="s">
        <v>1048</v>
      </c>
    </row>
    <row r="161" spans="1:66" ht="15" customHeight="1" x14ac:dyDescent="0.3">
      <c r="A161" s="2" t="s">
        <v>235</v>
      </c>
      <c r="B161" s="2"/>
      <c r="C161" s="2" t="s">
        <v>804</v>
      </c>
      <c r="D161" s="15">
        <v>54.86</v>
      </c>
      <c r="E161" s="15">
        <v>-99.71</v>
      </c>
      <c r="F161" s="2" t="s">
        <v>101</v>
      </c>
      <c r="G161" s="14" t="s">
        <v>101</v>
      </c>
      <c r="H161" s="14"/>
      <c r="I161" s="14"/>
      <c r="J161" s="16">
        <v>10.007240000000001</v>
      </c>
      <c r="K161" s="16" t="s">
        <v>1048</v>
      </c>
      <c r="L161" s="15" t="s">
        <v>1051</v>
      </c>
      <c r="M161"/>
      <c r="N161"/>
      <c r="O161" s="3"/>
      <c r="P161" s="3"/>
      <c r="Q161" s="2"/>
      <c r="R161" s="2"/>
      <c r="S161" s="16">
        <f t="shared" si="5"/>
        <v>1.0007240000000001E-2</v>
      </c>
      <c r="T161" t="s">
        <v>1452</v>
      </c>
      <c r="U161" s="16"/>
      <c r="V161" s="16"/>
      <c r="W161" s="3"/>
      <c r="X161" s="3"/>
      <c r="Y161" s="3"/>
      <c r="Z161" s="2">
        <v>2</v>
      </c>
      <c r="AA161"/>
      <c r="AB161" s="16"/>
      <c r="AC161"/>
      <c r="AD161" s="16"/>
      <c r="AE161"/>
      <c r="AF161"/>
      <c r="AG161" s="16"/>
      <c r="AH161" s="16"/>
      <c r="AI161"/>
      <c r="AJ161"/>
      <c r="AK161" s="17"/>
      <c r="AL161"/>
      <c r="AM161"/>
      <c r="AN161"/>
      <c r="AO161"/>
      <c r="AP161"/>
      <c r="AQ161" s="2"/>
      <c r="AR161"/>
      <c r="AS161" s="17"/>
      <c r="AT161"/>
      <c r="AU161"/>
      <c r="AV161"/>
      <c r="AW161"/>
      <c r="AX161" s="16" t="s">
        <v>1048</v>
      </c>
      <c r="AY161" s="16"/>
      <c r="AZ161"/>
      <c r="BA161"/>
      <c r="BB161"/>
      <c r="BC161"/>
      <c r="BD161"/>
      <c r="BE161"/>
      <c r="BF161"/>
      <c r="BG161" s="2" t="s">
        <v>1048</v>
      </c>
      <c r="BH161" s="16" t="s">
        <v>1048</v>
      </c>
      <c r="BI161" s="2">
        <v>1</v>
      </c>
      <c r="BJ161" s="2" t="s">
        <v>1048</v>
      </c>
      <c r="BK161" s="2" t="s">
        <v>1048</v>
      </c>
      <c r="BL161" s="3" t="s">
        <v>1048</v>
      </c>
      <c r="BM161" s="3" t="s">
        <v>1048</v>
      </c>
      <c r="BN161" s="3" t="s">
        <v>1048</v>
      </c>
    </row>
    <row r="162" spans="1:66" ht="15" customHeight="1" x14ac:dyDescent="0.3">
      <c r="A162" s="2" t="s">
        <v>235</v>
      </c>
      <c r="B162" s="2"/>
      <c r="C162" s="2" t="s">
        <v>805</v>
      </c>
      <c r="D162" s="15">
        <v>62.18</v>
      </c>
      <c r="E162" s="15">
        <v>-112.22</v>
      </c>
      <c r="F162" s="2" t="s">
        <v>101</v>
      </c>
      <c r="G162" s="14" t="s">
        <v>101</v>
      </c>
      <c r="H162" s="14"/>
      <c r="I162" s="14"/>
      <c r="J162" s="16">
        <v>10.007240000000001</v>
      </c>
      <c r="K162" s="16" t="s">
        <v>1048</v>
      </c>
      <c r="L162" s="15" t="s">
        <v>1051</v>
      </c>
      <c r="M162"/>
      <c r="N162"/>
      <c r="O162" s="3"/>
      <c r="P162" s="3"/>
      <c r="Q162" s="2"/>
      <c r="R162" s="2"/>
      <c r="S162" s="16">
        <f t="shared" si="5"/>
        <v>1.0007240000000001E-2</v>
      </c>
      <c r="T162" t="s">
        <v>1452</v>
      </c>
      <c r="U162" s="16"/>
      <c r="V162" s="16"/>
      <c r="W162" s="3"/>
      <c r="X162" s="3"/>
      <c r="Y162" s="3"/>
      <c r="Z162" s="2">
        <v>2</v>
      </c>
      <c r="AA162"/>
      <c r="AB162" s="16"/>
      <c r="AC162"/>
      <c r="AD162" s="16"/>
      <c r="AE162"/>
      <c r="AF162"/>
      <c r="AG162" s="16"/>
      <c r="AH162" s="16"/>
      <c r="AI162"/>
      <c r="AJ162"/>
      <c r="AK162" s="17"/>
      <c r="AL162"/>
      <c r="AM162"/>
      <c r="AN162"/>
      <c r="AO162"/>
      <c r="AP162"/>
      <c r="AQ162" s="2"/>
      <c r="AR162"/>
      <c r="AS162" s="17"/>
      <c r="AT162"/>
      <c r="AU162"/>
      <c r="AV162"/>
      <c r="AW162"/>
      <c r="AX162" s="16" t="s">
        <v>1048</v>
      </c>
      <c r="AY162" s="16"/>
      <c r="AZ162"/>
      <c r="BA162"/>
      <c r="BB162"/>
      <c r="BC162"/>
      <c r="BD162"/>
      <c r="BE162"/>
      <c r="BF162"/>
      <c r="BG162" s="2" t="s">
        <v>1048</v>
      </c>
      <c r="BH162" s="16" t="s">
        <v>1048</v>
      </c>
      <c r="BI162" s="2">
        <v>1</v>
      </c>
      <c r="BJ162" s="2" t="s">
        <v>1048</v>
      </c>
      <c r="BK162" s="2" t="s">
        <v>1048</v>
      </c>
      <c r="BL162" s="3" t="s">
        <v>1048</v>
      </c>
      <c r="BM162" s="3" t="s">
        <v>1048</v>
      </c>
      <c r="BN162" s="3" t="s">
        <v>1048</v>
      </c>
    </row>
    <row r="163" spans="1:66" ht="15" customHeight="1" x14ac:dyDescent="0.3">
      <c r="A163" s="2" t="s">
        <v>676</v>
      </c>
      <c r="B163" s="2"/>
      <c r="C163" s="2" t="s">
        <v>1015</v>
      </c>
      <c r="D163" s="14">
        <v>40.479999999999997</v>
      </c>
      <c r="E163" s="14">
        <v>-7.3</v>
      </c>
      <c r="F163" s="2" t="s">
        <v>101</v>
      </c>
      <c r="G163" s="14" t="s">
        <v>101</v>
      </c>
      <c r="H163" s="14"/>
      <c r="I163" s="14"/>
      <c r="J163" s="16">
        <v>8.064149933065595</v>
      </c>
      <c r="K163" s="16" t="s">
        <v>1048</v>
      </c>
      <c r="L163" s="15" t="s">
        <v>14</v>
      </c>
      <c r="M163" s="2" t="s">
        <v>14</v>
      </c>
      <c r="N163" s="2">
        <v>5</v>
      </c>
      <c r="O163"/>
      <c r="P163"/>
      <c r="Q163" s="2"/>
      <c r="R163" s="2"/>
      <c r="S163" s="16">
        <f>1400000*0.0124</f>
        <v>17360</v>
      </c>
      <c r="T163" s="2" t="s">
        <v>731</v>
      </c>
      <c r="U163" s="16"/>
      <c r="V163" s="16" t="s">
        <v>986</v>
      </c>
      <c r="W163" s="3">
        <v>1.24</v>
      </c>
      <c r="X163" s="17" t="s">
        <v>117</v>
      </c>
      <c r="Y163" s="17" t="s">
        <v>986</v>
      </c>
      <c r="Z163" s="2">
        <v>125</v>
      </c>
      <c r="AA163" s="2" t="s">
        <v>15</v>
      </c>
      <c r="AB163" s="16"/>
      <c r="AC163"/>
      <c r="AD163" s="16"/>
      <c r="AE163"/>
      <c r="AF163"/>
      <c r="AG163" s="16"/>
      <c r="AH163" s="16"/>
      <c r="AI163"/>
      <c r="AJ163"/>
      <c r="AK163" s="17"/>
      <c r="AL163"/>
      <c r="AM163"/>
      <c r="AN163"/>
      <c r="AO163"/>
      <c r="AP163"/>
      <c r="AQ163" s="2"/>
      <c r="AR163"/>
      <c r="AS163" s="17"/>
      <c r="AT163"/>
      <c r="AU163"/>
      <c r="AV163"/>
      <c r="AW163"/>
      <c r="AX163" s="16" t="s">
        <v>1048</v>
      </c>
      <c r="AY163" s="16"/>
      <c r="AZ163" s="2"/>
      <c r="BA163"/>
      <c r="BB163"/>
      <c r="BC163"/>
      <c r="BD163"/>
      <c r="BE163" s="2"/>
      <c r="BF163"/>
      <c r="BG163" s="16" t="s">
        <v>1048</v>
      </c>
      <c r="BH163" s="16" t="s">
        <v>1048</v>
      </c>
      <c r="BI163" s="16">
        <v>4.64524765729585E-4</v>
      </c>
      <c r="BJ163" s="2" t="s">
        <v>1048</v>
      </c>
      <c r="BK163" s="28">
        <v>0.46452476572958501</v>
      </c>
      <c r="BL163" s="3" t="s">
        <v>1048</v>
      </c>
      <c r="BM163" s="3" t="s">
        <v>1048</v>
      </c>
      <c r="BN163" s="3">
        <v>0.57601070950468536</v>
      </c>
    </row>
    <row r="164" spans="1:66" ht="15" customHeight="1" x14ac:dyDescent="0.3">
      <c r="A164" s="2" t="s">
        <v>235</v>
      </c>
      <c r="B164" s="2"/>
      <c r="C164" s="2" t="s">
        <v>995</v>
      </c>
      <c r="D164" s="14">
        <v>50.68</v>
      </c>
      <c r="E164" s="14">
        <v>-74.290000000000006</v>
      </c>
      <c r="F164" s="2" t="s">
        <v>101</v>
      </c>
      <c r="G164" s="14" t="s">
        <v>101</v>
      </c>
      <c r="H164" s="14"/>
      <c r="I164" s="14"/>
      <c r="J164" s="16">
        <v>1.9895800000000003</v>
      </c>
      <c r="K164" s="16" t="s">
        <v>1048</v>
      </c>
      <c r="L164" s="15" t="s">
        <v>1052</v>
      </c>
      <c r="M164" s="2" t="s">
        <v>268</v>
      </c>
      <c r="N164" s="2">
        <v>4</v>
      </c>
      <c r="O164" s="3"/>
      <c r="P164" s="3">
        <v>2.2368964869434529</v>
      </c>
      <c r="Q164" s="2" t="s">
        <v>1404</v>
      </c>
      <c r="R164" s="2">
        <v>4</v>
      </c>
      <c r="S164" s="16">
        <f>(192000*0.639/100)+(81000*0.647/100)+(49000*0.487/100)</f>
        <v>1989.5800000000004</v>
      </c>
      <c r="T164" s="2" t="s">
        <v>991</v>
      </c>
      <c r="U164" s="16" t="s">
        <v>996</v>
      </c>
      <c r="V164" s="16" t="s">
        <v>997</v>
      </c>
      <c r="W164" s="3">
        <f>(0.639+0.647+0.487)/3</f>
        <v>0.59100000000000008</v>
      </c>
      <c r="X164" s="17" t="s">
        <v>692</v>
      </c>
      <c r="Y164" s="17" t="s">
        <v>998</v>
      </c>
      <c r="Z164" s="2">
        <v>118</v>
      </c>
      <c r="AA164" s="2" t="s">
        <v>116</v>
      </c>
      <c r="AB164" s="16"/>
      <c r="AC164"/>
      <c r="AD164" s="16"/>
      <c r="AE164"/>
      <c r="AF164"/>
      <c r="AG164" s="16"/>
      <c r="AH164" s="16"/>
      <c r="AI164"/>
      <c r="AJ164"/>
      <c r="AK164" s="17">
        <f>142*1.35</f>
        <v>191.70000000000002</v>
      </c>
      <c r="AL164" s="2" t="s">
        <v>1000</v>
      </c>
      <c r="AM164" s="2" t="s">
        <v>121</v>
      </c>
      <c r="AN164" s="27">
        <v>0.06</v>
      </c>
      <c r="AO164" s="18" t="s">
        <v>47</v>
      </c>
      <c r="AP164" s="2" t="s">
        <v>1001</v>
      </c>
      <c r="AQ164" s="2">
        <v>118</v>
      </c>
      <c r="AR164" s="2" t="s">
        <v>999</v>
      </c>
      <c r="AS164" s="17"/>
      <c r="AT164" s="2"/>
      <c r="AU164" s="2"/>
      <c r="AV164"/>
      <c r="AW164" s="2"/>
      <c r="AX164" s="16" t="s">
        <v>1048</v>
      </c>
      <c r="AY164" s="16"/>
      <c r="AZ164"/>
      <c r="BA164"/>
      <c r="BB164"/>
      <c r="BC164"/>
      <c r="BD164"/>
      <c r="BE164"/>
      <c r="BF164"/>
      <c r="BG164" s="2" t="s">
        <v>1048</v>
      </c>
      <c r="BH164" s="16" t="s">
        <v>1048</v>
      </c>
      <c r="BI164" s="16">
        <v>1E-3</v>
      </c>
      <c r="BJ164" s="2" t="s">
        <v>1048</v>
      </c>
      <c r="BK164" s="2">
        <v>1</v>
      </c>
      <c r="BL164" s="3">
        <v>0.91996320147194111</v>
      </c>
      <c r="BM164" s="3" t="s">
        <v>1048</v>
      </c>
      <c r="BN164" s="3">
        <v>0.59100000000000008</v>
      </c>
    </row>
    <row r="165" spans="1:66" ht="15" customHeight="1" x14ac:dyDescent="0.3">
      <c r="A165" s="2" t="s">
        <v>235</v>
      </c>
      <c r="B165" s="2"/>
      <c r="C165" s="2" t="s">
        <v>816</v>
      </c>
      <c r="D165" s="15">
        <v>49.3</v>
      </c>
      <c r="E165" s="15">
        <v>-87.9</v>
      </c>
      <c r="F165" s="2" t="s">
        <v>101</v>
      </c>
      <c r="G165" s="14" t="s">
        <v>101</v>
      </c>
      <c r="H165" s="14"/>
      <c r="I165" s="14"/>
      <c r="J165" s="16">
        <v>1.0007240000000002</v>
      </c>
      <c r="K165" s="16" t="s">
        <v>1048</v>
      </c>
      <c r="L165" s="15" t="s">
        <v>1051</v>
      </c>
      <c r="M165"/>
      <c r="N165"/>
      <c r="O165" s="3"/>
      <c r="P165" s="3"/>
      <c r="Q165" s="2"/>
      <c r="R165" s="2"/>
      <c r="S165" s="21">
        <f>+J165/1000</f>
        <v>1.0007240000000001E-3</v>
      </c>
      <c r="T165" t="s">
        <v>1452</v>
      </c>
      <c r="U165" s="16"/>
      <c r="V165" s="16"/>
      <c r="W165" s="3"/>
      <c r="X165" s="3"/>
      <c r="Y165" s="3"/>
      <c r="Z165" s="2">
        <v>2</v>
      </c>
      <c r="AA165"/>
      <c r="AB165" s="16"/>
      <c r="AC165"/>
      <c r="AD165" s="16"/>
      <c r="AE165"/>
      <c r="AF165"/>
      <c r="AG165" s="16"/>
      <c r="AH165" s="16"/>
      <c r="AI165"/>
      <c r="AJ165"/>
      <c r="AK165" s="17"/>
      <c r="AL165"/>
      <c r="AM165"/>
      <c r="AN165"/>
      <c r="AO165"/>
      <c r="AP165"/>
      <c r="AQ165" s="2"/>
      <c r="AR165"/>
      <c r="AS165" s="17"/>
      <c r="AT165"/>
      <c r="AU165"/>
      <c r="AV165"/>
      <c r="AW165"/>
      <c r="AX165" s="16" t="s">
        <v>1048</v>
      </c>
      <c r="AY165" s="16"/>
      <c r="AZ165"/>
      <c r="BA165"/>
      <c r="BB165"/>
      <c r="BC165"/>
      <c r="BD165"/>
      <c r="BE165"/>
      <c r="BF165"/>
      <c r="BG165" s="2" t="s">
        <v>1048</v>
      </c>
      <c r="BH165" s="16" t="s">
        <v>1048</v>
      </c>
      <c r="BI165" s="2">
        <v>1</v>
      </c>
      <c r="BJ165" s="2" t="s">
        <v>1048</v>
      </c>
      <c r="BK165" s="2" t="s">
        <v>1048</v>
      </c>
      <c r="BL165" s="3" t="s">
        <v>1048</v>
      </c>
      <c r="BM165" s="3" t="s">
        <v>1048</v>
      </c>
      <c r="BN165" s="3" t="s">
        <v>1048</v>
      </c>
    </row>
    <row r="166" spans="1:66" ht="14.4" x14ac:dyDescent="0.3">
      <c r="AQ166" s="2"/>
      <c r="AV166"/>
      <c r="BD166"/>
    </row>
  </sheetData>
  <autoFilter ref="A5:BN165" xr:uid="{D5709B44-35F5-444F-91B0-E1D03C70E892}"/>
  <hyperlinks>
    <hyperlink ref="BE12" r:id="rId1" xr:uid="{49CD9CD3-B2AA-429C-80AA-580B068C1F01}"/>
    <hyperlink ref="AA17" r:id="rId2" xr:uid="{5F07B4BB-F4A6-40A1-9A67-64A437A20E10}"/>
    <hyperlink ref="BE59" r:id="rId3" xr:uid="{25455CB6-494E-4599-ABFC-1603F43E60B0}"/>
    <hyperlink ref="BE74" r:id="rId4" xr:uid="{D9E2C927-FA52-405E-AB91-95D9CA3A8C05}"/>
    <hyperlink ref="AW74" r:id="rId5" display="pg 21-2, https://www.lithiumsouth.com/wp-content/uploads/HMN-Final-Report-190808.pdf," xr:uid="{9588C7EA-7833-4795-86A9-91BCD7FA6BBF}"/>
    <hyperlink ref="BE44" r:id="rId6" xr:uid="{32AAC5EF-1821-476A-97CF-1D2130564777}"/>
    <hyperlink ref="BE126" r:id="rId7" xr:uid="{E812138F-1E20-4AF3-A356-100CE39A9057}"/>
    <hyperlink ref="BE72" r:id="rId8" xr:uid="{739E7C91-19E6-46E4-83DA-053406781C5F}"/>
    <hyperlink ref="BE140" r:id="rId9" xr:uid="{8CFBA750-FDC2-4426-9D20-44AD98494E97}"/>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1A22-58D6-410F-AC7C-D727DE7783D3}">
  <dimension ref="A1:F197"/>
  <sheetViews>
    <sheetView tabSelected="1" workbookViewId="0">
      <pane ySplit="4" topLeftCell="A5" activePane="bottomLeft" state="frozen"/>
      <selection pane="bottomLeft" activeCell="C7" sqref="C7"/>
    </sheetView>
  </sheetViews>
  <sheetFormatPr defaultRowHeight="14.4" x14ac:dyDescent="0.3"/>
  <cols>
    <col min="2" max="6" width="21.6640625" customWidth="1"/>
  </cols>
  <sheetData>
    <row r="1" spans="1:6" x14ac:dyDescent="0.3">
      <c r="A1" s="40" t="s">
        <v>1220</v>
      </c>
    </row>
    <row r="2" spans="1:6" x14ac:dyDescent="0.3">
      <c r="A2" s="40" t="s">
        <v>1443</v>
      </c>
    </row>
    <row r="3" spans="1:6" x14ac:dyDescent="0.3">
      <c r="A3" s="40"/>
    </row>
    <row r="4" spans="1:6" x14ac:dyDescent="0.3">
      <c r="A4" s="48" t="s">
        <v>1412</v>
      </c>
      <c r="B4" s="45" t="s">
        <v>1221</v>
      </c>
      <c r="C4" s="45" t="s">
        <v>1222</v>
      </c>
      <c r="D4" s="45" t="s">
        <v>1223</v>
      </c>
      <c r="E4" s="45" t="s">
        <v>1224</v>
      </c>
      <c r="F4" s="45" t="s">
        <v>1225</v>
      </c>
    </row>
    <row r="5" spans="1:6" x14ac:dyDescent="0.3">
      <c r="A5">
        <v>1</v>
      </c>
      <c r="B5" s="35" t="s">
        <v>299</v>
      </c>
      <c r="C5" s="2">
        <v>2023</v>
      </c>
      <c r="D5" s="2" t="s">
        <v>1399</v>
      </c>
      <c r="E5" s="2" t="s">
        <v>1261</v>
      </c>
      <c r="F5" s="6"/>
    </row>
    <row r="6" spans="1:6" x14ac:dyDescent="0.3">
      <c r="A6">
        <v>2</v>
      </c>
      <c r="B6" s="2" t="s">
        <v>1413</v>
      </c>
      <c r="C6" s="2">
        <v>2023</v>
      </c>
      <c r="D6" s="2" t="s">
        <v>1417</v>
      </c>
      <c r="E6" s="2" t="s">
        <v>1271</v>
      </c>
      <c r="F6" s="6"/>
    </row>
    <row r="7" spans="1:6" x14ac:dyDescent="0.3">
      <c r="A7">
        <v>3</v>
      </c>
      <c r="B7" s="2" t="s">
        <v>1414</v>
      </c>
      <c r="C7" s="2">
        <v>2020</v>
      </c>
      <c r="D7" s="2" t="s">
        <v>1418</v>
      </c>
      <c r="E7" s="2" t="s">
        <v>1271</v>
      </c>
      <c r="F7" s="6"/>
    </row>
    <row r="8" spans="1:6" x14ac:dyDescent="0.3">
      <c r="A8">
        <v>4</v>
      </c>
      <c r="B8" s="2" t="s">
        <v>1415</v>
      </c>
      <c r="C8" s="2">
        <v>2023</v>
      </c>
      <c r="D8" s="2" t="s">
        <v>130</v>
      </c>
      <c r="E8" s="2" t="s">
        <v>1261</v>
      </c>
      <c r="F8" s="6"/>
    </row>
    <row r="9" spans="1:6" x14ac:dyDescent="0.3">
      <c r="A9">
        <v>5</v>
      </c>
      <c r="B9" s="2" t="s">
        <v>1410</v>
      </c>
      <c r="C9" s="2">
        <v>2024</v>
      </c>
      <c r="D9" s="2" t="s">
        <v>1054</v>
      </c>
      <c r="E9" s="2" t="s">
        <v>1295</v>
      </c>
      <c r="F9" s="6">
        <v>45444</v>
      </c>
    </row>
    <row r="10" spans="1:6" ht="15" customHeight="1" x14ac:dyDescent="0.3">
      <c r="A10">
        <v>6</v>
      </c>
      <c r="B10" s="2" t="s">
        <v>1226</v>
      </c>
      <c r="C10" s="10">
        <v>2022</v>
      </c>
      <c r="D10" s="10" t="s">
        <v>1227</v>
      </c>
      <c r="E10" s="10" t="s">
        <v>1276</v>
      </c>
      <c r="F10" s="6"/>
    </row>
    <row r="11" spans="1:6" x14ac:dyDescent="0.3">
      <c r="A11">
        <v>7</v>
      </c>
      <c r="B11" s="2" t="s">
        <v>342</v>
      </c>
      <c r="C11" s="2">
        <v>2019</v>
      </c>
      <c r="D11" s="2" t="s">
        <v>1228</v>
      </c>
      <c r="E11" s="10" t="s">
        <v>190</v>
      </c>
      <c r="F11" s="6"/>
    </row>
    <row r="12" spans="1:6" x14ac:dyDescent="0.3">
      <c r="A12">
        <v>8</v>
      </c>
      <c r="B12" s="8" t="s">
        <v>1229</v>
      </c>
      <c r="C12" s="2">
        <v>2019</v>
      </c>
      <c r="D12" s="2" t="s">
        <v>1230</v>
      </c>
      <c r="E12" s="2" t="s">
        <v>1231</v>
      </c>
      <c r="F12" s="6"/>
    </row>
    <row r="13" spans="1:6" x14ac:dyDescent="0.3">
      <c r="A13">
        <v>9</v>
      </c>
      <c r="B13" s="7" t="s">
        <v>1232</v>
      </c>
      <c r="C13" s="2">
        <v>2020</v>
      </c>
      <c r="D13" s="2" t="s">
        <v>1233</v>
      </c>
      <c r="E13" s="2" t="s">
        <v>1276</v>
      </c>
      <c r="F13" s="6"/>
    </row>
    <row r="14" spans="1:6" x14ac:dyDescent="0.3">
      <c r="A14">
        <v>10</v>
      </c>
      <c r="B14" s="7" t="s">
        <v>134</v>
      </c>
      <c r="C14" s="2">
        <v>2024</v>
      </c>
      <c r="D14" s="2" t="s">
        <v>1234</v>
      </c>
      <c r="E14" s="2" t="s">
        <v>1295</v>
      </c>
      <c r="F14" s="6">
        <v>45351</v>
      </c>
    </row>
    <row r="15" spans="1:6" x14ac:dyDescent="0.3">
      <c r="A15">
        <v>11</v>
      </c>
      <c r="B15" s="7" t="s">
        <v>1235</v>
      </c>
      <c r="C15" s="2">
        <v>2023</v>
      </c>
      <c r="D15" s="2" t="s">
        <v>1236</v>
      </c>
      <c r="E15" s="2" t="s">
        <v>1231</v>
      </c>
      <c r="F15" s="6"/>
    </row>
    <row r="16" spans="1:6" x14ac:dyDescent="0.3">
      <c r="A16">
        <v>12</v>
      </c>
      <c r="B16" s="8" t="s">
        <v>1237</v>
      </c>
      <c r="C16" s="2">
        <v>2016</v>
      </c>
      <c r="D16" s="2" t="s">
        <v>1238</v>
      </c>
      <c r="E16" s="2" t="s">
        <v>1231</v>
      </c>
      <c r="F16" s="6"/>
    </row>
    <row r="17" spans="1:6" x14ac:dyDescent="0.3">
      <c r="A17">
        <v>13</v>
      </c>
      <c r="B17" s="7" t="s">
        <v>1239</v>
      </c>
      <c r="C17" s="2">
        <v>2021</v>
      </c>
      <c r="D17" s="2" t="s">
        <v>1240</v>
      </c>
      <c r="E17" s="2" t="s">
        <v>1276</v>
      </c>
      <c r="F17" s="6"/>
    </row>
    <row r="18" spans="1:6" x14ac:dyDescent="0.3">
      <c r="A18">
        <v>14</v>
      </c>
      <c r="B18" s="7" t="s">
        <v>1241</v>
      </c>
      <c r="C18" s="2">
        <v>2023</v>
      </c>
      <c r="D18" s="2" t="s">
        <v>1242</v>
      </c>
      <c r="E18" s="2" t="s">
        <v>1295</v>
      </c>
      <c r="F18" s="6">
        <v>45352</v>
      </c>
    </row>
    <row r="19" spans="1:6" x14ac:dyDescent="0.3">
      <c r="A19">
        <v>15</v>
      </c>
      <c r="B19" s="7" t="s">
        <v>1243</v>
      </c>
      <c r="C19" s="2">
        <v>2021</v>
      </c>
      <c r="D19" s="2" t="s">
        <v>1244</v>
      </c>
      <c r="E19" s="2" t="s">
        <v>190</v>
      </c>
      <c r="F19" s="6"/>
    </row>
    <row r="20" spans="1:6" x14ac:dyDescent="0.3">
      <c r="A20">
        <v>16</v>
      </c>
      <c r="B20" s="7" t="s">
        <v>1245</v>
      </c>
      <c r="C20" s="2">
        <v>2019</v>
      </c>
      <c r="D20" s="2" t="s">
        <v>1246</v>
      </c>
      <c r="E20" s="2" t="s">
        <v>190</v>
      </c>
      <c r="F20" s="6">
        <v>45352</v>
      </c>
    </row>
    <row r="21" spans="1:6" x14ac:dyDescent="0.3">
      <c r="A21">
        <v>17</v>
      </c>
      <c r="B21" s="7" t="s">
        <v>1247</v>
      </c>
      <c r="C21" s="2">
        <v>2016</v>
      </c>
      <c r="D21" s="2" t="s">
        <v>1248</v>
      </c>
      <c r="E21" s="2" t="s">
        <v>190</v>
      </c>
      <c r="F21" s="6">
        <v>45352</v>
      </c>
    </row>
    <row r="22" spans="1:6" x14ac:dyDescent="0.3">
      <c r="A22">
        <v>18</v>
      </c>
      <c r="B22" s="7" t="s">
        <v>1249</v>
      </c>
      <c r="C22" s="2">
        <v>2023</v>
      </c>
      <c r="D22" s="2" t="s">
        <v>1250</v>
      </c>
      <c r="E22" s="2" t="s">
        <v>190</v>
      </c>
      <c r="F22" s="6"/>
    </row>
    <row r="23" spans="1:6" x14ac:dyDescent="0.3">
      <c r="A23">
        <v>19</v>
      </c>
      <c r="B23" s="7" t="s">
        <v>1251</v>
      </c>
      <c r="C23" s="2">
        <v>2022</v>
      </c>
      <c r="D23" s="2" t="s">
        <v>1252</v>
      </c>
      <c r="E23" s="2" t="s">
        <v>190</v>
      </c>
      <c r="F23" s="6">
        <v>45352</v>
      </c>
    </row>
    <row r="24" spans="1:6" x14ac:dyDescent="0.3">
      <c r="A24">
        <v>20</v>
      </c>
      <c r="B24" s="7" t="s">
        <v>705</v>
      </c>
      <c r="C24" s="2">
        <v>2020</v>
      </c>
      <c r="D24" s="2" t="s">
        <v>1253</v>
      </c>
      <c r="E24" s="2" t="s">
        <v>190</v>
      </c>
      <c r="F24" s="6"/>
    </row>
    <row r="25" spans="1:6" x14ac:dyDescent="0.3">
      <c r="A25">
        <v>21</v>
      </c>
      <c r="B25" s="7" t="s">
        <v>1254</v>
      </c>
      <c r="C25" s="2">
        <v>2023</v>
      </c>
      <c r="D25" s="2" t="s">
        <v>1255</v>
      </c>
      <c r="E25" s="2" t="s">
        <v>1261</v>
      </c>
      <c r="F25" s="6">
        <v>45352</v>
      </c>
    </row>
    <row r="26" spans="1:6" x14ac:dyDescent="0.3">
      <c r="A26">
        <v>22</v>
      </c>
      <c r="B26" s="7" t="s">
        <v>729</v>
      </c>
      <c r="C26" s="2">
        <v>2023</v>
      </c>
      <c r="D26" s="2" t="s">
        <v>1236</v>
      </c>
      <c r="E26" s="2" t="s">
        <v>1276</v>
      </c>
      <c r="F26" s="6"/>
    </row>
    <row r="27" spans="1:6" x14ac:dyDescent="0.3">
      <c r="A27">
        <v>23</v>
      </c>
      <c r="B27" s="7" t="s">
        <v>1256</v>
      </c>
      <c r="C27" s="2">
        <v>2023</v>
      </c>
      <c r="D27" s="2" t="s">
        <v>1236</v>
      </c>
      <c r="E27" s="2" t="s">
        <v>190</v>
      </c>
      <c r="F27" s="6"/>
    </row>
    <row r="28" spans="1:6" x14ac:dyDescent="0.3">
      <c r="A28">
        <v>24</v>
      </c>
      <c r="B28" s="7" t="s">
        <v>1257</v>
      </c>
      <c r="C28" s="2">
        <v>2022</v>
      </c>
      <c r="D28" s="2" t="s">
        <v>1258</v>
      </c>
      <c r="E28" s="2" t="s">
        <v>190</v>
      </c>
      <c r="F28" s="6"/>
    </row>
    <row r="29" spans="1:6" x14ac:dyDescent="0.3">
      <c r="A29">
        <v>25</v>
      </c>
      <c r="B29" s="7" t="s">
        <v>1259</v>
      </c>
      <c r="C29" s="2">
        <v>2023</v>
      </c>
      <c r="D29" s="2" t="s">
        <v>1260</v>
      </c>
      <c r="E29" s="2" t="s">
        <v>1261</v>
      </c>
      <c r="F29" s="6"/>
    </row>
    <row r="30" spans="1:6" x14ac:dyDescent="0.3">
      <c r="A30">
        <v>26</v>
      </c>
      <c r="B30" s="7" t="s">
        <v>1262</v>
      </c>
      <c r="C30" s="2">
        <v>2020</v>
      </c>
      <c r="D30" s="2" t="s">
        <v>1263</v>
      </c>
      <c r="E30" s="2" t="s">
        <v>190</v>
      </c>
      <c r="F30" s="6"/>
    </row>
    <row r="31" spans="1:6" x14ac:dyDescent="0.3">
      <c r="A31">
        <v>27</v>
      </c>
      <c r="B31" s="7" t="s">
        <v>1264</v>
      </c>
      <c r="C31" s="2">
        <v>2022</v>
      </c>
      <c r="D31" s="2" t="s">
        <v>1265</v>
      </c>
      <c r="E31" s="2" t="s">
        <v>190</v>
      </c>
      <c r="F31" s="6"/>
    </row>
    <row r="32" spans="1:6" x14ac:dyDescent="0.3">
      <c r="A32">
        <v>28</v>
      </c>
      <c r="B32" s="7" t="s">
        <v>171</v>
      </c>
      <c r="C32" s="2">
        <v>2019</v>
      </c>
      <c r="D32" s="2" t="s">
        <v>1266</v>
      </c>
      <c r="E32" s="2" t="s">
        <v>1276</v>
      </c>
      <c r="F32" s="6"/>
    </row>
    <row r="33" spans="1:6" x14ac:dyDescent="0.3">
      <c r="A33">
        <v>29</v>
      </c>
      <c r="B33" s="7" t="s">
        <v>1267</v>
      </c>
      <c r="C33" s="2">
        <v>2019</v>
      </c>
      <c r="D33" s="2" t="s">
        <v>1268</v>
      </c>
      <c r="E33" s="2" t="s">
        <v>1295</v>
      </c>
      <c r="F33" s="6">
        <v>45355</v>
      </c>
    </row>
    <row r="34" spans="1:6" x14ac:dyDescent="0.3">
      <c r="A34">
        <v>30</v>
      </c>
      <c r="B34" s="7" t="s">
        <v>1269</v>
      </c>
      <c r="C34" s="2">
        <v>2023</v>
      </c>
      <c r="D34" s="2" t="s">
        <v>1270</v>
      </c>
      <c r="E34" s="2" t="s">
        <v>1271</v>
      </c>
      <c r="F34" s="6"/>
    </row>
    <row r="35" spans="1:6" x14ac:dyDescent="0.3">
      <c r="A35">
        <v>31</v>
      </c>
      <c r="B35" s="8" t="s">
        <v>1272</v>
      </c>
      <c r="C35" s="2">
        <v>2021</v>
      </c>
      <c r="D35" s="2" t="s">
        <v>1273</v>
      </c>
      <c r="E35" s="2" t="s">
        <v>190</v>
      </c>
      <c r="F35" s="6"/>
    </row>
    <row r="36" spans="1:6" x14ac:dyDescent="0.3">
      <c r="A36">
        <v>32</v>
      </c>
      <c r="B36" s="7" t="s">
        <v>1274</v>
      </c>
      <c r="C36" s="2">
        <v>2023</v>
      </c>
      <c r="D36" s="30" t="s">
        <v>1275</v>
      </c>
      <c r="E36" s="2" t="s">
        <v>1276</v>
      </c>
      <c r="F36" s="6"/>
    </row>
    <row r="37" spans="1:6" x14ac:dyDescent="0.3">
      <c r="A37">
        <v>33</v>
      </c>
      <c r="B37" s="7" t="s">
        <v>225</v>
      </c>
      <c r="C37" s="2">
        <v>2018</v>
      </c>
      <c r="D37" s="2" t="s">
        <v>1277</v>
      </c>
      <c r="E37" s="2" t="s">
        <v>1276</v>
      </c>
      <c r="F37" s="6"/>
    </row>
    <row r="38" spans="1:6" x14ac:dyDescent="0.3">
      <c r="A38">
        <v>34</v>
      </c>
      <c r="B38" s="7" t="s">
        <v>1278</v>
      </c>
      <c r="C38" s="2">
        <v>2020</v>
      </c>
      <c r="D38" s="2" t="s">
        <v>1279</v>
      </c>
      <c r="E38" s="2" t="s">
        <v>1276</v>
      </c>
      <c r="F38" s="6"/>
    </row>
    <row r="39" spans="1:6" x14ac:dyDescent="0.3">
      <c r="A39">
        <v>35</v>
      </c>
      <c r="B39" s="7" t="s">
        <v>360</v>
      </c>
      <c r="C39" s="2">
        <v>2022</v>
      </c>
      <c r="D39" s="2" t="s">
        <v>1280</v>
      </c>
      <c r="E39" s="2" t="s">
        <v>1276</v>
      </c>
      <c r="F39" s="6"/>
    </row>
    <row r="40" spans="1:6" x14ac:dyDescent="0.3">
      <c r="A40">
        <v>36</v>
      </c>
      <c r="B40" s="7" t="s">
        <v>237</v>
      </c>
      <c r="C40" s="2">
        <v>2023</v>
      </c>
      <c r="D40" s="2" t="s">
        <v>1281</v>
      </c>
      <c r="E40" s="2" t="s">
        <v>1276</v>
      </c>
      <c r="F40" s="6"/>
    </row>
    <row r="41" spans="1:6" x14ac:dyDescent="0.3">
      <c r="A41">
        <v>37</v>
      </c>
      <c r="B41" s="7" t="s">
        <v>1282</v>
      </c>
      <c r="C41" s="2">
        <v>2021</v>
      </c>
      <c r="D41" s="2" t="s">
        <v>1283</v>
      </c>
      <c r="E41" s="2" t="s">
        <v>1276</v>
      </c>
      <c r="F41" s="6"/>
    </row>
    <row r="42" spans="1:6" x14ac:dyDescent="0.3">
      <c r="A42">
        <v>38</v>
      </c>
      <c r="B42" s="7" t="s">
        <v>1284</v>
      </c>
      <c r="C42" s="2">
        <v>2022</v>
      </c>
      <c r="D42" s="2" t="s">
        <v>1285</v>
      </c>
      <c r="E42" s="2" t="s">
        <v>1276</v>
      </c>
      <c r="F42" s="6"/>
    </row>
    <row r="43" spans="1:6" x14ac:dyDescent="0.3">
      <c r="A43">
        <v>39</v>
      </c>
      <c r="B43" s="7" t="s">
        <v>1286</v>
      </c>
      <c r="C43" s="2">
        <v>2023</v>
      </c>
      <c r="D43" s="2" t="s">
        <v>1236</v>
      </c>
      <c r="E43" s="2" t="s">
        <v>190</v>
      </c>
      <c r="F43" s="6"/>
    </row>
    <row r="44" spans="1:6" x14ac:dyDescent="0.3">
      <c r="A44">
        <v>40</v>
      </c>
      <c r="B44" s="7" t="s">
        <v>1287</v>
      </c>
      <c r="C44" s="2">
        <v>2023</v>
      </c>
      <c r="D44" s="2" t="s">
        <v>1288</v>
      </c>
      <c r="E44" s="2" t="s">
        <v>190</v>
      </c>
      <c r="F44" s="6"/>
    </row>
    <row r="45" spans="1:6" x14ac:dyDescent="0.3">
      <c r="A45">
        <v>41</v>
      </c>
      <c r="B45" s="46" t="s">
        <v>1289</v>
      </c>
      <c r="C45" s="2">
        <v>2023</v>
      </c>
      <c r="D45" s="2" t="s">
        <v>1290</v>
      </c>
      <c r="E45" s="2" t="s">
        <v>190</v>
      </c>
      <c r="F45" s="6"/>
    </row>
    <row r="46" spans="1:6" x14ac:dyDescent="0.3">
      <c r="A46">
        <v>42</v>
      </c>
      <c r="B46" s="46" t="s">
        <v>1291</v>
      </c>
      <c r="C46" s="2">
        <v>2023</v>
      </c>
      <c r="D46" s="2" t="s">
        <v>1292</v>
      </c>
      <c r="E46" s="2" t="s">
        <v>190</v>
      </c>
      <c r="F46" s="6"/>
    </row>
    <row r="47" spans="1:6" x14ac:dyDescent="0.3">
      <c r="A47">
        <v>43</v>
      </c>
      <c r="B47" s="7" t="s">
        <v>1293</v>
      </c>
      <c r="C47" s="2">
        <v>2021</v>
      </c>
      <c r="D47" s="2" t="s">
        <v>1292</v>
      </c>
      <c r="E47" s="2" t="s">
        <v>190</v>
      </c>
      <c r="F47" s="6"/>
    </row>
    <row r="48" spans="1:6" x14ac:dyDescent="0.3">
      <c r="A48">
        <v>44</v>
      </c>
      <c r="B48" s="8" t="s">
        <v>1294</v>
      </c>
      <c r="C48" s="2">
        <v>2023</v>
      </c>
      <c r="D48" s="2" t="s">
        <v>1295</v>
      </c>
      <c r="E48" s="2" t="s">
        <v>190</v>
      </c>
      <c r="F48" s="6">
        <v>45357</v>
      </c>
    </row>
    <row r="49" spans="1:6" x14ac:dyDescent="0.3">
      <c r="A49">
        <v>45</v>
      </c>
      <c r="B49" s="7" t="s">
        <v>724</v>
      </c>
      <c r="C49" s="2">
        <v>2021</v>
      </c>
      <c r="D49" s="2" t="s">
        <v>1296</v>
      </c>
      <c r="E49" s="2" t="s">
        <v>190</v>
      </c>
      <c r="F49" s="6"/>
    </row>
    <row r="50" spans="1:6" x14ac:dyDescent="0.3">
      <c r="A50">
        <v>46</v>
      </c>
      <c r="B50" s="7" t="s">
        <v>1297</v>
      </c>
      <c r="C50" s="2">
        <v>2023</v>
      </c>
      <c r="D50" s="2" t="s">
        <v>1298</v>
      </c>
      <c r="E50" s="2" t="s">
        <v>1276</v>
      </c>
      <c r="F50" s="6"/>
    </row>
    <row r="51" spans="1:6" x14ac:dyDescent="0.3">
      <c r="A51">
        <v>47</v>
      </c>
      <c r="B51" s="7" t="s">
        <v>406</v>
      </c>
      <c r="C51" s="2">
        <v>2019</v>
      </c>
      <c r="D51" s="2" t="s">
        <v>1299</v>
      </c>
      <c r="E51" s="2" t="s">
        <v>190</v>
      </c>
      <c r="F51" s="6"/>
    </row>
    <row r="52" spans="1:6" x14ac:dyDescent="0.3">
      <c r="A52">
        <v>48</v>
      </c>
      <c r="B52" s="7" t="s">
        <v>1300</v>
      </c>
      <c r="C52" s="2">
        <v>2022</v>
      </c>
      <c r="D52" s="2" t="s">
        <v>1301</v>
      </c>
      <c r="E52" s="2" t="s">
        <v>190</v>
      </c>
      <c r="F52" s="6"/>
    </row>
    <row r="53" spans="1:6" x14ac:dyDescent="0.3">
      <c r="A53">
        <v>49</v>
      </c>
      <c r="B53" s="47" t="s">
        <v>1302</v>
      </c>
      <c r="C53" s="2">
        <v>2022</v>
      </c>
      <c r="D53" s="2" t="s">
        <v>1303</v>
      </c>
      <c r="E53" s="2" t="s">
        <v>1276</v>
      </c>
      <c r="F53" s="6"/>
    </row>
    <row r="54" spans="1:6" x14ac:dyDescent="0.3">
      <c r="A54">
        <v>50</v>
      </c>
      <c r="B54" s="7" t="s">
        <v>1304</v>
      </c>
      <c r="C54" s="2">
        <v>2023</v>
      </c>
      <c r="D54" s="2" t="s">
        <v>1305</v>
      </c>
      <c r="E54" s="2" t="s">
        <v>1276</v>
      </c>
      <c r="F54" s="6">
        <v>45365</v>
      </c>
    </row>
    <row r="55" spans="1:6" x14ac:dyDescent="0.3">
      <c r="A55">
        <v>51</v>
      </c>
      <c r="B55" s="7" t="s">
        <v>1306</v>
      </c>
      <c r="C55" s="2">
        <v>2023</v>
      </c>
      <c r="D55" s="2" t="s">
        <v>1307</v>
      </c>
      <c r="E55" s="2" t="s">
        <v>190</v>
      </c>
      <c r="F55" s="6"/>
    </row>
    <row r="56" spans="1:6" x14ac:dyDescent="0.3">
      <c r="A56">
        <v>52</v>
      </c>
      <c r="B56" s="7" t="s">
        <v>574</v>
      </c>
      <c r="C56" s="2">
        <v>2019</v>
      </c>
      <c r="D56" s="2" t="s">
        <v>1308</v>
      </c>
      <c r="E56" s="2" t="s">
        <v>190</v>
      </c>
      <c r="F56" s="6"/>
    </row>
    <row r="57" spans="1:6" x14ac:dyDescent="0.3">
      <c r="A57">
        <v>53</v>
      </c>
      <c r="B57" s="5" t="s">
        <v>581</v>
      </c>
      <c r="C57" s="2">
        <v>2019</v>
      </c>
      <c r="D57" s="2" t="s">
        <v>1309</v>
      </c>
      <c r="E57" s="2" t="s">
        <v>190</v>
      </c>
      <c r="F57" s="6"/>
    </row>
    <row r="58" spans="1:6" x14ac:dyDescent="0.3">
      <c r="A58">
        <v>54</v>
      </c>
      <c r="B58" s="7" t="s">
        <v>624</v>
      </c>
      <c r="C58" s="2">
        <v>2021</v>
      </c>
      <c r="D58" s="2" t="s">
        <v>1310</v>
      </c>
      <c r="E58" s="2" t="s">
        <v>190</v>
      </c>
      <c r="F58" s="6">
        <v>45366</v>
      </c>
    </row>
    <row r="59" spans="1:6" x14ac:dyDescent="0.3">
      <c r="A59">
        <v>55</v>
      </c>
      <c r="B59" s="7" t="s">
        <v>638</v>
      </c>
      <c r="C59" s="2">
        <v>2018</v>
      </c>
      <c r="D59" s="2" t="s">
        <v>1311</v>
      </c>
      <c r="E59" s="2" t="s">
        <v>190</v>
      </c>
      <c r="F59" s="6"/>
    </row>
    <row r="60" spans="1:6" x14ac:dyDescent="0.3">
      <c r="A60">
        <v>56</v>
      </c>
      <c r="B60" s="7" t="s">
        <v>657</v>
      </c>
      <c r="C60" s="2">
        <v>2023</v>
      </c>
      <c r="D60" s="2" t="s">
        <v>1312</v>
      </c>
      <c r="E60" s="2" t="s">
        <v>190</v>
      </c>
      <c r="F60" s="6">
        <v>45366</v>
      </c>
    </row>
    <row r="61" spans="1:6" x14ac:dyDescent="0.3">
      <c r="A61">
        <v>57</v>
      </c>
      <c r="B61" s="7" t="s">
        <v>1313</v>
      </c>
      <c r="C61" s="2">
        <v>2023</v>
      </c>
      <c r="D61" s="2" t="s">
        <v>1314</v>
      </c>
      <c r="E61" s="2" t="s">
        <v>190</v>
      </c>
      <c r="F61" s="6"/>
    </row>
    <row r="62" spans="1:6" x14ac:dyDescent="0.3">
      <c r="A62">
        <v>58</v>
      </c>
      <c r="B62" s="7" t="s">
        <v>1315</v>
      </c>
      <c r="C62" s="2">
        <v>2022</v>
      </c>
      <c r="D62" s="2" t="s">
        <v>1316</v>
      </c>
      <c r="E62" s="2" t="s">
        <v>190</v>
      </c>
      <c r="F62" s="6">
        <v>45366</v>
      </c>
    </row>
    <row r="63" spans="1:6" x14ac:dyDescent="0.3">
      <c r="A63">
        <v>59</v>
      </c>
      <c r="B63" s="7" t="s">
        <v>1317</v>
      </c>
      <c r="C63" s="2">
        <v>2022</v>
      </c>
      <c r="D63" s="2" t="s">
        <v>1316</v>
      </c>
      <c r="E63" s="2" t="s">
        <v>190</v>
      </c>
      <c r="F63" s="6">
        <v>45366</v>
      </c>
    </row>
    <row r="64" spans="1:6" x14ac:dyDescent="0.3">
      <c r="A64">
        <v>60</v>
      </c>
      <c r="B64" s="7" t="s">
        <v>1318</v>
      </c>
      <c r="C64" s="2">
        <v>2023</v>
      </c>
      <c r="D64" s="2" t="s">
        <v>1319</v>
      </c>
      <c r="E64" s="2" t="s">
        <v>190</v>
      </c>
      <c r="F64" s="6">
        <v>45366</v>
      </c>
    </row>
    <row r="65" spans="1:6" x14ac:dyDescent="0.3">
      <c r="A65">
        <v>61</v>
      </c>
      <c r="B65" s="2" t="s">
        <v>744</v>
      </c>
      <c r="C65" s="2">
        <v>2021</v>
      </c>
      <c r="D65" s="2" t="s">
        <v>1320</v>
      </c>
      <c r="E65" s="2" t="s">
        <v>190</v>
      </c>
      <c r="F65" s="6"/>
    </row>
    <row r="66" spans="1:6" x14ac:dyDescent="0.3">
      <c r="A66">
        <v>62</v>
      </c>
      <c r="B66" s="7" t="s">
        <v>1321</v>
      </c>
      <c r="C66" s="2">
        <v>2021</v>
      </c>
      <c r="D66" s="2" t="s">
        <v>1322</v>
      </c>
      <c r="E66" s="2" t="s">
        <v>190</v>
      </c>
      <c r="F66" s="6"/>
    </row>
    <row r="67" spans="1:6" x14ac:dyDescent="0.3">
      <c r="A67">
        <v>63</v>
      </c>
      <c r="B67" s="7" t="s">
        <v>1323</v>
      </c>
      <c r="C67" s="2">
        <v>2021</v>
      </c>
      <c r="D67" s="2" t="s">
        <v>1324</v>
      </c>
      <c r="E67" s="2" t="s">
        <v>190</v>
      </c>
      <c r="F67" s="6"/>
    </row>
    <row r="68" spans="1:6" x14ac:dyDescent="0.3">
      <c r="A68">
        <v>64</v>
      </c>
      <c r="B68" s="7" t="s">
        <v>753</v>
      </c>
      <c r="C68" s="2">
        <v>2021</v>
      </c>
      <c r="D68" s="2" t="s">
        <v>1325</v>
      </c>
      <c r="E68" s="2" t="s">
        <v>190</v>
      </c>
      <c r="F68" s="6"/>
    </row>
    <row r="69" spans="1:6" x14ac:dyDescent="0.3">
      <c r="A69">
        <v>65</v>
      </c>
      <c r="B69" s="7" t="s">
        <v>760</v>
      </c>
      <c r="C69" s="2">
        <v>2021</v>
      </c>
      <c r="D69" s="2" t="s">
        <v>1326</v>
      </c>
      <c r="E69" s="2" t="s">
        <v>190</v>
      </c>
      <c r="F69" s="6"/>
    </row>
    <row r="70" spans="1:6" x14ac:dyDescent="0.3">
      <c r="A70">
        <v>66</v>
      </c>
      <c r="B70" s="7" t="s">
        <v>1327</v>
      </c>
      <c r="C70" s="2">
        <v>2022</v>
      </c>
      <c r="D70" s="2" t="s">
        <v>1328</v>
      </c>
      <c r="E70" s="2" t="s">
        <v>190</v>
      </c>
      <c r="F70" s="6"/>
    </row>
    <row r="71" spans="1:6" x14ac:dyDescent="0.3">
      <c r="A71">
        <v>67</v>
      </c>
      <c r="B71" s="7" t="s">
        <v>1329</v>
      </c>
      <c r="C71" s="2">
        <v>2022</v>
      </c>
      <c r="D71" s="2" t="s">
        <v>1330</v>
      </c>
      <c r="E71" s="2" t="s">
        <v>190</v>
      </c>
      <c r="F71" s="6">
        <v>45369</v>
      </c>
    </row>
    <row r="72" spans="1:6" x14ac:dyDescent="0.3">
      <c r="A72">
        <v>68</v>
      </c>
      <c r="B72" s="7" t="s">
        <v>913</v>
      </c>
      <c r="C72" s="2">
        <v>2023</v>
      </c>
      <c r="D72" s="2" t="s">
        <v>1330</v>
      </c>
      <c r="E72" s="2" t="s">
        <v>190</v>
      </c>
      <c r="F72" s="6">
        <v>45369</v>
      </c>
    </row>
    <row r="73" spans="1:6" x14ac:dyDescent="0.3">
      <c r="A73">
        <v>69</v>
      </c>
      <c r="B73" s="7" t="s">
        <v>791</v>
      </c>
      <c r="C73" s="2">
        <v>2021</v>
      </c>
      <c r="D73" s="2" t="s">
        <v>1331</v>
      </c>
      <c r="E73" s="2" t="s">
        <v>190</v>
      </c>
      <c r="F73" s="6"/>
    </row>
    <row r="74" spans="1:6" x14ac:dyDescent="0.3">
      <c r="A74">
        <v>70</v>
      </c>
      <c r="B74" s="7" t="s">
        <v>799</v>
      </c>
      <c r="C74" s="2">
        <v>2022</v>
      </c>
      <c r="D74" s="2" t="s">
        <v>1332</v>
      </c>
      <c r="E74" s="2" t="s">
        <v>190</v>
      </c>
      <c r="F74" s="6"/>
    </row>
    <row r="75" spans="1:6" x14ac:dyDescent="0.3">
      <c r="A75">
        <v>71</v>
      </c>
      <c r="B75" s="7" t="s">
        <v>807</v>
      </c>
      <c r="C75" s="2">
        <v>2023</v>
      </c>
      <c r="D75" s="2" t="s">
        <v>1333</v>
      </c>
      <c r="E75" s="2" t="s">
        <v>190</v>
      </c>
      <c r="F75" s="6">
        <v>45370</v>
      </c>
    </row>
    <row r="76" spans="1:6" x14ac:dyDescent="0.3">
      <c r="A76">
        <v>72</v>
      </c>
      <c r="B76" s="7" t="s">
        <v>811</v>
      </c>
      <c r="C76" s="2">
        <v>2018</v>
      </c>
      <c r="D76" s="2" t="s">
        <v>1334</v>
      </c>
      <c r="E76" s="2" t="s">
        <v>1276</v>
      </c>
      <c r="F76" s="6"/>
    </row>
    <row r="77" spans="1:6" x14ac:dyDescent="0.3">
      <c r="A77">
        <v>73</v>
      </c>
      <c r="B77" s="7" t="s">
        <v>1335</v>
      </c>
      <c r="C77" s="2">
        <v>2017</v>
      </c>
      <c r="D77" s="2" t="s">
        <v>1336</v>
      </c>
      <c r="E77" s="2" t="s">
        <v>190</v>
      </c>
      <c r="F77" s="6"/>
    </row>
    <row r="78" spans="1:6" x14ac:dyDescent="0.3">
      <c r="A78">
        <v>74</v>
      </c>
      <c r="B78" s="7" t="s">
        <v>822</v>
      </c>
      <c r="C78" s="2">
        <v>2021</v>
      </c>
      <c r="D78" s="2" t="s">
        <v>1337</v>
      </c>
      <c r="E78" s="2" t="s">
        <v>190</v>
      </c>
      <c r="F78" s="6"/>
    </row>
    <row r="79" spans="1:6" x14ac:dyDescent="0.3">
      <c r="A79">
        <v>75</v>
      </c>
      <c r="B79" s="7" t="s">
        <v>844</v>
      </c>
      <c r="C79" s="2">
        <v>2021</v>
      </c>
      <c r="D79" s="2" t="s">
        <v>1338</v>
      </c>
      <c r="E79" s="2" t="s">
        <v>190</v>
      </c>
      <c r="F79" s="6"/>
    </row>
    <row r="80" spans="1:6" x14ac:dyDescent="0.3">
      <c r="A80">
        <v>76</v>
      </c>
      <c r="B80" s="7" t="s">
        <v>1339</v>
      </c>
      <c r="C80" s="2">
        <v>2023</v>
      </c>
      <c r="D80" s="2" t="s">
        <v>1340</v>
      </c>
      <c r="E80" s="2" t="s">
        <v>1341</v>
      </c>
      <c r="F80" s="6">
        <v>45370</v>
      </c>
    </row>
    <row r="81" spans="1:6" x14ac:dyDescent="0.3">
      <c r="A81">
        <v>77</v>
      </c>
      <c r="B81" s="7" t="s">
        <v>1342</v>
      </c>
      <c r="C81" s="2">
        <v>2022</v>
      </c>
      <c r="D81" s="30" t="s">
        <v>625</v>
      </c>
      <c r="E81" s="2" t="s">
        <v>190</v>
      </c>
      <c r="F81" s="6"/>
    </row>
    <row r="82" spans="1:6" x14ac:dyDescent="0.3">
      <c r="A82">
        <v>78</v>
      </c>
      <c r="B82" s="7" t="s">
        <v>1343</v>
      </c>
      <c r="C82" s="2">
        <v>2022</v>
      </c>
      <c r="D82" s="2" t="s">
        <v>1344</v>
      </c>
      <c r="E82" s="2" t="s">
        <v>190</v>
      </c>
      <c r="F82" s="6"/>
    </row>
    <row r="83" spans="1:6" x14ac:dyDescent="0.3">
      <c r="A83">
        <v>79</v>
      </c>
      <c r="B83" s="2" t="s">
        <v>1345</v>
      </c>
      <c r="C83" s="2">
        <v>2024</v>
      </c>
      <c r="D83" s="2" t="s">
        <v>1346</v>
      </c>
      <c r="E83" s="2" t="s">
        <v>1276</v>
      </c>
      <c r="F83" s="6"/>
    </row>
    <row r="84" spans="1:6" x14ac:dyDescent="0.3">
      <c r="A84">
        <v>80</v>
      </c>
      <c r="B84" s="7" t="s">
        <v>1347</v>
      </c>
      <c r="C84" s="2">
        <v>2023</v>
      </c>
      <c r="D84" s="2" t="s">
        <v>1348</v>
      </c>
      <c r="E84" s="2" t="s">
        <v>1276</v>
      </c>
      <c r="F84" s="6"/>
    </row>
    <row r="85" spans="1:6" x14ac:dyDescent="0.3">
      <c r="A85">
        <v>81</v>
      </c>
      <c r="B85" s="7" t="s">
        <v>1349</v>
      </c>
      <c r="C85" s="2">
        <v>2021</v>
      </c>
      <c r="D85" s="2" t="s">
        <v>1350</v>
      </c>
      <c r="E85" s="2" t="s">
        <v>1231</v>
      </c>
      <c r="F85" s="6"/>
    </row>
    <row r="86" spans="1:6" x14ac:dyDescent="0.3">
      <c r="A86">
        <v>82</v>
      </c>
      <c r="B86" s="7" t="s">
        <v>1351</v>
      </c>
      <c r="C86" s="2">
        <v>2017</v>
      </c>
      <c r="D86" s="2" t="s">
        <v>1352</v>
      </c>
      <c r="E86" s="2" t="s">
        <v>1231</v>
      </c>
      <c r="F86" s="6"/>
    </row>
    <row r="87" spans="1:6" x14ac:dyDescent="0.3">
      <c r="A87">
        <v>83</v>
      </c>
      <c r="B87" s="7" t="s">
        <v>1353</v>
      </c>
      <c r="C87" s="2">
        <v>2021</v>
      </c>
      <c r="D87" s="2" t="s">
        <v>1350</v>
      </c>
      <c r="E87" s="2" t="s">
        <v>1231</v>
      </c>
      <c r="F87" s="6"/>
    </row>
    <row r="88" spans="1:6" x14ac:dyDescent="0.3">
      <c r="A88">
        <v>84</v>
      </c>
      <c r="B88" s="7" t="s">
        <v>859</v>
      </c>
      <c r="C88" s="2">
        <v>2022</v>
      </c>
      <c r="D88" s="2" t="s">
        <v>1354</v>
      </c>
      <c r="E88" s="2" t="s">
        <v>1355</v>
      </c>
      <c r="F88" s="6"/>
    </row>
    <row r="89" spans="1:6" x14ac:dyDescent="0.3">
      <c r="A89">
        <v>85</v>
      </c>
      <c r="B89" s="7" t="s">
        <v>922</v>
      </c>
      <c r="C89" s="2">
        <v>2019</v>
      </c>
      <c r="D89" s="2" t="s">
        <v>1356</v>
      </c>
      <c r="E89" s="2" t="s">
        <v>1355</v>
      </c>
      <c r="F89" s="6"/>
    </row>
    <row r="90" spans="1:6" x14ac:dyDescent="0.3">
      <c r="A90">
        <v>86</v>
      </c>
      <c r="B90" s="7" t="s">
        <v>927</v>
      </c>
      <c r="C90" s="2">
        <v>2022</v>
      </c>
      <c r="D90" s="2" t="s">
        <v>1356</v>
      </c>
      <c r="E90" s="2" t="s">
        <v>1355</v>
      </c>
      <c r="F90" s="6"/>
    </row>
    <row r="91" spans="1:6" x14ac:dyDescent="0.3">
      <c r="A91">
        <v>87</v>
      </c>
      <c r="B91" s="7" t="s">
        <v>932</v>
      </c>
      <c r="C91" s="2">
        <v>2020</v>
      </c>
      <c r="D91" s="2" t="s">
        <v>1356</v>
      </c>
      <c r="E91" s="2" t="s">
        <v>1355</v>
      </c>
      <c r="F91" s="6"/>
    </row>
    <row r="92" spans="1:6" x14ac:dyDescent="0.3">
      <c r="A92">
        <v>88</v>
      </c>
      <c r="B92" s="7" t="s">
        <v>917</v>
      </c>
      <c r="C92" s="2">
        <v>2021</v>
      </c>
      <c r="D92" s="2" t="s">
        <v>1356</v>
      </c>
      <c r="E92" s="2" t="s">
        <v>1355</v>
      </c>
      <c r="F92" s="6"/>
    </row>
    <row r="93" spans="1:6" x14ac:dyDescent="0.3">
      <c r="A93">
        <v>89</v>
      </c>
      <c r="B93" s="7" t="s">
        <v>1357</v>
      </c>
      <c r="C93" s="2">
        <v>2021</v>
      </c>
      <c r="D93" s="2" t="s">
        <v>1358</v>
      </c>
      <c r="E93" s="2" t="s">
        <v>1276</v>
      </c>
      <c r="F93" s="6"/>
    </row>
    <row r="94" spans="1:6" x14ac:dyDescent="0.3">
      <c r="A94">
        <v>90</v>
      </c>
      <c r="B94" s="7" t="s">
        <v>1055</v>
      </c>
      <c r="C94" s="2">
        <v>2021</v>
      </c>
      <c r="D94" s="2" t="s">
        <v>1416</v>
      </c>
      <c r="E94" s="2" t="s">
        <v>1261</v>
      </c>
      <c r="F94" s="6"/>
    </row>
    <row r="95" spans="1:6" x14ac:dyDescent="0.3">
      <c r="A95">
        <v>91</v>
      </c>
      <c r="B95" s="5" t="s">
        <v>1359</v>
      </c>
      <c r="C95" s="2">
        <v>2023</v>
      </c>
      <c r="D95" s="2" t="s">
        <v>387</v>
      </c>
      <c r="E95" s="2" t="s">
        <v>1295</v>
      </c>
      <c r="F95" s="6">
        <v>45384</v>
      </c>
    </row>
    <row r="96" spans="1:6" x14ac:dyDescent="0.3">
      <c r="A96">
        <v>92</v>
      </c>
      <c r="B96" s="2" t="s">
        <v>1360</v>
      </c>
      <c r="C96" s="2">
        <v>2024</v>
      </c>
      <c r="D96" s="2" t="s">
        <v>238</v>
      </c>
      <c r="E96" s="2" t="s">
        <v>1276</v>
      </c>
      <c r="F96" s="6"/>
    </row>
    <row r="97" spans="1:6" x14ac:dyDescent="0.3">
      <c r="A97">
        <v>93</v>
      </c>
      <c r="B97" s="2" t="s">
        <v>1361</v>
      </c>
      <c r="C97" s="2">
        <v>2023</v>
      </c>
      <c r="D97" s="2" t="s">
        <v>1362</v>
      </c>
      <c r="E97" s="2" t="s">
        <v>1276</v>
      </c>
      <c r="F97" s="6"/>
    </row>
    <row r="98" spans="1:6" x14ac:dyDescent="0.3">
      <c r="A98">
        <v>94</v>
      </c>
      <c r="B98" s="2" t="s">
        <v>1363</v>
      </c>
      <c r="C98" s="2">
        <v>2021</v>
      </c>
      <c r="D98" s="2" t="s">
        <v>1362</v>
      </c>
      <c r="E98" s="2" t="s">
        <v>1276</v>
      </c>
      <c r="F98" s="6"/>
    </row>
    <row r="99" spans="1:6" x14ac:dyDescent="0.3">
      <c r="A99">
        <v>95</v>
      </c>
      <c r="B99" s="2" t="s">
        <v>1364</v>
      </c>
      <c r="C99" s="2">
        <v>2022</v>
      </c>
      <c r="D99" s="2" t="s">
        <v>1365</v>
      </c>
      <c r="E99" s="2" t="s">
        <v>1276</v>
      </c>
      <c r="F99" s="6"/>
    </row>
    <row r="100" spans="1:6" x14ac:dyDescent="0.3">
      <c r="A100">
        <v>96</v>
      </c>
      <c r="B100" s="5" t="s">
        <v>1366</v>
      </c>
      <c r="C100" s="2">
        <v>2023</v>
      </c>
      <c r="D100" s="2" t="s">
        <v>1367</v>
      </c>
      <c r="E100" s="2" t="s">
        <v>1295</v>
      </c>
      <c r="F100" s="6">
        <v>45390</v>
      </c>
    </row>
    <row r="101" spans="1:6" x14ac:dyDescent="0.3">
      <c r="A101">
        <v>97</v>
      </c>
      <c r="B101" s="2" t="s">
        <v>1368</v>
      </c>
      <c r="C101" s="2">
        <v>2023</v>
      </c>
      <c r="D101" s="2" t="s">
        <v>1369</v>
      </c>
      <c r="E101" s="2" t="s">
        <v>1276</v>
      </c>
      <c r="F101" s="6"/>
    </row>
    <row r="102" spans="1:6" x14ac:dyDescent="0.3">
      <c r="A102">
        <v>98</v>
      </c>
      <c r="B102" s="2" t="s">
        <v>1370</v>
      </c>
      <c r="C102" s="2">
        <v>2023</v>
      </c>
      <c r="D102" s="2" t="s">
        <v>1369</v>
      </c>
      <c r="E102" s="2" t="s">
        <v>1295</v>
      </c>
      <c r="F102" s="6">
        <v>45390</v>
      </c>
    </row>
    <row r="103" spans="1:6" x14ac:dyDescent="0.3">
      <c r="A103">
        <v>99</v>
      </c>
      <c r="B103" s="2" t="s">
        <v>1371</v>
      </c>
      <c r="C103" s="2">
        <v>2023</v>
      </c>
      <c r="D103" s="2" t="s">
        <v>1369</v>
      </c>
      <c r="E103" s="2" t="s">
        <v>1276</v>
      </c>
      <c r="F103" s="6"/>
    </row>
    <row r="104" spans="1:6" x14ac:dyDescent="0.3">
      <c r="A104">
        <v>100</v>
      </c>
      <c r="B104" s="7" t="s">
        <v>1420</v>
      </c>
      <c r="C104" s="2">
        <v>2020</v>
      </c>
      <c r="D104" s="2" t="s">
        <v>1372</v>
      </c>
      <c r="E104" s="2" t="s">
        <v>190</v>
      </c>
      <c r="F104" s="6"/>
    </row>
    <row r="105" spans="1:6" x14ac:dyDescent="0.3">
      <c r="A105">
        <v>101</v>
      </c>
      <c r="B105" s="7" t="s">
        <v>1421</v>
      </c>
      <c r="C105" s="2">
        <v>2023</v>
      </c>
      <c r="D105" s="2" t="s">
        <v>1373</v>
      </c>
      <c r="E105" s="2" t="s">
        <v>1231</v>
      </c>
      <c r="F105" s="6"/>
    </row>
    <row r="106" spans="1:6" x14ac:dyDescent="0.3">
      <c r="A106">
        <v>102</v>
      </c>
      <c r="B106" s="7" t="s">
        <v>1422</v>
      </c>
      <c r="C106" s="2">
        <v>2021</v>
      </c>
      <c r="D106" s="2" t="s">
        <v>1374</v>
      </c>
      <c r="E106" s="2" t="s">
        <v>190</v>
      </c>
      <c r="F106" s="6"/>
    </row>
    <row r="107" spans="1:6" x14ac:dyDescent="0.3">
      <c r="A107">
        <v>103</v>
      </c>
      <c r="B107" s="7" t="s">
        <v>1423</v>
      </c>
      <c r="C107" s="2">
        <v>2022</v>
      </c>
      <c r="D107" s="2" t="s">
        <v>415</v>
      </c>
      <c r="E107" s="2" t="s">
        <v>190</v>
      </c>
      <c r="F107" s="6"/>
    </row>
    <row r="108" spans="1:6" x14ac:dyDescent="0.3">
      <c r="A108">
        <v>104</v>
      </c>
      <c r="B108" s="7" t="s">
        <v>1424</v>
      </c>
      <c r="C108" s="2">
        <v>2021</v>
      </c>
      <c r="D108" s="2" t="s">
        <v>1375</v>
      </c>
      <c r="E108" s="2" t="s">
        <v>190</v>
      </c>
      <c r="F108" s="6">
        <v>45391</v>
      </c>
    </row>
    <row r="109" spans="1:6" x14ac:dyDescent="0.3">
      <c r="A109">
        <v>105</v>
      </c>
      <c r="B109" s="7" t="s">
        <v>1425</v>
      </c>
      <c r="C109" s="2">
        <v>2023</v>
      </c>
      <c r="D109" s="2" t="s">
        <v>1376</v>
      </c>
      <c r="E109" s="2" t="s">
        <v>190</v>
      </c>
      <c r="F109" s="6"/>
    </row>
    <row r="110" spans="1:6" x14ac:dyDescent="0.3">
      <c r="A110">
        <v>106</v>
      </c>
      <c r="B110" s="7" t="s">
        <v>1426</v>
      </c>
      <c r="C110" s="2">
        <v>2022</v>
      </c>
      <c r="D110" s="2" t="s">
        <v>1377</v>
      </c>
      <c r="E110" s="2" t="s">
        <v>190</v>
      </c>
      <c r="F110" s="6">
        <v>45391</v>
      </c>
    </row>
    <row r="111" spans="1:6" x14ac:dyDescent="0.3">
      <c r="A111">
        <v>107</v>
      </c>
      <c r="B111" s="7" t="s">
        <v>1427</v>
      </c>
      <c r="C111" s="2">
        <v>2022</v>
      </c>
      <c r="D111" s="2" t="s">
        <v>1378</v>
      </c>
      <c r="E111" s="2" t="s">
        <v>190</v>
      </c>
      <c r="F111" s="6"/>
    </row>
    <row r="112" spans="1:6" x14ac:dyDescent="0.3">
      <c r="A112">
        <v>108</v>
      </c>
      <c r="B112" s="7" t="s">
        <v>1428</v>
      </c>
      <c r="C112" s="2">
        <v>2024</v>
      </c>
      <c r="D112" s="2" t="s">
        <v>1378</v>
      </c>
      <c r="E112" s="2" t="s">
        <v>190</v>
      </c>
      <c r="F112" s="6"/>
    </row>
    <row r="113" spans="1:6" x14ac:dyDescent="0.3">
      <c r="A113">
        <v>109</v>
      </c>
      <c r="B113" s="7" t="s">
        <v>1379</v>
      </c>
      <c r="C113" s="2">
        <v>2024</v>
      </c>
      <c r="D113" s="2" t="s">
        <v>1378</v>
      </c>
      <c r="E113" s="2" t="s">
        <v>190</v>
      </c>
      <c r="F113" s="6">
        <v>45392</v>
      </c>
    </row>
    <row r="114" spans="1:6" x14ac:dyDescent="0.3">
      <c r="A114">
        <v>110</v>
      </c>
      <c r="B114" s="7" t="s">
        <v>1429</v>
      </c>
      <c r="C114" s="2">
        <v>2017</v>
      </c>
      <c r="D114" s="2" t="s">
        <v>1380</v>
      </c>
      <c r="E114" s="2" t="s">
        <v>190</v>
      </c>
      <c r="F114" s="6"/>
    </row>
    <row r="115" spans="1:6" x14ac:dyDescent="0.3">
      <c r="A115">
        <v>111</v>
      </c>
      <c r="B115" s="7" t="s">
        <v>1430</v>
      </c>
      <c r="C115" s="2">
        <v>2023</v>
      </c>
      <c r="D115" s="2" t="s">
        <v>1434</v>
      </c>
      <c r="E115" s="2" t="s">
        <v>1341</v>
      </c>
      <c r="F115" s="6">
        <v>45397</v>
      </c>
    </row>
    <row r="116" spans="1:6" x14ac:dyDescent="0.3">
      <c r="A116">
        <v>112</v>
      </c>
      <c r="B116" s="7" t="s">
        <v>1431</v>
      </c>
      <c r="C116" s="2">
        <v>2023</v>
      </c>
      <c r="D116" s="2" t="s">
        <v>1381</v>
      </c>
      <c r="E116" s="2" t="s">
        <v>1261</v>
      </c>
      <c r="F116" s="6"/>
    </row>
    <row r="117" spans="1:6" x14ac:dyDescent="0.3">
      <c r="A117">
        <v>113</v>
      </c>
      <c r="B117" s="7" t="s">
        <v>1432</v>
      </c>
      <c r="C117" s="2">
        <v>2023</v>
      </c>
      <c r="D117" s="2" t="s">
        <v>1382</v>
      </c>
      <c r="E117" s="2" t="s">
        <v>190</v>
      </c>
      <c r="F117" s="6">
        <v>45398</v>
      </c>
    </row>
    <row r="118" spans="1:6" x14ac:dyDescent="0.3">
      <c r="A118">
        <v>114</v>
      </c>
      <c r="B118" s="7" t="s">
        <v>1433</v>
      </c>
      <c r="C118" s="2">
        <v>2022</v>
      </c>
      <c r="D118" s="2" t="s">
        <v>1383</v>
      </c>
      <c r="E118" s="2" t="s">
        <v>1341</v>
      </c>
      <c r="F118" s="6">
        <v>45399</v>
      </c>
    </row>
    <row r="119" spans="1:6" x14ac:dyDescent="0.3">
      <c r="A119">
        <v>115</v>
      </c>
      <c r="B119" s="7" t="s">
        <v>1435</v>
      </c>
      <c r="C119" s="2">
        <v>2023</v>
      </c>
      <c r="D119" s="2" t="s">
        <v>1384</v>
      </c>
      <c r="E119" s="2" t="s">
        <v>190</v>
      </c>
      <c r="F119" s="6"/>
    </row>
    <row r="120" spans="1:6" x14ac:dyDescent="0.3">
      <c r="A120">
        <v>116</v>
      </c>
      <c r="B120" s="2" t="s">
        <v>1385</v>
      </c>
      <c r="C120" s="2">
        <v>2023</v>
      </c>
      <c r="D120" s="2" t="s">
        <v>962</v>
      </c>
      <c r="E120" s="2" t="s">
        <v>1276</v>
      </c>
      <c r="F120" s="6"/>
    </row>
    <row r="121" spans="1:6" x14ac:dyDescent="0.3">
      <c r="A121">
        <v>117</v>
      </c>
      <c r="B121" s="2" t="s">
        <v>1386</v>
      </c>
      <c r="C121" s="2">
        <v>2023</v>
      </c>
      <c r="D121" s="2" t="s">
        <v>970</v>
      </c>
      <c r="E121" s="2" t="s">
        <v>1295</v>
      </c>
      <c r="F121" s="6">
        <v>45456</v>
      </c>
    </row>
    <row r="122" spans="1:6" x14ac:dyDescent="0.3">
      <c r="A122">
        <v>118</v>
      </c>
      <c r="B122" s="8" t="s">
        <v>1436</v>
      </c>
      <c r="C122" s="2">
        <v>2023</v>
      </c>
      <c r="D122" s="2" t="s">
        <v>1387</v>
      </c>
      <c r="E122" s="2" t="s">
        <v>1231</v>
      </c>
      <c r="F122" s="6"/>
    </row>
    <row r="123" spans="1:6" x14ac:dyDescent="0.3">
      <c r="A123">
        <v>119</v>
      </c>
      <c r="B123" s="7" t="s">
        <v>1437</v>
      </c>
      <c r="C123" s="2">
        <v>2024</v>
      </c>
      <c r="D123" s="2" t="s">
        <v>1388</v>
      </c>
      <c r="E123" s="2" t="s">
        <v>1231</v>
      </c>
      <c r="F123" s="6"/>
    </row>
    <row r="124" spans="1:6" x14ac:dyDescent="0.3">
      <c r="A124">
        <v>120</v>
      </c>
      <c r="B124" s="7" t="s">
        <v>1419</v>
      </c>
      <c r="C124" s="2">
        <v>2019</v>
      </c>
      <c r="D124" s="2" t="s">
        <v>1389</v>
      </c>
      <c r="E124" s="2" t="s">
        <v>1341</v>
      </c>
      <c r="F124" s="6">
        <v>45460</v>
      </c>
    </row>
    <row r="125" spans="1:6" x14ac:dyDescent="0.3">
      <c r="A125">
        <v>121</v>
      </c>
      <c r="B125" s="7" t="s">
        <v>1438</v>
      </c>
      <c r="C125" s="2">
        <v>2018</v>
      </c>
      <c r="D125" s="2" t="s">
        <v>1390</v>
      </c>
      <c r="E125" s="2" t="s">
        <v>1231</v>
      </c>
      <c r="F125" s="6"/>
    </row>
    <row r="126" spans="1:6" x14ac:dyDescent="0.3">
      <c r="A126">
        <v>122</v>
      </c>
      <c r="B126" s="2" t="s">
        <v>1391</v>
      </c>
      <c r="C126" s="2">
        <v>2022</v>
      </c>
      <c r="D126" s="2" t="s">
        <v>1392</v>
      </c>
      <c r="E126" s="2" t="s">
        <v>1231</v>
      </c>
      <c r="F126" s="6"/>
    </row>
    <row r="127" spans="1:6" x14ac:dyDescent="0.3">
      <c r="A127">
        <v>123</v>
      </c>
      <c r="B127" s="7" t="s">
        <v>1439</v>
      </c>
      <c r="C127" s="2">
        <v>2024</v>
      </c>
      <c r="D127" s="2" t="s">
        <v>1393</v>
      </c>
      <c r="E127" s="2" t="s">
        <v>1231</v>
      </c>
      <c r="F127" s="6"/>
    </row>
    <row r="128" spans="1:6" x14ac:dyDescent="0.3">
      <c r="A128">
        <v>124</v>
      </c>
      <c r="B128" s="7" t="s">
        <v>1440</v>
      </c>
      <c r="C128" s="2">
        <v>2023</v>
      </c>
      <c r="D128" s="2" t="s">
        <v>1393</v>
      </c>
      <c r="E128" s="2" t="s">
        <v>1231</v>
      </c>
      <c r="F128" s="6"/>
    </row>
    <row r="129" spans="1:6" x14ac:dyDescent="0.3">
      <c r="A129">
        <v>125</v>
      </c>
      <c r="B129" s="7" t="s">
        <v>1441</v>
      </c>
      <c r="C129" s="2">
        <v>2019</v>
      </c>
      <c r="D129" s="2" t="s">
        <v>1394</v>
      </c>
      <c r="E129" s="2" t="s">
        <v>1271</v>
      </c>
      <c r="F129" s="6"/>
    </row>
    <row r="130" spans="1:6" x14ac:dyDescent="0.3">
      <c r="A130">
        <v>126</v>
      </c>
      <c r="B130" s="5" t="s">
        <v>1395</v>
      </c>
      <c r="C130" s="2">
        <v>2022</v>
      </c>
      <c r="D130" s="2" t="s">
        <v>1396</v>
      </c>
      <c r="E130" s="2" t="s">
        <v>1231</v>
      </c>
      <c r="F130" s="6"/>
    </row>
    <row r="131" spans="1:6" x14ac:dyDescent="0.3">
      <c r="A131">
        <v>127</v>
      </c>
      <c r="B131" s="2" t="s">
        <v>1397</v>
      </c>
      <c r="C131" s="2">
        <v>2024</v>
      </c>
      <c r="D131" s="2" t="s">
        <v>1398</v>
      </c>
      <c r="E131" s="2" t="s">
        <v>1295</v>
      </c>
      <c r="F131" s="6">
        <v>45469</v>
      </c>
    </row>
    <row r="132" spans="1:6" x14ac:dyDescent="0.3">
      <c r="A132">
        <v>128</v>
      </c>
      <c r="B132" s="2" t="s">
        <v>1027</v>
      </c>
      <c r="C132" s="2">
        <v>2023</v>
      </c>
      <c r="D132" s="2" t="s">
        <v>1398</v>
      </c>
      <c r="E132" s="2" t="s">
        <v>1295</v>
      </c>
      <c r="F132" s="6">
        <v>45469</v>
      </c>
    </row>
    <row r="133" spans="1:6" x14ac:dyDescent="0.3">
      <c r="A133">
        <v>129</v>
      </c>
      <c r="B133" t="s">
        <v>1408</v>
      </c>
      <c r="C133" s="2">
        <v>2022</v>
      </c>
      <c r="D133" s="2" t="s">
        <v>1409</v>
      </c>
      <c r="E133" s="2" t="s">
        <v>1231</v>
      </c>
      <c r="F133" s="6"/>
    </row>
    <row r="134" spans="1:6" x14ac:dyDescent="0.3">
      <c r="A134">
        <v>130</v>
      </c>
      <c r="B134" s="5" t="s">
        <v>373</v>
      </c>
      <c r="C134" s="2">
        <v>2024</v>
      </c>
      <c r="D134" s="2" t="s">
        <v>1369</v>
      </c>
      <c r="E134" s="2" t="s">
        <v>1295</v>
      </c>
      <c r="F134" s="6">
        <v>45390</v>
      </c>
    </row>
    <row r="135" spans="1:6" x14ac:dyDescent="0.3">
      <c r="A135">
        <v>131</v>
      </c>
      <c r="B135" s="5" t="s">
        <v>54</v>
      </c>
      <c r="C135">
        <v>2024</v>
      </c>
      <c r="D135" s="2" t="s">
        <v>1445</v>
      </c>
      <c r="E135" s="2" t="s">
        <v>1295</v>
      </c>
      <c r="F135" s="22">
        <v>45371</v>
      </c>
    </row>
    <row r="136" spans="1:6" x14ac:dyDescent="0.3">
      <c r="A136">
        <v>132</v>
      </c>
      <c r="B136" s="2" t="s">
        <v>74</v>
      </c>
      <c r="C136">
        <v>2024</v>
      </c>
      <c r="D136" s="2" t="s">
        <v>1445</v>
      </c>
      <c r="E136" s="2" t="s">
        <v>1295</v>
      </c>
      <c r="F136" s="22">
        <v>45371</v>
      </c>
    </row>
    <row r="137" spans="1:6" x14ac:dyDescent="0.3">
      <c r="A137">
        <v>133</v>
      </c>
      <c r="B137" s="2" t="s">
        <v>843</v>
      </c>
      <c r="C137">
        <v>2024</v>
      </c>
      <c r="D137" s="2" t="s">
        <v>1445</v>
      </c>
      <c r="E137" s="2" t="s">
        <v>1295</v>
      </c>
      <c r="F137" s="22">
        <v>45371</v>
      </c>
    </row>
    <row r="138" spans="1:6" x14ac:dyDescent="0.3">
      <c r="A138">
        <v>134</v>
      </c>
      <c r="B138" s="2" t="s">
        <v>103</v>
      </c>
      <c r="C138">
        <v>2024</v>
      </c>
      <c r="D138" s="2" t="s">
        <v>1446</v>
      </c>
      <c r="E138" s="2" t="s">
        <v>1295</v>
      </c>
      <c r="F138" s="6">
        <v>45371</v>
      </c>
    </row>
    <row r="139" spans="1:6" x14ac:dyDescent="0.3">
      <c r="A139">
        <v>135</v>
      </c>
      <c r="B139" s="32" t="s">
        <v>386</v>
      </c>
      <c r="C139">
        <v>2024</v>
      </c>
      <c r="D139" s="2" t="s">
        <v>387</v>
      </c>
      <c r="E139" s="2" t="s">
        <v>1295</v>
      </c>
      <c r="F139" s="33">
        <v>45384</v>
      </c>
    </row>
    <row r="140" spans="1:6" x14ac:dyDescent="0.3">
      <c r="A140">
        <v>136</v>
      </c>
      <c r="B140" s="2" t="s">
        <v>560</v>
      </c>
      <c r="C140">
        <v>2024</v>
      </c>
      <c r="D140" s="2" t="s">
        <v>1445</v>
      </c>
      <c r="E140" s="2" t="s">
        <v>1295</v>
      </c>
      <c r="F140" s="22">
        <v>45371</v>
      </c>
    </row>
    <row r="141" spans="1:6" x14ac:dyDescent="0.3">
      <c r="A141">
        <v>137</v>
      </c>
      <c r="B141" s="2" t="s">
        <v>244</v>
      </c>
      <c r="C141">
        <v>2024</v>
      </c>
      <c r="D141" s="2" t="s">
        <v>1445</v>
      </c>
      <c r="E141" s="2" t="s">
        <v>1295</v>
      </c>
      <c r="F141" s="6">
        <v>45371</v>
      </c>
    </row>
    <row r="142" spans="1:6" x14ac:dyDescent="0.3">
      <c r="A142">
        <v>138</v>
      </c>
      <c r="B142" s="2" t="s">
        <v>307</v>
      </c>
      <c r="C142">
        <v>2024</v>
      </c>
      <c r="D142" s="2" t="s">
        <v>1445</v>
      </c>
      <c r="E142" s="2" t="s">
        <v>1295</v>
      </c>
      <c r="F142" s="6">
        <v>45371</v>
      </c>
    </row>
    <row r="143" spans="1:6" x14ac:dyDescent="0.3">
      <c r="A143">
        <v>139</v>
      </c>
      <c r="B143" s="2" t="s">
        <v>320</v>
      </c>
      <c r="C143">
        <v>2024</v>
      </c>
      <c r="D143" s="2" t="s">
        <v>1445</v>
      </c>
      <c r="E143" s="2" t="s">
        <v>1295</v>
      </c>
      <c r="F143" s="6">
        <v>45371</v>
      </c>
    </row>
    <row r="144" spans="1:6" x14ac:dyDescent="0.3">
      <c r="A144">
        <v>140</v>
      </c>
      <c r="B144" s="2" t="s">
        <v>186</v>
      </c>
      <c r="C144">
        <v>2024</v>
      </c>
      <c r="D144" s="2" t="s">
        <v>1445</v>
      </c>
      <c r="E144" s="2" t="s">
        <v>1295</v>
      </c>
      <c r="F144" s="22">
        <v>45371</v>
      </c>
    </row>
    <row r="145" spans="1:6" x14ac:dyDescent="0.3">
      <c r="A145">
        <v>141</v>
      </c>
      <c r="B145" s="2" t="s">
        <v>331</v>
      </c>
      <c r="C145">
        <v>2024</v>
      </c>
      <c r="D145" s="2" t="s">
        <v>1445</v>
      </c>
      <c r="E145" s="2" t="s">
        <v>1295</v>
      </c>
      <c r="F145" s="6">
        <v>45371</v>
      </c>
    </row>
    <row r="146" spans="1:6" x14ac:dyDescent="0.3">
      <c r="A146">
        <v>142</v>
      </c>
      <c r="B146" s="2" t="s">
        <v>293</v>
      </c>
      <c r="C146">
        <v>2024</v>
      </c>
      <c r="D146" s="2" t="s">
        <v>1445</v>
      </c>
      <c r="E146" s="2" t="s">
        <v>1295</v>
      </c>
      <c r="F146" s="6">
        <v>45371</v>
      </c>
    </row>
    <row r="147" spans="1:6" x14ac:dyDescent="0.3">
      <c r="A147">
        <v>143</v>
      </c>
      <c r="B147" s="2" t="s">
        <v>170</v>
      </c>
      <c r="C147">
        <v>2024</v>
      </c>
      <c r="D147" s="2" t="s">
        <v>1445</v>
      </c>
      <c r="E147" s="2" t="s">
        <v>1295</v>
      </c>
      <c r="F147" s="6">
        <v>45371</v>
      </c>
    </row>
    <row r="148" spans="1:6" x14ac:dyDescent="0.3">
      <c r="A148">
        <v>144</v>
      </c>
      <c r="B148" s="2" t="s">
        <v>351</v>
      </c>
      <c r="C148">
        <v>2024</v>
      </c>
      <c r="D148" s="2" t="s">
        <v>1445</v>
      </c>
      <c r="E148" s="2" t="s">
        <v>1295</v>
      </c>
      <c r="F148" s="6">
        <v>45371</v>
      </c>
    </row>
    <row r="149" spans="1:6" x14ac:dyDescent="0.3">
      <c r="A149">
        <v>145</v>
      </c>
      <c r="B149" s="2" t="s">
        <v>433</v>
      </c>
      <c r="C149">
        <v>2024</v>
      </c>
      <c r="D149" s="2" t="s">
        <v>1445</v>
      </c>
      <c r="E149" s="2" t="s">
        <v>1295</v>
      </c>
      <c r="F149" s="22">
        <v>45371</v>
      </c>
    </row>
    <row r="150" spans="1:6" x14ac:dyDescent="0.3">
      <c r="A150">
        <v>146</v>
      </c>
      <c r="B150" s="2" t="s">
        <v>359</v>
      </c>
      <c r="C150">
        <v>2024</v>
      </c>
      <c r="D150" s="2" t="s">
        <v>1445</v>
      </c>
      <c r="E150" s="2" t="s">
        <v>1295</v>
      </c>
      <c r="F150" s="6">
        <v>45371</v>
      </c>
    </row>
    <row r="151" spans="1:6" x14ac:dyDescent="0.3">
      <c r="A151">
        <v>147</v>
      </c>
      <c r="B151" s="2" t="s">
        <v>257</v>
      </c>
      <c r="C151">
        <v>2024</v>
      </c>
      <c r="D151" s="2" t="s">
        <v>1445</v>
      </c>
      <c r="E151" s="2" t="s">
        <v>1295</v>
      </c>
      <c r="F151" s="22">
        <v>45371</v>
      </c>
    </row>
    <row r="152" spans="1:6" x14ac:dyDescent="0.3">
      <c r="A152">
        <v>148</v>
      </c>
      <c r="B152" s="2" t="s">
        <v>269</v>
      </c>
      <c r="C152">
        <v>2024</v>
      </c>
      <c r="D152" s="2" t="s">
        <v>1445</v>
      </c>
      <c r="E152" s="2" t="s">
        <v>1295</v>
      </c>
      <c r="F152" s="22">
        <v>45371</v>
      </c>
    </row>
    <row r="153" spans="1:6" x14ac:dyDescent="0.3">
      <c r="A153">
        <v>149</v>
      </c>
      <c r="B153" s="2" t="s">
        <v>312</v>
      </c>
      <c r="C153">
        <v>2024</v>
      </c>
      <c r="D153" s="2" t="s">
        <v>1445</v>
      </c>
      <c r="E153" s="2" t="s">
        <v>1295</v>
      </c>
      <c r="F153" s="6">
        <v>45371</v>
      </c>
    </row>
    <row r="154" spans="1:6" x14ac:dyDescent="0.3">
      <c r="A154">
        <v>150</v>
      </c>
      <c r="B154" s="2" t="s">
        <v>341</v>
      </c>
      <c r="C154">
        <v>2024</v>
      </c>
      <c r="D154" s="2" t="s">
        <v>1445</v>
      </c>
      <c r="E154" s="2" t="s">
        <v>1295</v>
      </c>
      <c r="F154" s="6">
        <v>45371</v>
      </c>
    </row>
    <row r="155" spans="1:6" x14ac:dyDescent="0.3">
      <c r="A155">
        <v>151</v>
      </c>
      <c r="B155" s="2" t="s">
        <v>573</v>
      </c>
      <c r="C155">
        <v>2024</v>
      </c>
      <c r="D155" s="2" t="s">
        <v>1445</v>
      </c>
      <c r="E155" s="2" t="s">
        <v>1295</v>
      </c>
      <c r="F155" s="22">
        <v>45371</v>
      </c>
    </row>
    <row r="156" spans="1:6" x14ac:dyDescent="0.3">
      <c r="A156">
        <v>152</v>
      </c>
      <c r="B156" s="2" t="s">
        <v>414</v>
      </c>
      <c r="C156">
        <v>2024</v>
      </c>
      <c r="D156" s="2" t="s">
        <v>1445</v>
      </c>
      <c r="E156" s="2" t="s">
        <v>1295</v>
      </c>
      <c r="F156" s="22">
        <v>45371</v>
      </c>
    </row>
    <row r="157" spans="1:6" x14ac:dyDescent="0.3">
      <c r="A157">
        <v>153</v>
      </c>
      <c r="B157" s="5" t="s">
        <v>405</v>
      </c>
      <c r="C157">
        <v>2024</v>
      </c>
      <c r="D157" s="2" t="s">
        <v>1445</v>
      </c>
      <c r="E157" s="2" t="s">
        <v>1295</v>
      </c>
      <c r="F157" s="22">
        <v>45371</v>
      </c>
    </row>
    <row r="158" spans="1:6" x14ac:dyDescent="0.3">
      <c r="A158">
        <v>154</v>
      </c>
      <c r="B158" s="44" t="s">
        <v>151</v>
      </c>
      <c r="C158">
        <v>2023</v>
      </c>
      <c r="D158" s="2" t="s">
        <v>1447</v>
      </c>
      <c r="E158" s="2" t="s">
        <v>1341</v>
      </c>
      <c r="F158" s="6">
        <v>45371</v>
      </c>
    </row>
    <row r="159" spans="1:6" x14ac:dyDescent="0.3">
      <c r="A159">
        <v>155</v>
      </c>
      <c r="B159" s="2" t="s">
        <v>661</v>
      </c>
      <c r="C159">
        <v>2024</v>
      </c>
      <c r="D159" s="2" t="s">
        <v>1445</v>
      </c>
      <c r="E159" s="2" t="s">
        <v>1295</v>
      </c>
      <c r="F159" s="22">
        <v>45371</v>
      </c>
    </row>
    <row r="160" spans="1:6" x14ac:dyDescent="0.3">
      <c r="A160">
        <v>156</v>
      </c>
      <c r="B160" s="2" t="s">
        <v>863</v>
      </c>
      <c r="C160">
        <v>2024</v>
      </c>
      <c r="D160" s="2" t="s">
        <v>1445</v>
      </c>
      <c r="E160" s="2" t="s">
        <v>1295</v>
      </c>
      <c r="F160" s="22">
        <v>45371</v>
      </c>
    </row>
    <row r="161" spans="1:6" x14ac:dyDescent="0.3">
      <c r="A161">
        <v>157</v>
      </c>
      <c r="B161" s="2" t="s">
        <v>550</v>
      </c>
      <c r="C161">
        <v>2024</v>
      </c>
      <c r="D161" s="2" t="s">
        <v>1445</v>
      </c>
      <c r="E161" s="2" t="s">
        <v>1295</v>
      </c>
      <c r="F161" s="6">
        <v>45371</v>
      </c>
    </row>
    <row r="162" spans="1:6" x14ac:dyDescent="0.3">
      <c r="A162">
        <v>158</v>
      </c>
      <c r="B162" s="2" t="s">
        <v>469</v>
      </c>
      <c r="C162">
        <v>2024</v>
      </c>
      <c r="D162" s="2" t="s">
        <v>1445</v>
      </c>
      <c r="E162" s="2" t="s">
        <v>1295</v>
      </c>
      <c r="F162" s="6">
        <v>45371</v>
      </c>
    </row>
    <row r="163" spans="1:6" x14ac:dyDescent="0.3">
      <c r="A163">
        <v>159</v>
      </c>
      <c r="B163" s="2" t="s">
        <v>580</v>
      </c>
      <c r="C163">
        <v>2024</v>
      </c>
      <c r="D163" s="2" t="s">
        <v>1445</v>
      </c>
      <c r="E163" s="2" t="s">
        <v>1295</v>
      </c>
      <c r="F163" s="22">
        <v>45371</v>
      </c>
    </row>
    <row r="164" spans="1:6" x14ac:dyDescent="0.3">
      <c r="A164">
        <v>160</v>
      </c>
      <c r="B164" s="2" t="s">
        <v>525</v>
      </c>
      <c r="C164">
        <v>2024</v>
      </c>
      <c r="D164" s="2" t="s">
        <v>1445</v>
      </c>
      <c r="E164" s="2" t="s">
        <v>1295</v>
      </c>
      <c r="F164" s="22">
        <v>45371</v>
      </c>
    </row>
    <row r="165" spans="1:6" x14ac:dyDescent="0.3">
      <c r="A165">
        <v>161</v>
      </c>
      <c r="B165" s="2" t="s">
        <v>501</v>
      </c>
      <c r="C165">
        <v>2024</v>
      </c>
      <c r="D165" s="2" t="s">
        <v>1445</v>
      </c>
      <c r="E165" s="2" t="s">
        <v>1295</v>
      </c>
      <c r="F165" s="6">
        <v>45371</v>
      </c>
    </row>
    <row r="166" spans="1:6" x14ac:dyDescent="0.3">
      <c r="A166">
        <v>162</v>
      </c>
      <c r="B166" s="44" t="s">
        <v>504</v>
      </c>
      <c r="C166">
        <v>2024</v>
      </c>
      <c r="D166" s="2" t="s">
        <v>1448</v>
      </c>
      <c r="E166" s="2" t="s">
        <v>1295</v>
      </c>
      <c r="F166" s="6">
        <v>45371</v>
      </c>
    </row>
    <row r="167" spans="1:6" x14ac:dyDescent="0.3">
      <c r="A167">
        <v>163</v>
      </c>
      <c r="B167" s="5" t="s">
        <v>517</v>
      </c>
      <c r="C167">
        <v>2024</v>
      </c>
      <c r="D167" s="2" t="s">
        <v>1445</v>
      </c>
      <c r="E167" s="2" t="s">
        <v>1295</v>
      </c>
      <c r="F167" s="6">
        <v>45371</v>
      </c>
    </row>
    <row r="168" spans="1:6" x14ac:dyDescent="0.3">
      <c r="A168">
        <v>164</v>
      </c>
      <c r="B168" s="2" t="s">
        <v>531</v>
      </c>
      <c r="C168">
        <v>2024</v>
      </c>
      <c r="D168" s="2" t="s">
        <v>1445</v>
      </c>
      <c r="E168" s="2" t="s">
        <v>1295</v>
      </c>
      <c r="F168" s="22">
        <v>45371</v>
      </c>
    </row>
    <row r="169" spans="1:6" x14ac:dyDescent="0.3">
      <c r="A169">
        <v>165</v>
      </c>
      <c r="B169" s="2" t="s">
        <v>592</v>
      </c>
      <c r="C169">
        <v>2024</v>
      </c>
      <c r="D169" s="2" t="s">
        <v>1445</v>
      </c>
      <c r="E169" s="2" t="s">
        <v>1295</v>
      </c>
      <c r="F169" s="22">
        <v>45371</v>
      </c>
    </row>
    <row r="170" spans="1:6" x14ac:dyDescent="0.3">
      <c r="A170">
        <v>166</v>
      </c>
      <c r="B170" s="2" t="s">
        <v>752</v>
      </c>
      <c r="C170">
        <v>2024</v>
      </c>
      <c r="D170" s="2" t="s">
        <v>1445</v>
      </c>
      <c r="E170" s="2" t="s">
        <v>1295</v>
      </c>
      <c r="F170" s="6">
        <v>45371</v>
      </c>
    </row>
    <row r="171" spans="1:6" x14ac:dyDescent="0.3">
      <c r="A171">
        <v>167</v>
      </c>
      <c r="B171" s="2" t="s">
        <v>649</v>
      </c>
      <c r="C171">
        <v>2024</v>
      </c>
      <c r="D171" s="2" t="s">
        <v>1445</v>
      </c>
      <c r="E171" s="2" t="s">
        <v>1295</v>
      </c>
      <c r="F171" s="6">
        <v>45371</v>
      </c>
    </row>
    <row r="172" spans="1:6" x14ac:dyDescent="0.3">
      <c r="A172">
        <v>168</v>
      </c>
      <c r="B172" s="2" t="s">
        <v>486</v>
      </c>
      <c r="C172">
        <v>2024</v>
      </c>
      <c r="D172" s="2" t="s">
        <v>1445</v>
      </c>
      <c r="E172" s="2" t="s">
        <v>1295</v>
      </c>
      <c r="F172" s="6">
        <v>45371</v>
      </c>
    </row>
    <row r="173" spans="1:6" x14ac:dyDescent="0.3">
      <c r="A173">
        <v>169</v>
      </c>
      <c r="B173" s="2" t="s">
        <v>621</v>
      </c>
      <c r="C173">
        <v>2024</v>
      </c>
      <c r="D173" s="2" t="s">
        <v>1445</v>
      </c>
      <c r="E173" s="2" t="s">
        <v>1295</v>
      </c>
      <c r="F173" s="6">
        <v>45371</v>
      </c>
    </row>
    <row r="174" spans="1:6" x14ac:dyDescent="0.3">
      <c r="A174">
        <v>170</v>
      </c>
      <c r="B174" s="2" t="s">
        <v>623</v>
      </c>
      <c r="C174">
        <v>2024</v>
      </c>
      <c r="D174" s="2" t="s">
        <v>1445</v>
      </c>
      <c r="E174" s="2" t="s">
        <v>1295</v>
      </c>
      <c r="F174" s="6">
        <v>45371</v>
      </c>
    </row>
    <row r="175" spans="1:6" x14ac:dyDescent="0.3">
      <c r="A175">
        <v>171</v>
      </c>
      <c r="B175" s="2" t="s">
        <v>603</v>
      </c>
      <c r="C175">
        <v>2024</v>
      </c>
      <c r="D175" s="2" t="s">
        <v>1445</v>
      </c>
      <c r="E175" s="2" t="s">
        <v>1295</v>
      </c>
      <c r="F175" s="6">
        <v>45371</v>
      </c>
    </row>
    <row r="176" spans="1:6" x14ac:dyDescent="0.3">
      <c r="A176">
        <v>172</v>
      </c>
      <c r="B176" s="2" t="s">
        <v>678</v>
      </c>
      <c r="C176">
        <v>2024</v>
      </c>
      <c r="D176" s="2" t="s">
        <v>1445</v>
      </c>
      <c r="E176" s="2" t="s">
        <v>1295</v>
      </c>
      <c r="F176" s="6">
        <v>45371</v>
      </c>
    </row>
    <row r="177" spans="1:6" x14ac:dyDescent="0.3">
      <c r="A177">
        <v>173</v>
      </c>
      <c r="B177" s="20" t="s">
        <v>831</v>
      </c>
      <c r="C177">
        <v>2024</v>
      </c>
      <c r="D177" s="2" t="s">
        <v>1449</v>
      </c>
      <c r="E177" s="2" t="s">
        <v>1295</v>
      </c>
      <c r="F177" s="9">
        <v>45397</v>
      </c>
    </row>
    <row r="178" spans="1:6" x14ac:dyDescent="0.3">
      <c r="A178">
        <v>174</v>
      </c>
      <c r="B178" s="44" t="s">
        <v>821</v>
      </c>
      <c r="C178">
        <v>2024</v>
      </c>
      <c r="D178" s="2" t="s">
        <v>1398</v>
      </c>
      <c r="E178" s="2" t="s">
        <v>1341</v>
      </c>
      <c r="F178" s="6">
        <v>45371</v>
      </c>
    </row>
    <row r="179" spans="1:6" x14ac:dyDescent="0.3">
      <c r="A179">
        <v>175</v>
      </c>
      <c r="B179" s="2" t="s">
        <v>683</v>
      </c>
      <c r="C179">
        <v>2024</v>
      </c>
      <c r="D179" s="2" t="s">
        <v>1445</v>
      </c>
      <c r="E179" s="2" t="s">
        <v>1295</v>
      </c>
      <c r="F179" s="6">
        <v>45371</v>
      </c>
    </row>
    <row r="180" spans="1:6" x14ac:dyDescent="0.3">
      <c r="A180">
        <v>176</v>
      </c>
      <c r="B180" s="2" t="s">
        <v>666</v>
      </c>
      <c r="C180">
        <v>2024</v>
      </c>
      <c r="D180" s="2" t="s">
        <v>1445</v>
      </c>
      <c r="E180" s="2" t="s">
        <v>1295</v>
      </c>
      <c r="F180" s="6">
        <v>45371</v>
      </c>
    </row>
    <row r="181" spans="1:6" x14ac:dyDescent="0.3">
      <c r="A181">
        <v>177</v>
      </c>
      <c r="B181" s="2" t="s">
        <v>769</v>
      </c>
      <c r="C181">
        <v>2024</v>
      </c>
      <c r="D181" s="2" t="s">
        <v>1445</v>
      </c>
      <c r="E181" s="2" t="s">
        <v>1295</v>
      </c>
      <c r="F181" s="6">
        <v>45371</v>
      </c>
    </row>
    <row r="182" spans="1:6" x14ac:dyDescent="0.3">
      <c r="A182">
        <v>178</v>
      </c>
      <c r="B182" s="2" t="s">
        <v>765</v>
      </c>
      <c r="C182">
        <v>2024</v>
      </c>
      <c r="D182" s="2" t="s">
        <v>1445</v>
      </c>
      <c r="E182" s="2" t="s">
        <v>1295</v>
      </c>
      <c r="F182" s="22">
        <v>45371</v>
      </c>
    </row>
    <row r="183" spans="1:6" x14ac:dyDescent="0.3">
      <c r="A183">
        <v>179</v>
      </c>
      <c r="B183" s="2" t="s">
        <v>723</v>
      </c>
      <c r="C183">
        <v>2024</v>
      </c>
      <c r="D183" s="2" t="s">
        <v>1296</v>
      </c>
      <c r="E183" s="2" t="s">
        <v>1295</v>
      </c>
      <c r="F183" s="6">
        <v>45371</v>
      </c>
    </row>
    <row r="184" spans="1:6" x14ac:dyDescent="0.3">
      <c r="A184">
        <v>180</v>
      </c>
      <c r="B184" s="2" t="s">
        <v>790</v>
      </c>
      <c r="C184">
        <v>2024</v>
      </c>
      <c r="D184" s="2" t="s">
        <v>1445</v>
      </c>
      <c r="E184" s="2" t="s">
        <v>1295</v>
      </c>
      <c r="F184" s="22">
        <v>45371</v>
      </c>
    </row>
    <row r="185" spans="1:6" x14ac:dyDescent="0.3">
      <c r="A185">
        <v>181</v>
      </c>
      <c r="B185" s="2" t="s">
        <v>786</v>
      </c>
      <c r="C185">
        <v>2024</v>
      </c>
      <c r="D185" s="2" t="s">
        <v>1445</v>
      </c>
      <c r="E185" s="2" t="s">
        <v>1295</v>
      </c>
      <c r="F185" s="6">
        <v>45371</v>
      </c>
    </row>
    <row r="186" spans="1:6" x14ac:dyDescent="0.3">
      <c r="A186">
        <v>182</v>
      </c>
      <c r="B186" s="7" t="s">
        <v>218</v>
      </c>
      <c r="C186">
        <v>2016</v>
      </c>
      <c r="D186" s="2" t="s">
        <v>1398</v>
      </c>
      <c r="E186" s="2" t="s">
        <v>1341</v>
      </c>
    </row>
    <row r="187" spans="1:6" x14ac:dyDescent="0.3">
      <c r="A187">
        <v>183</v>
      </c>
      <c r="B187" s="7" t="s">
        <v>687</v>
      </c>
      <c r="C187">
        <v>2024</v>
      </c>
      <c r="D187" s="2" t="s">
        <v>1451</v>
      </c>
      <c r="E187" s="2" t="s">
        <v>1295</v>
      </c>
      <c r="F187" s="6">
        <v>45371</v>
      </c>
    </row>
    <row r="188" spans="1:6" x14ac:dyDescent="0.3">
      <c r="A188">
        <v>184</v>
      </c>
      <c r="B188" s="44" t="s">
        <v>1453</v>
      </c>
      <c r="C188">
        <v>2021</v>
      </c>
      <c r="D188" s="2" t="s">
        <v>1454</v>
      </c>
      <c r="E188" s="2" t="s">
        <v>190</v>
      </c>
    </row>
    <row r="189" spans="1:6" x14ac:dyDescent="0.3">
      <c r="A189">
        <v>185</v>
      </c>
      <c r="B189" s="8" t="s">
        <v>253</v>
      </c>
      <c r="C189">
        <v>2023</v>
      </c>
      <c r="D189" s="2" t="s">
        <v>1279</v>
      </c>
      <c r="E189" s="2" t="s">
        <v>1276</v>
      </c>
    </row>
    <row r="190" spans="1:6" x14ac:dyDescent="0.3">
      <c r="A190">
        <v>186</v>
      </c>
      <c r="B190" s="19" t="s">
        <v>30</v>
      </c>
      <c r="C190">
        <v>2022</v>
      </c>
      <c r="D190" s="2" t="s">
        <v>1344</v>
      </c>
      <c r="E190" s="2" t="s">
        <v>190</v>
      </c>
    </row>
    <row r="191" spans="1:6" x14ac:dyDescent="0.3">
      <c r="A191">
        <v>187</v>
      </c>
      <c r="B191" s="8" t="s">
        <v>980</v>
      </c>
      <c r="C191">
        <v>2021</v>
      </c>
      <c r="D191" s="2" t="s">
        <v>1398</v>
      </c>
      <c r="E191" s="2" t="s">
        <v>1341</v>
      </c>
    </row>
    <row r="192" spans="1:6" x14ac:dyDescent="0.3">
      <c r="A192">
        <v>188</v>
      </c>
      <c r="B192" s="35" t="s">
        <v>526</v>
      </c>
      <c r="C192">
        <v>2019</v>
      </c>
      <c r="D192" s="2" t="s">
        <v>1290</v>
      </c>
      <c r="E192" s="2" t="s">
        <v>190</v>
      </c>
    </row>
    <row r="193" spans="1:5" x14ac:dyDescent="0.3">
      <c r="A193">
        <v>189</v>
      </c>
      <c r="B193" s="5" t="s">
        <v>1019</v>
      </c>
      <c r="C193">
        <v>2021</v>
      </c>
      <c r="D193" s="2" t="s">
        <v>1398</v>
      </c>
      <c r="E193" s="2" t="s">
        <v>1341</v>
      </c>
    </row>
    <row r="194" spans="1:5" x14ac:dyDescent="0.3">
      <c r="A194">
        <v>190</v>
      </c>
      <c r="B194" s="8" t="s">
        <v>222</v>
      </c>
      <c r="C194">
        <v>2023</v>
      </c>
      <c r="D194" s="2" t="s">
        <v>1449</v>
      </c>
      <c r="E194" s="2" t="s">
        <v>1261</v>
      </c>
    </row>
    <row r="195" spans="1:5" x14ac:dyDescent="0.3">
      <c r="A195">
        <v>191</v>
      </c>
      <c r="B195" s="2" t="s">
        <v>310</v>
      </c>
      <c r="C195">
        <v>2024</v>
      </c>
      <c r="D195" s="2" t="s">
        <v>1449</v>
      </c>
      <c r="E195" s="2" t="s">
        <v>1261</v>
      </c>
    </row>
    <row r="196" spans="1:5" x14ac:dyDescent="0.3">
      <c r="A196">
        <v>192</v>
      </c>
      <c r="B196" s="44" t="s">
        <v>982</v>
      </c>
      <c r="C196">
        <v>2021</v>
      </c>
      <c r="D196" s="2" t="s">
        <v>1398</v>
      </c>
      <c r="E196" s="2" t="s">
        <v>1341</v>
      </c>
    </row>
    <row r="197" spans="1:5" x14ac:dyDescent="0.3">
      <c r="A197">
        <v>193</v>
      </c>
      <c r="B197" s="44" t="s">
        <v>719</v>
      </c>
      <c r="C197">
        <v>2022</v>
      </c>
      <c r="D197" s="2" t="s">
        <v>1398</v>
      </c>
      <c r="E197" s="2" t="s">
        <v>1341</v>
      </c>
    </row>
  </sheetData>
  <autoFilter ref="A4:F197" xr:uid="{FEA61A22-58D6-410F-AC7C-D727DE7783D3}"/>
  <conditionalFormatting sqref="B1:B1048576">
    <cfRule type="duplicateValues" dxfId="1" priority="3"/>
    <cfRule type="duplicateValues" dxfId="0" priority="4"/>
  </conditionalFormatting>
  <hyperlinks>
    <hyperlink ref="B12" r:id="rId1" xr:uid="{85B00C0B-D533-440A-AA63-40DE8D3574D9}"/>
    <hyperlink ref="B13" r:id="rId2" xr:uid="{572ABD55-8513-4C33-9E3E-056CD64D9CE9}"/>
    <hyperlink ref="B14" r:id="rId3" xr:uid="{750140FD-FCB0-43FF-98F6-956A81A77053}"/>
    <hyperlink ref="B15" r:id="rId4" xr:uid="{AA87BEC8-4848-48C0-83F4-D69216F3083A}"/>
    <hyperlink ref="B16" r:id="rId5" xr:uid="{AB09D4EC-F8A4-4EB1-B47E-A777DE3FFC50}"/>
    <hyperlink ref="B17" r:id="rId6" xr:uid="{6748E278-2017-44EF-8E75-6273A44D1A72}"/>
    <hyperlink ref="B18" r:id="rId7" xr:uid="{2BBF57EF-D839-473D-8842-C687105AFC7C}"/>
    <hyperlink ref="B19" r:id="rId8" xr:uid="{7CBD89C3-AF5D-44FD-B195-DB555F933B8D}"/>
    <hyperlink ref="B20" r:id="rId9" xr:uid="{7739B5C7-58D0-41A0-9AF7-605E00C52192}"/>
    <hyperlink ref="B21" r:id="rId10" xr:uid="{A8678779-B71E-4511-A675-1214A3051C81}"/>
    <hyperlink ref="B22" r:id="rId11" xr:uid="{E081E112-E23E-4252-8DAC-A5EB653E4904}"/>
    <hyperlink ref="B23" r:id="rId12" xr:uid="{5D045E8E-6433-47DA-B7DB-E164512D9C69}"/>
    <hyperlink ref="B24" r:id="rId13" xr:uid="{9CFBC35A-EC34-49F0-A520-D85BA7ED2003}"/>
    <hyperlink ref="B25" r:id="rId14" xr:uid="{16FF8278-A409-4ADC-90C8-BCAFB80134A4}"/>
    <hyperlink ref="B26" r:id="rId15" xr:uid="{B9F0725F-F5B2-4F17-8FED-E5CDE9BDC574}"/>
    <hyperlink ref="B27" r:id="rId16" xr:uid="{9CE667E6-365F-4372-AB1F-8E941736D60C}"/>
    <hyperlink ref="B28" r:id="rId17" xr:uid="{59D14B68-4377-4BD1-91D9-0F9039B67B24}"/>
    <hyperlink ref="B29" r:id="rId18" xr:uid="{4E06E1AD-710A-46DA-B779-E0AEBC56FBAF}"/>
    <hyperlink ref="B30" r:id="rId19" xr:uid="{B5B58039-3CB9-487B-A7BA-8B385136960E}"/>
    <hyperlink ref="B31" r:id="rId20" xr:uid="{98C13F06-1CC7-46DE-8CFD-98F9C0645971}"/>
    <hyperlink ref="B32" r:id="rId21" xr:uid="{2CF55C1C-DC8D-4E8B-B1B0-0208DC2D9A25}"/>
    <hyperlink ref="B33" r:id="rId22" xr:uid="{85857337-256A-4784-8B98-726BB94FF5B7}"/>
    <hyperlink ref="B34" r:id="rId23" location="B11-sustainability-15-14067" xr:uid="{14DF1145-99D0-4C89-87A2-2960705C21DA}"/>
    <hyperlink ref="B35" r:id="rId24" xr:uid="{25E553CA-5B89-457E-A311-A78CCA53F3C6}"/>
    <hyperlink ref="B36" r:id="rId25" xr:uid="{196746BA-0B58-4B49-B9E8-22D53FB53408}"/>
    <hyperlink ref="B37" r:id="rId26" xr:uid="{D7F46E78-C42B-4587-A520-66720965E776}"/>
    <hyperlink ref="B38" r:id="rId27" xr:uid="{BC607467-91AA-433A-8216-F70063ACAD43}"/>
    <hyperlink ref="B39" r:id="rId28" xr:uid="{AFDC30A0-329C-42E2-A47F-0F48B63D6CBF}"/>
    <hyperlink ref="B40" r:id="rId29" xr:uid="{8C999443-1DEE-44A0-92A1-F71D6D77938C}"/>
    <hyperlink ref="B41" r:id="rId30" xr:uid="{E11978D4-D6F5-4263-A2DD-188DD12E8FA8}"/>
    <hyperlink ref="B42" r:id="rId31" xr:uid="{4182EC4A-2BC4-4CD4-AD8C-56C784F8EE2F}"/>
    <hyperlink ref="B43" r:id="rId32" xr:uid="{99A04C3E-B5E8-43EE-BB50-103BD85C847D}"/>
    <hyperlink ref="B44" r:id="rId33" xr:uid="{F9A214D4-4B7F-48BD-A836-C91E04AE658D}"/>
    <hyperlink ref="B45" r:id="rId34" xr:uid="{97966989-0D04-4D1B-9284-145A319652AD}"/>
    <hyperlink ref="B46" r:id="rId35" xr:uid="{DF2F011E-9C1A-4B11-A81B-518F17C7EE81}"/>
    <hyperlink ref="B47" r:id="rId36" xr:uid="{0590DD78-2D79-42E2-8E44-47845DA5BDDE}"/>
    <hyperlink ref="B48" r:id="rId37" xr:uid="{9AF0ACA5-FAB1-47B7-99D1-DF23D9D16DD4}"/>
    <hyperlink ref="B49" r:id="rId38" xr:uid="{677248A1-2588-4E7D-BF3D-FAA58BA71569}"/>
    <hyperlink ref="B50" r:id="rId39" xr:uid="{5C2B544E-F224-4B48-A43B-B313FA771FF7}"/>
    <hyperlink ref="B51" r:id="rId40" xr:uid="{3C51EBC5-3E48-4B2E-AC7D-A01249DA6AF9}"/>
    <hyperlink ref="B52" r:id="rId41" xr:uid="{65608ECB-A7EA-40F1-BDF0-07EB11BB7DB7}"/>
    <hyperlink ref="B53" r:id="rId42" xr:uid="{6E789AD5-DA36-4E43-ABEF-CA8399B8C3CE}"/>
    <hyperlink ref="B54" r:id="rId43" xr:uid="{7116C6E6-FC81-4F0A-A2DE-A1528C35C60B}"/>
    <hyperlink ref="B55" r:id="rId44" xr:uid="{C35A7AFA-2EF5-4C4C-80FD-1359B1070451}"/>
    <hyperlink ref="B56" r:id="rId45" xr:uid="{3DDBD445-40DA-41CE-A06F-1FD55A403828}"/>
    <hyperlink ref="B57" r:id="rId46" xr:uid="{C9EDC3D6-15FF-4734-8FBC-4C93E083EEFD}"/>
    <hyperlink ref="B58" r:id="rId47" xr:uid="{8AA0C99B-CD5E-40A2-9B36-88E94EA09507}"/>
    <hyperlink ref="B59" r:id="rId48" xr:uid="{08ACADDF-8989-4A82-845B-AAC6F91FD774}"/>
    <hyperlink ref="B60" r:id="rId49" xr:uid="{D273CE7F-641C-4C03-BB14-88FDFEA41F4D}"/>
    <hyperlink ref="B61" r:id="rId50" xr:uid="{96D8438C-6010-4952-9A53-C559E0461181}"/>
    <hyperlink ref="B62" r:id="rId51" xr:uid="{5D23EA7E-A789-4311-BD65-21928F2B255A}"/>
    <hyperlink ref="B63" r:id="rId52" xr:uid="{6691D604-974A-4334-A618-41720C87C82C}"/>
    <hyperlink ref="B64" r:id="rId53" xr:uid="{2FC4A479-70E7-42B7-B2AA-B66A8E284757}"/>
    <hyperlink ref="B66" r:id="rId54" xr:uid="{68DBAFD3-AA72-4B3F-B6E6-3F018C331C19}"/>
    <hyperlink ref="B67" r:id="rId55" xr:uid="{89CAAC7A-D9EC-477D-8D1B-A12DE2B22914}"/>
    <hyperlink ref="B68" r:id="rId56" xr:uid="{3D2A4374-312F-4405-9C51-71CE6EB3696F}"/>
    <hyperlink ref="B69" r:id="rId57" xr:uid="{4E97E0C1-9CC9-453B-9606-9B7AC26BE5C3}"/>
    <hyperlink ref="B70" r:id="rId58" xr:uid="{BA6D0055-5608-471E-9F65-A40427462531}"/>
    <hyperlink ref="B71" r:id="rId59" xr:uid="{2DD654D9-2B73-4CAF-A75D-84B7EE7D7873}"/>
    <hyperlink ref="B72" r:id="rId60" xr:uid="{B069BD81-829B-4E4F-89EC-B66CB52DE221}"/>
    <hyperlink ref="B73" r:id="rId61" xr:uid="{396566E6-4C2F-4DB1-B899-3F37152CB05E}"/>
    <hyperlink ref="B74" r:id="rId62" xr:uid="{188D9586-69E1-40C1-80F4-F0AEB52FB02A}"/>
    <hyperlink ref="B75" r:id="rId63" xr:uid="{0213D288-7201-4380-84D7-92169C2A60C8}"/>
    <hyperlink ref="B77" r:id="rId64" xr:uid="{3ECE592F-E86C-422D-9CFC-A715F3E0443D}"/>
    <hyperlink ref="B78" r:id="rId65" xr:uid="{DD10C13D-0FD4-48BA-8BF3-D5DF85DA7C15}"/>
    <hyperlink ref="B79" r:id="rId66" xr:uid="{AC9B13F8-D0D3-4A50-9266-EF676BF94457}"/>
    <hyperlink ref="B80" r:id="rId67" xr:uid="{6F3C8652-734E-4292-9823-10212D28A372}"/>
    <hyperlink ref="B81" r:id="rId68" xr:uid="{0F032829-761A-48A5-869B-9F6F6D766969}"/>
    <hyperlink ref="B82" r:id="rId69" xr:uid="{70E26F35-5B57-4CD9-90B0-85CB8697EE40}"/>
    <hyperlink ref="B84" r:id="rId70" xr:uid="{866CB226-9E6D-4422-84D2-D6567A9273C9}"/>
    <hyperlink ref="B85" r:id="rId71" xr:uid="{26CC09F2-8F05-4591-8DD0-732BA0F14DB2}"/>
    <hyperlink ref="B86" r:id="rId72" xr:uid="{557A75E2-9614-401A-A5B3-70C05146654C}"/>
    <hyperlink ref="B87" r:id="rId73" xr:uid="{2341BEF1-AD48-475A-859C-D4C7CFB19C82}"/>
    <hyperlink ref="B88" r:id="rId74" xr:uid="{26E8D7D5-7FB2-4B73-BBE6-7A30B08AD730}"/>
    <hyperlink ref="B89" r:id="rId75" xr:uid="{61C35E7C-F4F0-47FF-A946-E589C3B0FA68}"/>
    <hyperlink ref="B90" r:id="rId76" xr:uid="{BD5B88CC-47C9-4BD1-A67E-DCDAA7CC8E51}"/>
    <hyperlink ref="B91" r:id="rId77" xr:uid="{292319A4-6A63-46EF-9E3C-D4E76CA25E4E}"/>
    <hyperlink ref="B92" r:id="rId78" xr:uid="{7DB9D673-C756-4807-9941-CD15BDD367C1}"/>
    <hyperlink ref="B93" r:id="rId79" xr:uid="{DEA2CD4A-1BEC-4618-A5F5-1D9CED5F6D9C}"/>
    <hyperlink ref="B94" r:id="rId80" xr:uid="{095AD60A-C0D5-4819-BCAC-EB144C5B9E08}"/>
    <hyperlink ref="B95" r:id="rId81" xr:uid="{2186F4C8-8EF1-4710-9998-0DCDECE263BA}"/>
    <hyperlink ref="B100" r:id="rId82" xr:uid="{7C34ED87-3B63-44B8-A75E-C852557EF509}"/>
    <hyperlink ref="B113" r:id="rId83" xr:uid="{1D0F189E-81AC-48F3-B36C-3BB3558FF6B0}"/>
    <hyperlink ref="B130" r:id="rId84" xr:uid="{D45F37B2-9DE9-4C37-888A-F5BBBBC75BBF}"/>
    <hyperlink ref="B5" r:id="rId85" xr:uid="{E5D32D6C-3E92-4DD9-AC74-D58E9E3114D6}"/>
    <hyperlink ref="B76" r:id="rId86" xr:uid="{B977FD95-6C6D-47CF-A30A-0746E3CA7085}"/>
    <hyperlink ref="B134" r:id="rId87" xr:uid="{F89EB285-97AD-4F17-A6C8-FA7B2F598FD3}"/>
    <hyperlink ref="B135" r:id="rId88" xr:uid="{CE5072F4-BB97-43A8-8501-D6C5D719657C}"/>
    <hyperlink ref="B139" r:id="rId89" xr:uid="{953CDAC9-F038-4CBC-9D48-FD4B5F4C83D7}"/>
    <hyperlink ref="B157" r:id="rId90" xr:uid="{62E9C575-ADA2-4BBF-A786-A38778F3A228}"/>
    <hyperlink ref="B167" r:id="rId91" xr:uid="{A7038CDE-243A-4ADF-ABF7-E4175D5BF18C}"/>
    <hyperlink ref="B177" r:id="rId92" xr:uid="{563C820C-51BE-45F7-931D-7DDC1A7DC930}"/>
    <hyperlink ref="B158" r:id="rId93" xr:uid="{1189A4C3-F787-40E6-8604-9B0BB9C7C8EC}"/>
    <hyperlink ref="B166" r:id="rId94" xr:uid="{88D64593-0951-47A8-84B6-198B0B3D4EB1}"/>
    <hyperlink ref="B178" r:id="rId95" location=":~:text=The%20Board%20of%20Premier%20African,Mica%20and%20Spodumene%20flotation%20sections." xr:uid="{A0BD748B-BF83-44BA-B510-6A7D77BF97F1}"/>
    <hyperlink ref="B186" r:id="rId96" xr:uid="{C3DE0064-BD74-44B5-9762-5FEEEA8BA358}"/>
    <hyperlink ref="B187" r:id="rId97" xr:uid="{6C8383E3-F44E-4132-AE5C-4523804CA833}"/>
    <hyperlink ref="B188" r:id="rId98" xr:uid="{6A6414FB-B825-4E8A-9D26-564055594D4A}"/>
    <hyperlink ref="B189" r:id="rId99" xr:uid="{87252415-CE8D-415D-ABC8-91D540DFFF63}"/>
    <hyperlink ref="B190" r:id="rId100" location="i97a3787e661c4034b0ea200b575ea732_91" xr:uid="{5A68AA8F-7EBA-4E9F-8475-216F7CE37458}"/>
    <hyperlink ref="B191" r:id="rId101" xr:uid="{5DDA7B40-B8B6-4E1E-A63B-30D7AAB028B3}"/>
    <hyperlink ref="B192" r:id="rId102" xr:uid="{27985E3C-6717-4617-97BA-94DFF74CA10C}"/>
    <hyperlink ref="B193" r:id="rId103" xr:uid="{E0B3748E-88F0-4B47-8D3B-CAC3621904AA}"/>
    <hyperlink ref="B194" r:id="rId104" xr:uid="{337CE9D2-65E3-42D0-B79D-02E815D82C06}"/>
    <hyperlink ref="B197" r:id="rId105" xr:uid="{5312F06A-E770-4D4B-A786-122AD7159E97}"/>
    <hyperlink ref="B196" r:id="rId106" xr:uid="{4E1013C8-414B-4C55-934E-54F933E55754}"/>
  </hyperlinks>
  <pageMargins left="0.7" right="0.7" top="0.75" bottom="0.75" header="0.3" footer="0.3"/>
  <pageSetup orientation="portrait" r:id="rId10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BC68E-75EA-44FE-A4C3-65F96C0D8F30}">
  <dimension ref="A1:C72"/>
  <sheetViews>
    <sheetView workbookViewId="0">
      <selection activeCell="A51" sqref="A51:XFD51"/>
    </sheetView>
  </sheetViews>
  <sheetFormatPr defaultRowHeight="14.4" x14ac:dyDescent="0.3"/>
  <cols>
    <col min="1" max="1" width="25" customWidth="1"/>
    <col min="2" max="2" width="138.88671875" bestFit="1" customWidth="1"/>
    <col min="3" max="3" width="27.109375" bestFit="1" customWidth="1"/>
  </cols>
  <sheetData>
    <row r="1" spans="1:3" x14ac:dyDescent="0.3">
      <c r="A1" s="42" t="s">
        <v>1154</v>
      </c>
    </row>
    <row r="2" spans="1:3" x14ac:dyDescent="0.3">
      <c r="A2" s="40" t="s">
        <v>1156</v>
      </c>
    </row>
    <row r="3" spans="1:3" x14ac:dyDescent="0.3">
      <c r="A3" s="40" t="s">
        <v>1155</v>
      </c>
    </row>
    <row r="4" spans="1:3" x14ac:dyDescent="0.3">
      <c r="A4" s="40"/>
    </row>
    <row r="5" spans="1:3" x14ac:dyDescent="0.3">
      <c r="A5" s="40"/>
    </row>
    <row r="6" spans="1:3" x14ac:dyDescent="0.3">
      <c r="A6" s="43" t="s">
        <v>1157</v>
      </c>
      <c r="B6" s="43" t="s">
        <v>1158</v>
      </c>
      <c r="C6" s="43" t="s">
        <v>1159</v>
      </c>
    </row>
    <row r="7" spans="1:3" x14ac:dyDescent="0.3">
      <c r="A7" s="41" t="s">
        <v>1</v>
      </c>
      <c r="B7" t="s">
        <v>1160</v>
      </c>
      <c r="C7" t="s">
        <v>1161</v>
      </c>
    </row>
    <row r="8" spans="1:3" x14ac:dyDescent="0.3">
      <c r="A8" s="41" t="s">
        <v>1046</v>
      </c>
      <c r="B8" t="s">
        <v>1200</v>
      </c>
      <c r="C8" t="s">
        <v>1161</v>
      </c>
    </row>
    <row r="9" spans="1:3" x14ac:dyDescent="0.3">
      <c r="A9" s="41" t="s">
        <v>2</v>
      </c>
      <c r="B9" t="s">
        <v>2</v>
      </c>
      <c r="C9" t="s">
        <v>1161</v>
      </c>
    </row>
    <row r="10" spans="1:3" x14ac:dyDescent="0.3">
      <c r="A10" s="41" t="s">
        <v>4</v>
      </c>
      <c r="B10" t="s">
        <v>1162</v>
      </c>
      <c r="C10" t="s">
        <v>1163</v>
      </c>
    </row>
    <row r="11" spans="1:3" x14ac:dyDescent="0.3">
      <c r="A11" s="41" t="s">
        <v>5</v>
      </c>
      <c r="B11" t="s">
        <v>1162</v>
      </c>
      <c r="C11" t="s">
        <v>1163</v>
      </c>
    </row>
    <row r="12" spans="1:3" x14ac:dyDescent="0.3">
      <c r="A12" s="41" t="s">
        <v>3</v>
      </c>
      <c r="B12" t="s">
        <v>1201</v>
      </c>
      <c r="C12" t="s">
        <v>1161</v>
      </c>
    </row>
    <row r="13" spans="1:3" x14ac:dyDescent="0.3">
      <c r="A13" s="41" t="s">
        <v>1047</v>
      </c>
      <c r="B13" t="s">
        <v>1202</v>
      </c>
      <c r="C13" t="s">
        <v>1161</v>
      </c>
    </row>
    <row r="14" spans="1:3" x14ac:dyDescent="0.3">
      <c r="A14" s="41" t="s">
        <v>1044</v>
      </c>
      <c r="B14" t="s">
        <v>1204</v>
      </c>
      <c r="C14" t="s">
        <v>1203</v>
      </c>
    </row>
    <row r="15" spans="1:3" x14ac:dyDescent="0.3">
      <c r="A15" s="41" t="s">
        <v>1411</v>
      </c>
      <c r="B15" t="s">
        <v>1209</v>
      </c>
      <c r="C15" t="s">
        <v>1444</v>
      </c>
    </row>
    <row r="16" spans="1:3" x14ac:dyDescent="0.3">
      <c r="A16" s="41" t="s">
        <v>1090</v>
      </c>
      <c r="B16" t="s">
        <v>1205</v>
      </c>
      <c r="C16" t="s">
        <v>1163</v>
      </c>
    </row>
    <row r="17" spans="1:3" x14ac:dyDescent="0.3">
      <c r="A17" s="41" t="s">
        <v>1091</v>
      </c>
      <c r="B17" t="s">
        <v>1206</v>
      </c>
      <c r="C17" t="s">
        <v>1163</v>
      </c>
    </row>
    <row r="18" spans="1:3" x14ac:dyDescent="0.3">
      <c r="A18" s="41" t="s">
        <v>6</v>
      </c>
      <c r="B18" t="s">
        <v>1207</v>
      </c>
      <c r="C18" t="s">
        <v>1161</v>
      </c>
    </row>
    <row r="19" spans="1:3" x14ac:dyDescent="0.3">
      <c r="A19" s="41" t="s">
        <v>1053</v>
      </c>
      <c r="B19" t="s">
        <v>1208</v>
      </c>
      <c r="C19" t="s">
        <v>1161</v>
      </c>
    </row>
    <row r="20" spans="1:3" x14ac:dyDescent="0.3">
      <c r="A20" s="41" t="s">
        <v>1061</v>
      </c>
      <c r="B20" t="s">
        <v>1209</v>
      </c>
      <c r="C20" t="s">
        <v>1444</v>
      </c>
    </row>
    <row r="21" spans="1:3" x14ac:dyDescent="0.3">
      <c r="A21" s="41" t="s">
        <v>1111</v>
      </c>
      <c r="B21" t="s">
        <v>1210</v>
      </c>
      <c r="C21" t="s">
        <v>1163</v>
      </c>
    </row>
    <row r="22" spans="1:3" x14ac:dyDescent="0.3">
      <c r="A22" s="41" t="s">
        <v>1112</v>
      </c>
      <c r="B22" t="s">
        <v>1211</v>
      </c>
      <c r="C22" t="s">
        <v>1163</v>
      </c>
    </row>
    <row r="23" spans="1:3" x14ac:dyDescent="0.3">
      <c r="A23" s="41" t="s">
        <v>1406</v>
      </c>
      <c r="B23" t="s">
        <v>1407</v>
      </c>
      <c r="C23" t="s">
        <v>1161</v>
      </c>
    </row>
    <row r="24" spans="1:3" x14ac:dyDescent="0.3">
      <c r="A24" s="39" t="s">
        <v>1450</v>
      </c>
      <c r="B24" t="s">
        <v>1209</v>
      </c>
      <c r="C24" t="s">
        <v>1444</v>
      </c>
    </row>
    <row r="25" spans="1:3" x14ac:dyDescent="0.3">
      <c r="A25" s="41" t="s">
        <v>1058</v>
      </c>
      <c r="B25" t="s">
        <v>1178</v>
      </c>
      <c r="C25" t="s">
        <v>1163</v>
      </c>
    </row>
    <row r="26" spans="1:3" x14ac:dyDescent="0.3">
      <c r="A26" s="41" t="s">
        <v>1059</v>
      </c>
      <c r="B26" t="s">
        <v>1179</v>
      </c>
      <c r="C26" t="s">
        <v>1161</v>
      </c>
    </row>
    <row r="27" spans="1:3" x14ac:dyDescent="0.3">
      <c r="A27" s="41" t="s">
        <v>1060</v>
      </c>
      <c r="B27" t="s">
        <v>1180</v>
      </c>
      <c r="C27" t="s">
        <v>1176</v>
      </c>
    </row>
    <row r="28" spans="1:3" x14ac:dyDescent="0.3">
      <c r="A28" s="41" t="s">
        <v>1063</v>
      </c>
      <c r="B28" t="s">
        <v>1182</v>
      </c>
      <c r="C28" t="s">
        <v>1161</v>
      </c>
    </row>
    <row r="29" spans="1:3" x14ac:dyDescent="0.3">
      <c r="A29" s="41" t="s">
        <v>1064</v>
      </c>
      <c r="B29" t="s">
        <v>1194</v>
      </c>
      <c r="C29" t="s">
        <v>1163</v>
      </c>
    </row>
    <row r="30" spans="1:3" x14ac:dyDescent="0.3">
      <c r="A30" s="41" t="s">
        <v>1071</v>
      </c>
      <c r="B30" t="s">
        <v>1183</v>
      </c>
      <c r="C30" t="s">
        <v>1161</v>
      </c>
    </row>
    <row r="31" spans="1:3" x14ac:dyDescent="0.3">
      <c r="A31" s="41" t="s">
        <v>1065</v>
      </c>
      <c r="B31" t="s">
        <v>1184</v>
      </c>
      <c r="C31" t="s">
        <v>1176</v>
      </c>
    </row>
    <row r="32" spans="1:3" x14ac:dyDescent="0.3">
      <c r="A32" s="41" t="s">
        <v>1057</v>
      </c>
      <c r="B32" t="s">
        <v>1209</v>
      </c>
      <c r="C32" t="s">
        <v>1444</v>
      </c>
    </row>
    <row r="33" spans="1:3" x14ac:dyDescent="0.3">
      <c r="A33" s="41" t="s">
        <v>1062</v>
      </c>
      <c r="B33" t="s">
        <v>1181</v>
      </c>
      <c r="C33" t="s">
        <v>1167</v>
      </c>
    </row>
    <row r="34" spans="1:3" x14ac:dyDescent="0.3">
      <c r="A34" s="41" t="s">
        <v>1067</v>
      </c>
      <c r="B34" t="s">
        <v>1172</v>
      </c>
      <c r="C34" t="s">
        <v>1163</v>
      </c>
    </row>
    <row r="35" spans="1:3" x14ac:dyDescent="0.3">
      <c r="A35" s="41" t="s">
        <v>1070</v>
      </c>
      <c r="B35" t="s">
        <v>1174</v>
      </c>
      <c r="C35" t="s">
        <v>1161</v>
      </c>
    </row>
    <row r="36" spans="1:3" x14ac:dyDescent="0.3">
      <c r="A36" s="41" t="s">
        <v>8</v>
      </c>
      <c r="B36" t="s">
        <v>1175</v>
      </c>
      <c r="C36" t="s">
        <v>1176</v>
      </c>
    </row>
    <row r="37" spans="1:3" x14ac:dyDescent="0.3">
      <c r="A37" s="41" t="s">
        <v>1197</v>
      </c>
      <c r="B37" t="s">
        <v>1195</v>
      </c>
      <c r="C37" t="s">
        <v>1163</v>
      </c>
    </row>
    <row r="38" spans="1:3" x14ac:dyDescent="0.3">
      <c r="A38" s="41" t="s">
        <v>1198</v>
      </c>
      <c r="B38" t="s">
        <v>1170</v>
      </c>
      <c r="C38" t="s">
        <v>1161</v>
      </c>
    </row>
    <row r="39" spans="1:3" x14ac:dyDescent="0.3">
      <c r="A39" s="41" t="s">
        <v>9</v>
      </c>
      <c r="B39" t="s">
        <v>1177</v>
      </c>
      <c r="C39" t="s">
        <v>1176</v>
      </c>
    </row>
    <row r="40" spans="1:3" x14ac:dyDescent="0.3">
      <c r="A40" s="41" t="s">
        <v>1199</v>
      </c>
      <c r="B40" t="s">
        <v>1171</v>
      </c>
      <c r="C40" t="s">
        <v>1163</v>
      </c>
    </row>
    <row r="41" spans="1:3" x14ac:dyDescent="0.3">
      <c r="A41" s="41" t="s">
        <v>1068</v>
      </c>
      <c r="B41" t="s">
        <v>1209</v>
      </c>
      <c r="C41" t="s">
        <v>1444</v>
      </c>
    </row>
    <row r="42" spans="1:3" x14ac:dyDescent="0.3">
      <c r="A42" s="41" t="s">
        <v>1069</v>
      </c>
      <c r="B42" t="s">
        <v>1173</v>
      </c>
      <c r="C42" t="s">
        <v>1167</v>
      </c>
    </row>
    <row r="43" spans="1:3" x14ac:dyDescent="0.3">
      <c r="A43" s="41" t="s">
        <v>1076</v>
      </c>
      <c r="B43" t="s">
        <v>1185</v>
      </c>
      <c r="C43" t="s">
        <v>1163</v>
      </c>
    </row>
    <row r="44" spans="1:3" x14ac:dyDescent="0.3">
      <c r="A44" s="41" t="s">
        <v>1077</v>
      </c>
      <c r="B44" t="s">
        <v>1187</v>
      </c>
      <c r="C44" t="s">
        <v>1161</v>
      </c>
    </row>
    <row r="45" spans="1:3" x14ac:dyDescent="0.3">
      <c r="A45" s="41" t="s">
        <v>1078</v>
      </c>
      <c r="B45" t="s">
        <v>1214</v>
      </c>
      <c r="C45" t="s">
        <v>1161</v>
      </c>
    </row>
    <row r="46" spans="1:3" x14ac:dyDescent="0.3">
      <c r="A46" s="41" t="s">
        <v>1079</v>
      </c>
      <c r="B46" t="s">
        <v>1215</v>
      </c>
      <c r="C46" t="s">
        <v>1163</v>
      </c>
    </row>
    <row r="47" spans="1:3" x14ac:dyDescent="0.3">
      <c r="A47" s="41" t="s">
        <v>1080</v>
      </c>
      <c r="B47" t="s">
        <v>1216</v>
      </c>
      <c r="C47" t="s">
        <v>1161</v>
      </c>
    </row>
    <row r="48" spans="1:3" x14ac:dyDescent="0.3">
      <c r="A48" s="41" t="s">
        <v>1081</v>
      </c>
      <c r="B48" t="s">
        <v>1217</v>
      </c>
      <c r="C48" t="s">
        <v>1161</v>
      </c>
    </row>
    <row r="49" spans="1:3" x14ac:dyDescent="0.3">
      <c r="A49" s="41" t="s">
        <v>1073</v>
      </c>
      <c r="B49" t="s">
        <v>1209</v>
      </c>
      <c r="C49" t="s">
        <v>1444</v>
      </c>
    </row>
    <row r="50" spans="1:3" x14ac:dyDescent="0.3">
      <c r="A50" s="41" t="s">
        <v>1074</v>
      </c>
      <c r="B50" t="s">
        <v>1186</v>
      </c>
      <c r="C50" t="s">
        <v>1167</v>
      </c>
    </row>
    <row r="51" spans="1:3" x14ac:dyDescent="0.3">
      <c r="A51" s="41" t="s">
        <v>1093</v>
      </c>
      <c r="B51" t="s">
        <v>1188</v>
      </c>
      <c r="C51" t="s">
        <v>1163</v>
      </c>
    </row>
    <row r="52" spans="1:3" x14ac:dyDescent="0.3">
      <c r="A52" s="41" t="s">
        <v>1087</v>
      </c>
      <c r="B52" t="s">
        <v>1190</v>
      </c>
      <c r="C52" t="s">
        <v>1161</v>
      </c>
    </row>
    <row r="53" spans="1:3" x14ac:dyDescent="0.3">
      <c r="A53" s="41" t="s">
        <v>1088</v>
      </c>
      <c r="B53" t="s">
        <v>1218</v>
      </c>
      <c r="C53" t="s">
        <v>1161</v>
      </c>
    </row>
    <row r="54" spans="1:3" x14ac:dyDescent="0.3">
      <c r="A54" s="41" t="s">
        <v>1083</v>
      </c>
      <c r="B54" t="s">
        <v>1209</v>
      </c>
      <c r="C54" t="s">
        <v>1444</v>
      </c>
    </row>
    <row r="55" spans="1:3" x14ac:dyDescent="0.3">
      <c r="A55" s="41" t="s">
        <v>1086</v>
      </c>
      <c r="B55" t="s">
        <v>1189</v>
      </c>
      <c r="C55" t="s">
        <v>1167</v>
      </c>
    </row>
    <row r="56" spans="1:3" x14ac:dyDescent="0.3">
      <c r="A56" s="41" t="s">
        <v>1092</v>
      </c>
      <c r="B56" t="s">
        <v>1219</v>
      </c>
      <c r="C56" t="s">
        <v>1163</v>
      </c>
    </row>
    <row r="57" spans="1:3" x14ac:dyDescent="0.3">
      <c r="A57" s="41" t="s">
        <v>1095</v>
      </c>
      <c r="B57" t="s">
        <v>1196</v>
      </c>
      <c r="C57" t="s">
        <v>1163</v>
      </c>
    </row>
    <row r="58" spans="1:3" x14ac:dyDescent="0.3">
      <c r="A58" s="41" t="s">
        <v>1096</v>
      </c>
      <c r="B58" t="s">
        <v>1164</v>
      </c>
      <c r="C58" t="s">
        <v>1161</v>
      </c>
    </row>
    <row r="59" spans="1:3" x14ac:dyDescent="0.3">
      <c r="A59" s="41" t="s">
        <v>1101</v>
      </c>
      <c r="B59" t="s">
        <v>1165</v>
      </c>
      <c r="C59" t="s">
        <v>1161</v>
      </c>
    </row>
    <row r="60" spans="1:3" x14ac:dyDescent="0.3">
      <c r="A60" s="41" t="s">
        <v>1100</v>
      </c>
      <c r="B60" t="s">
        <v>1168</v>
      </c>
      <c r="C60" t="s">
        <v>1163</v>
      </c>
    </row>
    <row r="61" spans="1:3" x14ac:dyDescent="0.3">
      <c r="A61" s="41" t="s">
        <v>7</v>
      </c>
      <c r="B61" t="s">
        <v>1169</v>
      </c>
      <c r="C61" t="s">
        <v>1163</v>
      </c>
    </row>
    <row r="62" spans="1:3" x14ac:dyDescent="0.3">
      <c r="A62" s="41" t="s">
        <v>1097</v>
      </c>
      <c r="B62" t="s">
        <v>1209</v>
      </c>
      <c r="C62" t="s">
        <v>1444</v>
      </c>
    </row>
    <row r="63" spans="1:3" x14ac:dyDescent="0.3">
      <c r="A63" s="41" t="s">
        <v>1098</v>
      </c>
      <c r="B63" t="s">
        <v>1166</v>
      </c>
      <c r="C63" t="s">
        <v>1167</v>
      </c>
    </row>
    <row r="64" spans="1:3" x14ac:dyDescent="0.3">
      <c r="A64" s="41" t="s">
        <v>1099</v>
      </c>
      <c r="B64" t="s">
        <v>1213</v>
      </c>
      <c r="C64" t="s">
        <v>1161</v>
      </c>
    </row>
    <row r="65" spans="1:3" x14ac:dyDescent="0.3">
      <c r="A65" s="41" t="s">
        <v>1102</v>
      </c>
      <c r="B65" t="s">
        <v>1191</v>
      </c>
      <c r="C65" t="s">
        <v>1163</v>
      </c>
    </row>
    <row r="66" spans="1:3" x14ac:dyDescent="0.3">
      <c r="A66" s="41" t="s">
        <v>1103</v>
      </c>
      <c r="B66" t="s">
        <v>1191</v>
      </c>
      <c r="C66" t="s">
        <v>1163</v>
      </c>
    </row>
    <row r="67" spans="1:3" x14ac:dyDescent="0.3">
      <c r="A67" s="41" t="s">
        <v>1104</v>
      </c>
      <c r="B67" t="s">
        <v>1191</v>
      </c>
      <c r="C67" t="s">
        <v>1163</v>
      </c>
    </row>
    <row r="68" spans="1:3" x14ac:dyDescent="0.3">
      <c r="A68" s="41" t="s">
        <v>1105</v>
      </c>
      <c r="B68" t="s">
        <v>1191</v>
      </c>
      <c r="C68" t="s">
        <v>1163</v>
      </c>
    </row>
    <row r="69" spans="1:3" x14ac:dyDescent="0.3">
      <c r="A69" s="41" t="s">
        <v>1106</v>
      </c>
      <c r="B69" t="s">
        <v>1191</v>
      </c>
      <c r="C69" t="s">
        <v>1163</v>
      </c>
    </row>
    <row r="70" spans="1:3" x14ac:dyDescent="0.3">
      <c r="A70" s="41" t="s">
        <v>1107</v>
      </c>
      <c r="B70" t="s">
        <v>1212</v>
      </c>
      <c r="C70" t="s">
        <v>1163</v>
      </c>
    </row>
    <row r="71" spans="1:3" x14ac:dyDescent="0.3">
      <c r="A71" s="41" t="s">
        <v>1108</v>
      </c>
      <c r="B71" t="s">
        <v>1192</v>
      </c>
      <c r="C71" t="s">
        <v>1163</v>
      </c>
    </row>
    <row r="72" spans="1:3" x14ac:dyDescent="0.3">
      <c r="A72" s="41" t="s">
        <v>1109</v>
      </c>
      <c r="B72" t="s">
        <v>1193</v>
      </c>
      <c r="C72" t="s">
        <v>1163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2E18C-D812-4FF5-9BE0-DF7820F031B1}">
  <dimension ref="A1:M21"/>
  <sheetViews>
    <sheetView workbookViewId="0">
      <selection activeCell="A3" sqref="A3"/>
    </sheetView>
  </sheetViews>
  <sheetFormatPr defaultColWidth="9.109375" defaultRowHeight="14.4" x14ac:dyDescent="0.3"/>
  <cols>
    <col min="1" max="1" width="9.109375" style="1"/>
    <col min="2" max="2" width="26.5546875" style="1" bestFit="1" customWidth="1"/>
    <col min="3" max="6" width="9.109375" style="1"/>
    <col min="7" max="7" width="18.88671875" style="1" bestFit="1" customWidth="1"/>
    <col min="8" max="16384" width="9.109375" style="1"/>
  </cols>
  <sheetData>
    <row r="1" spans="1:13" x14ac:dyDescent="0.3">
      <c r="A1" s="2" t="s">
        <v>1143</v>
      </c>
    </row>
    <row r="4" spans="1:13" x14ac:dyDescent="0.3">
      <c r="B4" s="1" t="s">
        <v>1113</v>
      </c>
    </row>
    <row r="5" spans="1:13" x14ac:dyDescent="0.3">
      <c r="A5" s="1" t="s">
        <v>1141</v>
      </c>
      <c r="B5" s="1" t="s">
        <v>1114</v>
      </c>
      <c r="D5" s="1" t="s">
        <v>1142</v>
      </c>
      <c r="E5" s="1" t="s">
        <v>1115</v>
      </c>
      <c r="G5" s="1" t="s">
        <v>1117</v>
      </c>
      <c r="I5" s="1" t="s">
        <v>1116</v>
      </c>
      <c r="J5" s="1" t="s">
        <v>1118</v>
      </c>
      <c r="K5" s="1" t="s">
        <v>31</v>
      </c>
      <c r="L5" s="1" t="s">
        <v>1126</v>
      </c>
      <c r="M5" s="1" t="s">
        <v>1129</v>
      </c>
    </row>
    <row r="6" spans="1:13" x14ac:dyDescent="0.3">
      <c r="A6" s="2" t="s">
        <v>1116</v>
      </c>
      <c r="B6" s="2">
        <v>6.94</v>
      </c>
      <c r="D6" s="2" t="s">
        <v>1116</v>
      </c>
      <c r="E6" s="3">
        <f>+B6</f>
        <v>6.94</v>
      </c>
      <c r="G6" s="2" t="s">
        <v>1120</v>
      </c>
      <c r="H6" s="1" t="s">
        <v>1116</v>
      </c>
      <c r="I6" s="21">
        <v>1</v>
      </c>
      <c r="J6" s="21">
        <f>1/I7</f>
        <v>2.1527377521613831</v>
      </c>
      <c r="K6" s="21">
        <f>1/I8</f>
        <v>5.3227665706051868</v>
      </c>
      <c r="L6" s="21">
        <f>1/I9</f>
        <v>6.0432276657060511</v>
      </c>
      <c r="M6" s="21">
        <f>1/I10</f>
        <v>6.1085014409221898</v>
      </c>
    </row>
    <row r="7" spans="1:13" x14ac:dyDescent="0.3">
      <c r="A7" s="2" t="s">
        <v>1119</v>
      </c>
      <c r="B7" s="2">
        <v>58.71</v>
      </c>
      <c r="D7" s="2" t="s">
        <v>1118</v>
      </c>
      <c r="E7" s="3">
        <f>+B6*2+B14</f>
        <v>29.880000000000003</v>
      </c>
      <c r="G7" s="2" t="s">
        <v>1122</v>
      </c>
      <c r="H7" s="1" t="s">
        <v>1118</v>
      </c>
      <c r="I7" s="21">
        <f>+B6*2/E7</f>
        <v>0.46452476572958501</v>
      </c>
      <c r="J7" s="21">
        <v>1</v>
      </c>
      <c r="K7" s="21">
        <v>2.4729999999999999</v>
      </c>
      <c r="L7" s="21">
        <f>1/J9</f>
        <v>2.8072289156626504</v>
      </c>
      <c r="M7" s="21">
        <f>1/J10</f>
        <v>2.837550200803213</v>
      </c>
    </row>
    <row r="8" spans="1:13" x14ac:dyDescent="0.3">
      <c r="A8" s="2" t="s">
        <v>1121</v>
      </c>
      <c r="B8" s="2">
        <v>54.94</v>
      </c>
      <c r="D8" s="2" t="s">
        <v>31</v>
      </c>
      <c r="E8" s="3">
        <f>2*B6+B16+3*B14</f>
        <v>73.88</v>
      </c>
      <c r="G8" s="2" t="s">
        <v>1124</v>
      </c>
      <c r="H8" s="1" t="s">
        <v>31</v>
      </c>
      <c r="I8" s="21">
        <f>+B6*2/E8</f>
        <v>0.18787222523010288</v>
      </c>
      <c r="J8" s="21">
        <f>+I8*J6</f>
        <v>0.40443963183540876</v>
      </c>
      <c r="K8" s="21">
        <v>1</v>
      </c>
      <c r="L8" s="21">
        <f>1/K9</f>
        <v>1.1353546291283161</v>
      </c>
      <c r="M8" s="21">
        <f>1/K10</f>
        <v>1.1476177585273417</v>
      </c>
    </row>
    <row r="9" spans="1:13" x14ac:dyDescent="0.3">
      <c r="A9" s="2" t="s">
        <v>1123</v>
      </c>
      <c r="B9" s="2">
        <v>58.93</v>
      </c>
      <c r="D9" s="2" t="s">
        <v>381</v>
      </c>
      <c r="E9" s="3">
        <f>+B6+(B14+B19)</f>
        <v>23.94</v>
      </c>
      <c r="G9" s="2" t="s">
        <v>1127</v>
      </c>
      <c r="H9" s="1" t="s">
        <v>1126</v>
      </c>
      <c r="I9" s="21">
        <f>+B6/E10</f>
        <v>0.16547448736289941</v>
      </c>
      <c r="J9" s="21">
        <f>+I9*J6</f>
        <v>0.35622317596566527</v>
      </c>
      <c r="K9" s="21">
        <f>+I9*K6</f>
        <v>0.88078206962327144</v>
      </c>
      <c r="L9" s="21">
        <v>1</v>
      </c>
      <c r="M9" s="21">
        <f>1/L10</f>
        <v>1.0108011444921317</v>
      </c>
    </row>
    <row r="10" spans="1:13" x14ac:dyDescent="0.3">
      <c r="A10" s="2" t="s">
        <v>1125</v>
      </c>
      <c r="B10" s="2">
        <v>26.98</v>
      </c>
      <c r="D10" s="2" t="s">
        <v>1126</v>
      </c>
      <c r="E10" s="3">
        <f>+B6+(B14+B19)+2*B19+B14</f>
        <v>41.94</v>
      </c>
      <c r="G10" s="2" t="s">
        <v>1130</v>
      </c>
      <c r="H10" s="1" t="s">
        <v>1129</v>
      </c>
      <c r="I10" s="21">
        <f>+B6/E11</f>
        <v>0.16370627226193005</v>
      </c>
      <c r="J10" s="21">
        <f>+I10*J6</f>
        <v>0.35241667256386666</v>
      </c>
      <c r="K10" s="21">
        <f>+I10*K6</f>
        <v>0.87137027339419237</v>
      </c>
      <c r="L10" s="21">
        <f>+I10*L6</f>
        <v>0.9893142735829028</v>
      </c>
      <c r="M10" s="21">
        <v>1</v>
      </c>
    </row>
    <row r="11" spans="1:13" x14ac:dyDescent="0.3">
      <c r="A11" s="2" t="s">
        <v>1128</v>
      </c>
      <c r="B11" s="2">
        <v>55.85</v>
      </c>
      <c r="D11" s="2" t="s">
        <v>1129</v>
      </c>
      <c r="E11" s="3">
        <f>+B6+B21</f>
        <v>42.393000000000001</v>
      </c>
    </row>
    <row r="12" spans="1:13" x14ac:dyDescent="0.3">
      <c r="A12" s="2" t="s">
        <v>1131</v>
      </c>
      <c r="B12" s="2">
        <v>30.97</v>
      </c>
    </row>
    <row r="13" spans="1:13" x14ac:dyDescent="0.3">
      <c r="A13" s="2" t="s">
        <v>1132</v>
      </c>
      <c r="B13" s="2">
        <v>47.9</v>
      </c>
    </row>
    <row r="14" spans="1:13" x14ac:dyDescent="0.3">
      <c r="A14" s="2" t="s">
        <v>1133</v>
      </c>
      <c r="B14" s="2">
        <v>16</v>
      </c>
    </row>
    <row r="15" spans="1:13" x14ac:dyDescent="0.3">
      <c r="A15" s="2" t="s">
        <v>1134</v>
      </c>
      <c r="B15" s="2">
        <v>32</v>
      </c>
    </row>
    <row r="16" spans="1:13" x14ac:dyDescent="0.3">
      <c r="A16" s="2" t="s">
        <v>1135</v>
      </c>
      <c r="B16" s="2">
        <v>12</v>
      </c>
    </row>
    <row r="17" spans="1:2" x14ac:dyDescent="0.3">
      <c r="A17" s="2" t="s">
        <v>1136</v>
      </c>
      <c r="B17" s="2">
        <v>28</v>
      </c>
    </row>
    <row r="18" spans="1:2" x14ac:dyDescent="0.3">
      <c r="A18" s="2" t="s">
        <v>1137</v>
      </c>
      <c r="B18" s="2">
        <v>50.942</v>
      </c>
    </row>
    <row r="19" spans="1:2" x14ac:dyDescent="0.3">
      <c r="A19" s="2" t="s">
        <v>1138</v>
      </c>
      <c r="B19" s="2">
        <v>1</v>
      </c>
    </row>
    <row r="20" spans="1:2" x14ac:dyDescent="0.3">
      <c r="A20" s="2" t="s">
        <v>1139</v>
      </c>
      <c r="B20" s="2">
        <v>19</v>
      </c>
    </row>
    <row r="21" spans="1:2" x14ac:dyDescent="0.3">
      <c r="A21" s="2" t="s">
        <v>1140</v>
      </c>
      <c r="B21" s="2">
        <v>35.453000000000003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EBE9F-ADFF-4E1D-A926-D861EA90C455}">
  <dimension ref="A1:D58"/>
  <sheetViews>
    <sheetView workbookViewId="0">
      <selection activeCell="C52" sqref="C52"/>
    </sheetView>
  </sheetViews>
  <sheetFormatPr defaultRowHeight="14.4" x14ac:dyDescent="0.3"/>
  <cols>
    <col min="1" max="1" width="15.33203125" customWidth="1"/>
    <col min="2" max="2" width="13.44140625" customWidth="1"/>
    <col min="3" max="3" width="10" bestFit="1" customWidth="1"/>
    <col min="4" max="4" width="20.6640625" customWidth="1"/>
  </cols>
  <sheetData>
    <row r="1" spans="1:4" x14ac:dyDescent="0.3">
      <c r="A1" s="2" t="s">
        <v>1148</v>
      </c>
    </row>
    <row r="2" spans="1:4" x14ac:dyDescent="0.3">
      <c r="A2" s="40" t="s">
        <v>1149</v>
      </c>
    </row>
    <row r="3" spans="1:4" x14ac:dyDescent="0.3">
      <c r="A3" s="2" t="s">
        <v>1144</v>
      </c>
      <c r="B3" s="2" t="s">
        <v>1145</v>
      </c>
    </row>
    <row r="4" spans="1:4" x14ac:dyDescent="0.3">
      <c r="A4" s="2" t="s">
        <v>1146</v>
      </c>
      <c r="B4" s="6">
        <v>45449</v>
      </c>
    </row>
    <row r="5" spans="1:4" x14ac:dyDescent="0.3">
      <c r="A5" s="2" t="s">
        <v>1147</v>
      </c>
    </row>
    <row r="8" spans="1:4" x14ac:dyDescent="0.3">
      <c r="A8" s="1" t="s">
        <v>1150</v>
      </c>
      <c r="B8" s="1" t="s">
        <v>1151</v>
      </c>
      <c r="C8" s="1" t="s">
        <v>1152</v>
      </c>
      <c r="D8" s="1" t="s">
        <v>1153</v>
      </c>
    </row>
    <row r="9" spans="1:4" x14ac:dyDescent="0.3">
      <c r="A9" s="2">
        <v>1980</v>
      </c>
      <c r="B9" s="2">
        <v>17.3</v>
      </c>
      <c r="C9" s="2">
        <f t="shared" ref="C9:C53" si="0">1+B9/100</f>
        <v>1.173</v>
      </c>
      <c r="D9" s="3">
        <f>+PRODUCT($C6:C$53)</f>
        <v>69.679961982147333</v>
      </c>
    </row>
    <row r="10" spans="1:4" x14ac:dyDescent="0.3">
      <c r="A10" s="2">
        <v>1981</v>
      </c>
      <c r="B10" s="2">
        <v>15.1</v>
      </c>
      <c r="C10" s="2">
        <f t="shared" si="0"/>
        <v>1.151</v>
      </c>
      <c r="D10" s="3">
        <f>+PRODUCT($C8:C$52)</f>
        <v>65.797886668694375</v>
      </c>
    </row>
    <row r="11" spans="1:4" x14ac:dyDescent="0.3">
      <c r="A11" s="2">
        <v>1982</v>
      </c>
      <c r="B11" s="2">
        <v>14.3</v>
      </c>
      <c r="C11" s="2">
        <f t="shared" si="0"/>
        <v>1.143</v>
      </c>
      <c r="D11" s="3">
        <f>+PRODUCT($C10:C$51)</f>
        <v>52.522172307549013</v>
      </c>
    </row>
    <row r="12" spans="1:4" x14ac:dyDescent="0.3">
      <c r="A12" s="2">
        <v>1983</v>
      </c>
      <c r="B12" s="2">
        <v>13.5</v>
      </c>
      <c r="C12" s="2">
        <f t="shared" si="0"/>
        <v>1.135</v>
      </c>
      <c r="D12" s="3">
        <f>+PRODUCT($C12:C$50)</f>
        <v>36.727518149088432</v>
      </c>
    </row>
    <row r="13" spans="1:4" x14ac:dyDescent="0.3">
      <c r="A13" s="2">
        <v>1984</v>
      </c>
      <c r="B13" s="2">
        <v>14.1</v>
      </c>
      <c r="C13" s="2">
        <f t="shared" si="0"/>
        <v>1.141</v>
      </c>
      <c r="D13" s="3">
        <f>+PRODUCT($C13:C$50)</f>
        <v>32.359046827390713</v>
      </c>
    </row>
    <row r="14" spans="1:4" x14ac:dyDescent="0.3">
      <c r="A14" s="2">
        <v>1985</v>
      </c>
      <c r="B14" s="2">
        <v>13.8</v>
      </c>
      <c r="C14" s="2">
        <f t="shared" si="0"/>
        <v>1.1379999999999999</v>
      </c>
      <c r="D14" s="3">
        <f>+PRODUCT($C14:C$50)</f>
        <v>28.360251382463371</v>
      </c>
    </row>
    <row r="15" spans="1:4" x14ac:dyDescent="0.3">
      <c r="A15" s="2">
        <v>1986</v>
      </c>
      <c r="B15" s="2">
        <v>11.9</v>
      </c>
      <c r="C15" s="2">
        <f t="shared" si="0"/>
        <v>1.119</v>
      </c>
      <c r="D15" s="3">
        <f>+PRODUCT($C15:C$50)</f>
        <v>24.921134782480994</v>
      </c>
    </row>
    <row r="16" spans="1:4" x14ac:dyDescent="0.3">
      <c r="A16" s="2">
        <v>1987</v>
      </c>
      <c r="B16" s="2">
        <v>14.7</v>
      </c>
      <c r="C16" s="2">
        <f t="shared" si="0"/>
        <v>1.147</v>
      </c>
      <c r="D16" s="3">
        <f>+PRODUCT($C16:C$50)</f>
        <v>22.27089792893744</v>
      </c>
    </row>
    <row r="17" spans="1:4" x14ac:dyDescent="0.3">
      <c r="A17" s="2">
        <v>1988</v>
      </c>
      <c r="B17" s="2">
        <v>19.7</v>
      </c>
      <c r="C17" s="2">
        <f t="shared" si="0"/>
        <v>1.1970000000000001</v>
      </c>
      <c r="D17" s="3">
        <f>+PRODUCT($C17:C$50)</f>
        <v>19.416650330372658</v>
      </c>
    </row>
    <row r="18" spans="1:4" x14ac:dyDescent="0.3">
      <c r="A18" s="2">
        <v>1989</v>
      </c>
      <c r="B18" s="2">
        <v>22.8</v>
      </c>
      <c r="C18" s="2">
        <f t="shared" si="0"/>
        <v>1.228</v>
      </c>
      <c r="D18" s="3">
        <f>+PRODUCT($C18:C$50)</f>
        <v>16.221094678673897</v>
      </c>
    </row>
    <row r="19" spans="1:4" x14ac:dyDescent="0.3">
      <c r="A19" s="2">
        <v>1990</v>
      </c>
      <c r="B19" s="2">
        <v>26.3</v>
      </c>
      <c r="C19" s="2">
        <f t="shared" si="0"/>
        <v>1.2629999999999999</v>
      </c>
      <c r="D19" s="3">
        <f>+PRODUCT($C19:C$50)</f>
        <v>13.209360487519458</v>
      </c>
    </row>
    <row r="20" spans="1:4" x14ac:dyDescent="0.3">
      <c r="A20" s="2">
        <v>1991</v>
      </c>
      <c r="B20" s="2">
        <v>17.100000000000001</v>
      </c>
      <c r="C20" s="2">
        <f t="shared" si="0"/>
        <v>1.171</v>
      </c>
      <c r="D20" s="3">
        <f>+PRODUCT($C20:C$50)</f>
        <v>10.458717725668615</v>
      </c>
    </row>
    <row r="21" spans="1:4" x14ac:dyDescent="0.3">
      <c r="A21" s="2">
        <v>1992</v>
      </c>
      <c r="B21" s="2">
        <v>38.6</v>
      </c>
      <c r="C21" s="2">
        <f t="shared" si="0"/>
        <v>1.3860000000000001</v>
      </c>
      <c r="D21" s="3">
        <f>+PRODUCT($C21:C$50)</f>
        <v>8.9314412687178653</v>
      </c>
    </row>
    <row r="22" spans="1:4" x14ac:dyDescent="0.3">
      <c r="A22" s="2">
        <v>1993</v>
      </c>
      <c r="B22" s="2">
        <v>39.1</v>
      </c>
      <c r="C22" s="2">
        <f t="shared" si="0"/>
        <v>1.391</v>
      </c>
      <c r="D22" s="3">
        <f>+PRODUCT($C22:C$50)</f>
        <v>6.444041319421256</v>
      </c>
    </row>
    <row r="23" spans="1:4" x14ac:dyDescent="0.3">
      <c r="A23" s="2">
        <v>1994</v>
      </c>
      <c r="B23" s="2">
        <v>31.1</v>
      </c>
      <c r="C23" s="2">
        <f t="shared" si="0"/>
        <v>1.3109999999999999</v>
      </c>
      <c r="D23" s="3">
        <f>+PRODUCT($C23:C$50)</f>
        <v>4.6326680944796967</v>
      </c>
    </row>
    <row r="24" spans="1:4" x14ac:dyDescent="0.3">
      <c r="A24" s="2">
        <v>1995</v>
      </c>
      <c r="B24" s="2">
        <v>16.100000000000001</v>
      </c>
      <c r="C24" s="2">
        <f t="shared" si="0"/>
        <v>1.161</v>
      </c>
      <c r="D24" s="3">
        <f>+PRODUCT($C24:C$50)</f>
        <v>3.5336903848052605</v>
      </c>
    </row>
    <row r="25" spans="1:4" x14ac:dyDescent="0.3">
      <c r="A25" s="2">
        <v>1996</v>
      </c>
      <c r="B25" s="2">
        <v>9.4</v>
      </c>
      <c r="C25" s="2">
        <f t="shared" si="0"/>
        <v>1.0940000000000001</v>
      </c>
      <c r="D25" s="3">
        <f>+PRODUCT($C25:C$50)</f>
        <v>3.0436609688245126</v>
      </c>
    </row>
    <row r="26" spans="1:4" x14ac:dyDescent="0.3">
      <c r="A26" s="2">
        <v>1997</v>
      </c>
      <c r="B26" s="2">
        <v>6.6</v>
      </c>
      <c r="C26" s="2">
        <f t="shared" si="0"/>
        <v>1.0660000000000001</v>
      </c>
      <c r="D26" s="3">
        <f>+PRODUCT($C26:C$50)</f>
        <v>2.7821398252509257</v>
      </c>
    </row>
    <row r="27" spans="1:4" x14ac:dyDescent="0.3">
      <c r="A27" s="2">
        <v>1998</v>
      </c>
      <c r="B27" s="2">
        <v>6.4</v>
      </c>
      <c r="C27" s="2">
        <f t="shared" si="0"/>
        <v>1.0640000000000001</v>
      </c>
      <c r="D27" s="3">
        <f>+PRODUCT($C27:C$50)</f>
        <v>2.6098872657138141</v>
      </c>
    </row>
    <row r="28" spans="1:4" x14ac:dyDescent="0.3">
      <c r="A28" s="2">
        <v>1999</v>
      </c>
      <c r="B28" s="2">
        <v>6.1</v>
      </c>
      <c r="C28" s="2">
        <f t="shared" si="0"/>
        <v>1.0609999999999999</v>
      </c>
      <c r="D28" s="3">
        <f>+PRODUCT($C28:C$50)</f>
        <v>2.4529015655205022</v>
      </c>
    </row>
    <row r="29" spans="1:4" x14ac:dyDescent="0.3">
      <c r="A29" s="2">
        <v>2000</v>
      </c>
      <c r="B29" s="2">
        <v>4.9000000000000004</v>
      </c>
      <c r="C29" s="2">
        <f t="shared" si="0"/>
        <v>1.0489999999999999</v>
      </c>
      <c r="D29" s="3">
        <f>+PRODUCT($C29:C$50)</f>
        <v>2.3118770645810578</v>
      </c>
    </row>
    <row r="30" spans="1:4" x14ac:dyDescent="0.3">
      <c r="A30" s="2">
        <v>2001</v>
      </c>
      <c r="B30" s="2">
        <v>4.5999999999999996</v>
      </c>
      <c r="C30" s="2">
        <f t="shared" si="0"/>
        <v>1.046</v>
      </c>
      <c r="D30" s="3">
        <f>+PRODUCT($C30:C$50)</f>
        <v>2.2038866201916658</v>
      </c>
    </row>
    <row r="31" spans="1:4" x14ac:dyDescent="0.3">
      <c r="A31" s="2">
        <v>2002</v>
      </c>
      <c r="B31" s="2">
        <v>3.7</v>
      </c>
      <c r="C31" s="2">
        <f t="shared" si="0"/>
        <v>1.0369999999999999</v>
      </c>
      <c r="D31" s="3">
        <f>+PRODUCT($C31:C$50)</f>
        <v>2.1069661760914591</v>
      </c>
    </row>
    <row r="32" spans="1:4" x14ac:dyDescent="0.3">
      <c r="A32" s="2">
        <v>2003</v>
      </c>
      <c r="B32" s="2">
        <v>3.9</v>
      </c>
      <c r="C32" s="2">
        <f t="shared" si="0"/>
        <v>1.0389999999999999</v>
      </c>
      <c r="D32" s="3">
        <f>+PRODUCT($C32:C$50)</f>
        <v>2.0317899480149073</v>
      </c>
    </row>
    <row r="33" spans="1:4" x14ac:dyDescent="0.3">
      <c r="A33" s="2">
        <v>2004</v>
      </c>
      <c r="B33" s="2">
        <v>3.8</v>
      </c>
      <c r="C33" s="2">
        <f t="shared" si="0"/>
        <v>1.038</v>
      </c>
      <c r="D33" s="3">
        <f>+PRODUCT($C33:C$50)</f>
        <v>1.9555244927958686</v>
      </c>
    </row>
    <row r="34" spans="1:4" x14ac:dyDescent="0.3">
      <c r="A34" s="2">
        <v>2005</v>
      </c>
      <c r="B34" s="2">
        <v>4</v>
      </c>
      <c r="C34" s="2">
        <f t="shared" si="0"/>
        <v>1.04</v>
      </c>
      <c r="D34" s="3">
        <f>+PRODUCT($C34:C$50)</f>
        <v>1.8839349641578695</v>
      </c>
    </row>
    <row r="35" spans="1:4" x14ac:dyDescent="0.3">
      <c r="A35" s="2">
        <v>2006</v>
      </c>
      <c r="B35" s="2">
        <v>4</v>
      </c>
      <c r="C35" s="2">
        <f t="shared" si="0"/>
        <v>1.04</v>
      </c>
      <c r="D35" s="3">
        <f>+PRODUCT($C35:C$50)</f>
        <v>1.8114759270748748</v>
      </c>
    </row>
    <row r="36" spans="1:4" x14ac:dyDescent="0.3">
      <c r="A36" s="2">
        <v>2007</v>
      </c>
      <c r="B36" s="2">
        <v>4.3</v>
      </c>
      <c r="C36" s="2">
        <f t="shared" si="0"/>
        <v>1.0429999999999999</v>
      </c>
      <c r="D36" s="3">
        <f>+PRODUCT($C36:C$50)</f>
        <v>1.741803776033533</v>
      </c>
    </row>
    <row r="37" spans="1:4" x14ac:dyDescent="0.3">
      <c r="A37" s="2">
        <v>2008</v>
      </c>
      <c r="B37" s="2">
        <v>6.4</v>
      </c>
      <c r="C37" s="2">
        <f t="shared" si="0"/>
        <v>1.0640000000000001</v>
      </c>
      <c r="D37" s="3">
        <f>+PRODUCT($C37:C$50)</f>
        <v>1.669994032630425</v>
      </c>
    </row>
    <row r="38" spans="1:4" x14ac:dyDescent="0.3">
      <c r="A38" s="2">
        <v>2009</v>
      </c>
      <c r="B38" s="2">
        <v>2.6</v>
      </c>
      <c r="C38" s="2">
        <f t="shared" si="0"/>
        <v>1.026</v>
      </c>
      <c r="D38" s="3">
        <f>+PRODUCT($C38:C$50)</f>
        <v>1.5695432637503992</v>
      </c>
    </row>
    <row r="39" spans="1:4" x14ac:dyDescent="0.3">
      <c r="A39" s="2">
        <v>2010</v>
      </c>
      <c r="B39" s="2">
        <v>3.7</v>
      </c>
      <c r="C39" s="2">
        <f t="shared" si="0"/>
        <v>1.0369999999999999</v>
      </c>
      <c r="D39" s="3">
        <f>+PRODUCT($C39:C$50)</f>
        <v>1.5297692629146196</v>
      </c>
    </row>
    <row r="40" spans="1:4" x14ac:dyDescent="0.3">
      <c r="A40" s="2">
        <v>2011</v>
      </c>
      <c r="B40" s="2">
        <v>5</v>
      </c>
      <c r="C40" s="2">
        <f t="shared" si="0"/>
        <v>1.05</v>
      </c>
      <c r="D40" s="3">
        <f>+PRODUCT($C40:C$50)</f>
        <v>1.4751873316437989</v>
      </c>
    </row>
    <row r="41" spans="1:4" x14ac:dyDescent="0.3">
      <c r="A41" s="2">
        <v>2012</v>
      </c>
      <c r="B41" s="2">
        <v>4.0999999999999996</v>
      </c>
      <c r="C41" s="2">
        <f t="shared" si="0"/>
        <v>1.0409999999999999</v>
      </c>
      <c r="D41" s="3">
        <f>+PRODUCT($C41:C$50)</f>
        <v>1.4049403158512368</v>
      </c>
    </row>
    <row r="42" spans="1:4" x14ac:dyDescent="0.3">
      <c r="A42" s="2">
        <v>2013</v>
      </c>
      <c r="B42" s="2">
        <v>3.6</v>
      </c>
      <c r="C42" s="2">
        <f t="shared" si="0"/>
        <v>1.036</v>
      </c>
      <c r="D42" s="3">
        <f>+PRODUCT($C42:C$50)</f>
        <v>1.3496064513460491</v>
      </c>
    </row>
    <row r="43" spans="1:4" x14ac:dyDescent="0.3">
      <c r="A43" s="2">
        <v>2014</v>
      </c>
      <c r="B43" s="2">
        <v>3.2</v>
      </c>
      <c r="C43" s="2">
        <f t="shared" si="0"/>
        <v>1.032</v>
      </c>
      <c r="D43" s="3">
        <f>+PRODUCT($C43:C$50)</f>
        <v>1.3027089298707033</v>
      </c>
    </row>
    <row r="44" spans="1:4" x14ac:dyDescent="0.3">
      <c r="A44" s="2">
        <v>2015</v>
      </c>
      <c r="B44" s="2">
        <v>2.7</v>
      </c>
      <c r="C44" s="2">
        <f t="shared" si="0"/>
        <v>1.0269999999999999</v>
      </c>
      <c r="D44" s="3">
        <f>+PRODUCT($C44:C$50)</f>
        <v>1.2623148545258756</v>
      </c>
    </row>
    <row r="45" spans="1:4" x14ac:dyDescent="0.3">
      <c r="A45" s="2">
        <v>2016</v>
      </c>
      <c r="B45" s="2">
        <v>2.7</v>
      </c>
      <c r="C45" s="2">
        <f t="shared" si="0"/>
        <v>1.0269999999999999</v>
      </c>
      <c r="D45" s="3">
        <f>+PRODUCT($C45:C$50)</f>
        <v>1.2291283880485644</v>
      </c>
    </row>
    <row r="46" spans="1:4" x14ac:dyDescent="0.3">
      <c r="A46" s="2">
        <v>2017</v>
      </c>
      <c r="B46" s="2">
        <v>3.3</v>
      </c>
      <c r="C46" s="2">
        <f t="shared" si="0"/>
        <v>1.0329999999999999</v>
      </c>
      <c r="D46" s="3">
        <f>+PRODUCT($C46:C$50)</f>
        <v>1.19681439926832</v>
      </c>
    </row>
    <row r="47" spans="1:4" x14ac:dyDescent="0.3">
      <c r="A47" s="2">
        <v>2018</v>
      </c>
      <c r="B47" s="2">
        <v>3.6</v>
      </c>
      <c r="C47" s="2">
        <f t="shared" si="0"/>
        <v>1.036</v>
      </c>
      <c r="D47" s="3">
        <f>+PRODUCT($C47:C$50)</f>
        <v>1.1585812190399998</v>
      </c>
    </row>
    <row r="48" spans="1:4" x14ac:dyDescent="0.3">
      <c r="A48" s="2">
        <v>2019</v>
      </c>
      <c r="B48" s="2">
        <v>3.5</v>
      </c>
      <c r="C48" s="2">
        <f t="shared" si="0"/>
        <v>1.0349999999999999</v>
      </c>
      <c r="D48" s="3">
        <f>+PRODUCT($C48:C$50)</f>
        <v>1.1183216399999998</v>
      </c>
    </row>
    <row r="49" spans="1:4" x14ac:dyDescent="0.3">
      <c r="A49" s="2">
        <v>2020</v>
      </c>
      <c r="B49" s="2">
        <v>3.2</v>
      </c>
      <c r="C49" s="2">
        <f t="shared" si="0"/>
        <v>1.032</v>
      </c>
      <c r="D49" s="3">
        <f>+PRODUCT($C49:C$50)</f>
        <v>1.0805039999999999</v>
      </c>
    </row>
    <row r="50" spans="1:4" x14ac:dyDescent="0.3">
      <c r="A50" s="2">
        <v>2021</v>
      </c>
      <c r="B50" s="2">
        <v>4.7</v>
      </c>
      <c r="C50" s="2">
        <f t="shared" si="0"/>
        <v>1.0469999999999999</v>
      </c>
      <c r="D50" s="3">
        <f>+PRODUCT($C50:C$50)</f>
        <v>1.0469999999999999</v>
      </c>
    </row>
    <row r="51" spans="1:4" x14ac:dyDescent="0.3">
      <c r="A51" s="2">
        <v>2022</v>
      </c>
      <c r="B51" s="2">
        <v>8.6999999999999993</v>
      </c>
      <c r="C51" s="2">
        <f t="shared" si="0"/>
        <v>1.087</v>
      </c>
      <c r="D51" s="3">
        <v>1</v>
      </c>
    </row>
    <row r="52" spans="1:4" x14ac:dyDescent="0.3">
      <c r="A52" s="2">
        <v>2023</v>
      </c>
      <c r="B52" s="2">
        <v>6.8</v>
      </c>
      <c r="C52" s="2">
        <f t="shared" si="0"/>
        <v>1.0680000000000001</v>
      </c>
      <c r="D52" s="3">
        <f>1/C51</f>
        <v>0.91996320147194111</v>
      </c>
    </row>
    <row r="53" spans="1:4" x14ac:dyDescent="0.3">
      <c r="A53" s="2">
        <v>2024</v>
      </c>
      <c r="B53" s="2">
        <v>5.9</v>
      </c>
      <c r="C53" s="2">
        <f t="shared" si="0"/>
        <v>1.0589999999999999</v>
      </c>
      <c r="D53" s="3">
        <f>1/PRODUCT(C51:C52)</f>
        <v>0.86138876542316578</v>
      </c>
    </row>
    <row r="54" spans="1:4" x14ac:dyDescent="0.3">
      <c r="A54" s="2"/>
      <c r="B54" s="2"/>
      <c r="C54" s="2"/>
      <c r="D54" s="3"/>
    </row>
    <row r="55" spans="1:4" x14ac:dyDescent="0.3">
      <c r="A55" s="2"/>
      <c r="B55" s="2"/>
      <c r="C55" s="2"/>
      <c r="D55" s="3"/>
    </row>
    <row r="56" spans="1:4" x14ac:dyDescent="0.3">
      <c r="A56" s="2"/>
      <c r="B56" s="2"/>
      <c r="C56" s="2"/>
      <c r="D56" s="3"/>
    </row>
    <row r="57" spans="1:4" x14ac:dyDescent="0.3">
      <c r="A57" s="2"/>
      <c r="B57" s="2"/>
      <c r="C57" s="2"/>
      <c r="D57" s="3"/>
    </row>
    <row r="58" spans="1:4" x14ac:dyDescent="0.3">
      <c r="A58" s="2"/>
      <c r="B58" s="2"/>
      <c r="C58" s="2"/>
      <c r="D58" s="3"/>
    </row>
  </sheetData>
  <autoFilter ref="A8:D53" xr:uid="{C5AEBE9F-ADFF-4E1D-A926-D861EA90C45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Deposits</vt:lpstr>
      <vt:lpstr>References</vt:lpstr>
      <vt:lpstr>Metadata</vt:lpstr>
      <vt:lpstr>Conversion Factors</vt:lpstr>
      <vt:lpstr>Inflation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Busch</dc:creator>
  <cp:lastModifiedBy>Pablo Busch</cp:lastModifiedBy>
  <dcterms:created xsi:type="dcterms:W3CDTF">2024-08-06T23:25:08Z</dcterms:created>
  <dcterms:modified xsi:type="dcterms:W3CDTF">2024-12-16T05:29:57Z</dcterms:modified>
</cp:coreProperties>
</file>