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bounpras\AppData\Local\Research\ModelPublishing\SubmittedModels\"/>
    </mc:Choice>
  </mc:AlternateContent>
  <xr:revisionPtr revIDLastSave="0" documentId="8_{4F9B112E-DD9A-4D75-90C4-7CD4CA15F403}" xr6:coauthVersionLast="47" xr6:coauthVersionMax="47" xr10:uidLastSave="{00000000-0000-0000-0000-000000000000}"/>
  <bookViews>
    <workbookView xWindow="30612" yWindow="-108" windowWidth="30936" windowHeight="16776" tabRatio="867" xr2:uid="{A93C44E8-A2FB-4EBB-896C-B21DDE454D14}"/>
  </bookViews>
  <sheets>
    <sheet name="CircularReferenceAlert" sheetId="66" r:id="rId1"/>
    <sheet name="ImportantDisclosures" sheetId="63" r:id="rId2"/>
    <sheet name="Sum" sheetId="8" r:id="rId3"/>
    <sheet name="P&amp;L" sheetId="1" r:id="rId4"/>
    <sheet name="CF" sheetId="5" r:id="rId5"/>
    <sheet name="BS" sheetId="4" r:id="rId6"/>
    <sheet name="Scenarios" sheetId="51" r:id="rId7"/>
    <sheet name="SOTP" sheetId="61" r:id="rId8"/>
    <sheet name="IndexInformation" sheetId="64" r:id="rId9"/>
    <sheet name="ModPubIndex" sheetId="65" r:id="rId10"/>
  </sheets>
  <externalReferences>
    <externalReference r:id="rId11"/>
  </externalReferences>
  <definedNames>
    <definedName name="__FDS_HYPERLINK_TOGGLE_STATE__" hidden="1">"ON"</definedName>
    <definedName name="__FDS_UNIQUE_RANGE_ID_GENERATOR_COUNTER">242</definedName>
    <definedName name="__FDS_USED_FOR_REUSING_RANGE_IDS_RECYCLE" localSheetId="7">{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definedName>
    <definedName name="__FDS_USED_FOR_REUSING_RANGE_IDS_RECYCLE" localSheetId="2">{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definedName>
    <definedName name="__FDS_USED_FOR_REUSING_RANGE_IDS_RECYCLE">{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definedName>
    <definedName name="_bdm.01564CE40141415A9A2266FFA32B7EFF.edm" hidden="1">#REF!</definedName>
    <definedName name="_bdm.03F9516711544427B7665C41B479D64F.edm" localSheetId="7" hidden="1">#REF!</definedName>
    <definedName name="_bdm.03F9516711544427B7665C41B479D64F.edm" hidden="1">#REF!</definedName>
    <definedName name="_bdm.04E90F5E91714E769D74924BB4CE3499.edm" hidden="1">#REF!</definedName>
    <definedName name="_bdm.05014202F2F74FEBA82C7ECB9BD89D08.edm" hidden="1">#REF!</definedName>
    <definedName name="_bdm.07B5818A383F4DC2A6BFA30C130CBB78.edm" hidden="1">#REF!</definedName>
    <definedName name="_bdm.07B8A471B80149189D63BB70BF256517.edm" localSheetId="7" hidden="1">#REF!</definedName>
    <definedName name="_bdm.07B8A471B80149189D63BB70BF256517.edm" hidden="1">#REF!</definedName>
    <definedName name="_bdm.0948B3F4CBD94C81B8C22E392717F948.edm" hidden="1">#REF!</definedName>
    <definedName name="_bdm.09A6C19448BE4C7A9B8ED2A8E443A064.edm" hidden="1">#REF!</definedName>
    <definedName name="_bdm.0F3EC1CF827C40CCAD1F205ABFC3B666.edm" hidden="1">#REF!</definedName>
    <definedName name="_bdm.14D1A22932234486A69AAF8B879B86C4.edm" hidden="1">#REF!</definedName>
    <definedName name="_bdm.1CF774F6C9124865B81759B3BBB386A8.edm" localSheetId="7" hidden="1">#REF!</definedName>
    <definedName name="_bdm.1CF774F6C9124865B81759B3BBB386A8.edm" hidden="1">#REF!</definedName>
    <definedName name="_bdm.1D1A4BBDEBEA44EF9E6CD026D941F9FE.edm" hidden="1">#REF!</definedName>
    <definedName name="_bdm.1DF4B3E45DCE4C2A9D635C38C907064B.edm" localSheetId="7" hidden="1">#REF!</definedName>
    <definedName name="_bdm.1DF4B3E45DCE4C2A9D635C38C907064B.edm" hidden="1">#REF!</definedName>
    <definedName name="_bdm.25A0A749956E4DD4BCF124BC909E0EF5.edm" localSheetId="7" hidden="1">#REF!</definedName>
    <definedName name="_bdm.25A0A749956E4DD4BCF124BC909E0EF5.edm" hidden="1">#REF!</definedName>
    <definedName name="_bdm.26D8DA7C1DF1457E81FFED2783791369.edm" hidden="1">#REF!</definedName>
    <definedName name="_bdm.2C49E0710FEC423F910D0AC48E04E6A2.edm" hidden="1">#REF!</definedName>
    <definedName name="_bdm.2EBC2C38552D4C67A923FE636451CAE0.edm" localSheetId="7" hidden="1">#REF!</definedName>
    <definedName name="_bdm.2EBC2C38552D4C67A923FE636451CAE0.edm" hidden="1">#REF!</definedName>
    <definedName name="_bdm.33A5AAFFB0DA483CA0048B83C6B00252.edm" hidden="1">#REF!</definedName>
    <definedName name="_bdm.36E6478E0E5E4DB6840C5770AA75C8EF.edm" hidden="1">#REF!</definedName>
    <definedName name="_bdm.3DB0F6CEC30C41A9A1DC725BC2173C8E.edm" hidden="1">#REF!</definedName>
    <definedName name="_bdm.3f9710408e5a409b88ac4a854fb9ebae.edm" hidden="1">'P&amp;L'!$1:$1048576</definedName>
    <definedName name="_bdm.41F5CDDAFFF04E7189795B8359B262F4.edm" hidden="1">#REF!</definedName>
    <definedName name="_bdm.42F67CCC3C1C45638B5EC98256E90947.edm" hidden="1">#REF!</definedName>
    <definedName name="_bdm.45C88C4126C04FC1A356BEA892554FAB.edm" localSheetId="7" hidden="1">#REF!</definedName>
    <definedName name="_bdm.45C88C4126C04FC1A356BEA892554FAB.edm" hidden="1">#REF!</definedName>
    <definedName name="_bdm.46D56600DB7840728F138544F8E425DB.edm" hidden="1">#REF!</definedName>
    <definedName name="_bdm.482D02B177FC4973ABB05082459E90CE.edm" localSheetId="7" hidden="1">#REF!</definedName>
    <definedName name="_bdm.482D02B177FC4973ABB05082459E90CE.edm" hidden="1">#REF!</definedName>
    <definedName name="_bdm.4B069F2F1CAA4D2EA5B61453764C469D.edm" hidden="1">#REF!</definedName>
    <definedName name="_bdm.4EED14D7086E438F9B6C57D4723010ED.edm" localSheetId="7" hidden="1">#REF!</definedName>
    <definedName name="_bdm.4EED14D7086E438F9B6C57D4723010ED.edm" hidden="1">#REF!</definedName>
    <definedName name="_bdm.512434ABDD4F4438B82EAFC1FFA96F6F.edm" localSheetId="2" hidden="1">Sum!$1:$1048576</definedName>
    <definedName name="_bdm.512434ABDD4F4438B82EAFC1FFA96F6F.edm" hidden="1">#REF!</definedName>
    <definedName name="_bdm.556773A81536455D8C51CE49513BDF0C.edm" localSheetId="7" hidden="1">#REF!</definedName>
    <definedName name="_bdm.556773A81536455D8C51CE49513BDF0C.edm" hidden="1">#REF!</definedName>
    <definedName name="_bdm.5D9E5886898646B5A18379D5F17E826F.edm" localSheetId="2" hidden="1">Sum!$B$4:$BJ$87</definedName>
    <definedName name="_bdm.5EA8C31F35E54E1DBBB575BB694B24B3.edm" localSheetId="7" hidden="1">#REF!</definedName>
    <definedName name="_bdm.5EA8C31F35E54E1DBBB575BB694B24B3.edm" hidden="1">#REF!</definedName>
    <definedName name="_bdm.5EB1F2364D414E38B9D247D3A4A4DF7F.edm" hidden="1">#REF!</definedName>
    <definedName name="_bdm.60A1016E4A5045B0B4BE42FB21AAF6D6.edm" hidden="1">#REF!</definedName>
    <definedName name="_bdm.6288C2271B3A4589A2BBF17A864E45B3.edm" localSheetId="7" hidden="1">#REF!</definedName>
    <definedName name="_bdm.6288C2271B3A4589A2BBF17A864E45B3.edm" hidden="1">#REF!</definedName>
    <definedName name="_bdm.647410E698CD46CD8F1B39208260D5BB.edm" localSheetId="2" hidden="1">Sum!$B$4:$BJ$87</definedName>
    <definedName name="_bdm.6B0FF210C8294AC48C219C33CE8CB00E.edm" localSheetId="7" hidden="1">#REF!</definedName>
    <definedName name="_bdm.6B0FF210C8294AC48C219C33CE8CB00E.edm" hidden="1">#REF!</definedName>
    <definedName name="_bdm.6DD15C8021DD41E7B33858957126E414.edm" localSheetId="7" hidden="1">#REF!</definedName>
    <definedName name="_bdm.6DD15C8021DD41E7B33858957126E414.edm" hidden="1">#REF!</definedName>
    <definedName name="_bdm.6FFAFE043EAD45708CCA23838C52964C.edm" localSheetId="7" hidden="1">#REF!</definedName>
    <definedName name="_bdm.6FFAFE043EAD45708CCA23838C52964C.edm" localSheetId="2" hidden="1">#REF!</definedName>
    <definedName name="_bdm.6FFAFE043EAD45708CCA23838C52964C.edm" hidden="1">#REF!</definedName>
    <definedName name="_bdm.737135B66E7B4A1896157F93CBB5F4FA.edm" localSheetId="7" hidden="1">#REF!</definedName>
    <definedName name="_bdm.737135B66E7B4A1896157F93CBB5F4FA.edm" hidden="1">#REF!</definedName>
    <definedName name="_bdm.85666AE16148435C96F68D52D0683E96.edm" hidden="1">#REF!</definedName>
    <definedName name="_bdm.879B950EBBAB4597B88189350706EC93.edm" hidden="1">#REF!</definedName>
    <definedName name="_bdm.8818C4E0F6FF4FFE90023FB50D6F622D.edm" localSheetId="7" hidden="1">#REF!</definedName>
    <definedName name="_bdm.8818C4E0F6FF4FFE90023FB50D6F622D.edm" hidden="1">#REF!</definedName>
    <definedName name="_bdm.8D63167924224A50A81DFBC4B20F86AB.edm" localSheetId="2" hidden="1">Sum!$B$6:$BJ$87</definedName>
    <definedName name="_bdm.8EF800FA9BA042948B54A2040C2CF385.edm" localSheetId="2" hidden="1">Sum!$B$6:$BJ$87</definedName>
    <definedName name="_bdm.92a5e1e9c0a4483e8fc926a19ad8677c.edm" localSheetId="3" hidden="1">'P&amp;L'!$AO$351</definedName>
    <definedName name="_bdm.A02D80F893DD4C7DA6D997E701C867FB.edm" hidden="1">#REF!</definedName>
    <definedName name="_bdm.ACCE26A65C2B4973A630FBCAF063BB97.edm" localSheetId="7" hidden="1">#REF!</definedName>
    <definedName name="_bdm.ACCE26A65C2B4973A630FBCAF063BB97.edm" hidden="1">#REF!</definedName>
    <definedName name="_bdm.AE07F39751AF4CF18CCFE97352606728.edm" localSheetId="7" hidden="1">#REF!</definedName>
    <definedName name="_bdm.AE07F39751AF4CF18CCFE97352606728.edm" hidden="1">#REF!</definedName>
    <definedName name="_bdm.B063AC9D48D84186BB5887243C5C93B7.edm" localSheetId="7" hidden="1">#REF!</definedName>
    <definedName name="_bdm.B063AC9D48D84186BB5887243C5C93B7.edm" hidden="1">#REF!</definedName>
    <definedName name="_bdm.B1FEA8903FF449B5BFA693960354E576.edm" localSheetId="7" hidden="1">#REF!</definedName>
    <definedName name="_bdm.B1FEA8903FF449B5BFA693960354E576.edm" hidden="1">#REF!</definedName>
    <definedName name="_bdm.B7CC83D9B1D34661812434787CF5F95D.edm" hidden="1">#REF!</definedName>
    <definedName name="_bdm.BB07DDACC0434320947584FCD403930E.edm" localSheetId="7" hidden="1">#REF!</definedName>
    <definedName name="_bdm.BB07DDACC0434320947584FCD403930E.edm" hidden="1">#REF!</definedName>
    <definedName name="_bdm.BB1C6B386D0C4781958E6584D3CDF64E.edm" localSheetId="7" hidden="1">#REF!</definedName>
    <definedName name="_bdm.BB1C6B386D0C4781958E6584D3CDF64E.edm" hidden="1">#REF!</definedName>
    <definedName name="_bdm.C22C7D48865F44C0A9FF3AEA08FFF4FC.edm" hidden="1">#REF!</definedName>
    <definedName name="_bdm.C5125B3283DD49268A20FE89B675A943.edm" hidden="1">#REF!</definedName>
    <definedName name="_bdm.C5D111259A224E79B7B41E815E10BB78.edm" localSheetId="7" hidden="1">#REF!</definedName>
    <definedName name="_bdm.C5D111259A224E79B7B41E815E10BB78.edm" hidden="1">#REF!</definedName>
    <definedName name="_bdm.C5E6538B5A754E9D88776BD19820EB95.edm" localSheetId="7" hidden="1">#REF!</definedName>
    <definedName name="_bdm.C5E6538B5A754E9D88776BD19820EB95.edm" hidden="1">#REF!</definedName>
    <definedName name="_bdm.C5FBAFA781044DFCAF6ADFB6A1D959CB.edm" hidden="1">#REF!</definedName>
    <definedName name="_bdm.C7C6FBA36F39444B8BCEC128D5B7F931.edm" hidden="1">#REF!</definedName>
    <definedName name="_bdm.C8A387C960544C9989270588415ED743.edm" hidden="1">#REF!</definedName>
    <definedName name="_bdm.CFC3CEDB55CA4DC2873A4084E990A0B0.edm" localSheetId="7" hidden="1">#REF!</definedName>
    <definedName name="_bdm.CFC3CEDB55CA4DC2873A4084E990A0B0.edm" hidden="1">#REF!</definedName>
    <definedName name="_bdm.D8226746037A4B218F06698B6B570FD4.edm" hidden="1">#REF!</definedName>
    <definedName name="_bdm.DA6AE275D29F4CC2912B8E4B4E14FA52.edm" localSheetId="7" hidden="1">#REF!</definedName>
    <definedName name="_bdm.DA6AE275D29F4CC2912B8E4B4E14FA52.edm" hidden="1">#REF!</definedName>
    <definedName name="_bdm.DF6734618A3C41EAA54818590D43BC2A.edm" localSheetId="7" hidden="1">#REF!</definedName>
    <definedName name="_bdm.DF6734618A3C41EAA54818590D43BC2A.edm" hidden="1">#REF!</definedName>
    <definedName name="_bdm.E0A7113A7EB84E42B8F20FD0B1D44AF1.edm" localSheetId="7" hidden="1">#REF!</definedName>
    <definedName name="_bdm.E0A7113A7EB84E42B8F20FD0B1D44AF1.edm" hidden="1">#REF!</definedName>
    <definedName name="_bdm.E1D245D6AD504A54AE315D405420DD89.edm" localSheetId="7" hidden="1">#REF!</definedName>
    <definedName name="_bdm.E1D245D6AD504A54AE315D405420DD89.edm" hidden="1">#REF!</definedName>
    <definedName name="_bdm.E5355FE404114A63B7E6F8628B8A7981.edm" localSheetId="7" hidden="1">#REF!</definedName>
    <definedName name="_bdm.E5355FE404114A63B7E6F8628B8A7981.edm" hidden="1">#REF!</definedName>
    <definedName name="_bdm.E8C905D8F4524EA0A78A791A9D2BC77F.edm" localSheetId="7" hidden="1">#REF!</definedName>
    <definedName name="_bdm.E8C905D8F4524EA0A78A791A9D2BC77F.edm" hidden="1">#REF!</definedName>
    <definedName name="_bdm.EA1EAF23832E4E4897956B943CA5E3C3.edm" localSheetId="7" hidden="1">#REF!</definedName>
    <definedName name="_bdm.EA1EAF23832E4E4897956B943CA5E3C3.edm" hidden="1">#REF!</definedName>
    <definedName name="_bdm.EEA1F072F9174F1BBD6CF462C3A4561F.edm" localSheetId="7" hidden="1">#REF!</definedName>
    <definedName name="_bdm.EEA1F072F9174F1BBD6CF462C3A4561F.edm" hidden="1">#REF!</definedName>
    <definedName name="_bdm.F2E2EA1DDB1F463CB647E234C6FA1FC9.edm" localSheetId="7" hidden="1">#REF!</definedName>
    <definedName name="_bdm.F2E2EA1DDB1F463CB647E234C6FA1FC9.edm" hidden="1">#REF!</definedName>
    <definedName name="_bdm.F8B9B0BE1C7B42859A9BD0CD0D310F77.edm" localSheetId="2" hidden="1">Sum!$B$4:$BJ$87</definedName>
    <definedName name="_bdm.FBA491D6DE424F22B5283C38D8B15543.edm" localSheetId="7" hidden="1">#REF!</definedName>
    <definedName name="_bdm.FBA491D6DE424F22B5283C38D8B15543.edm" hidden="1">#REF!</definedName>
    <definedName name="_bdm.FC766BED1E104191A9BAAA53BC7E5506.edm" localSheetId="7" hidden="1">#REF!</definedName>
    <definedName name="_bdm.FC766BED1E104191A9BAAA53BC7E5506.edm" hidden="1">#REF!</definedName>
    <definedName name="_Fill" localSheetId="7" hidden="1">#REF!</definedName>
    <definedName name="_Fill" hidden="1">#REF!</definedName>
    <definedName name="_Key1" localSheetId="7" hidden="1">#REF!</definedName>
    <definedName name="_Key1" hidden="1">#REF!</definedName>
    <definedName name="_Key2" localSheetId="7" hidden="1">#REF!</definedName>
    <definedName name="_Key2" hidden="1">#REF!</definedName>
    <definedName name="_MatInverse_Out" localSheetId="7" hidden="1">#REF!</definedName>
    <definedName name="_MatInverse_Out" hidden="1">#REF!</definedName>
    <definedName name="_MatMult_B" localSheetId="7" hidden="1">#REF!</definedName>
    <definedName name="_MatMult_B" hidden="1">#REF!</definedName>
    <definedName name="_Order1" hidden="1">0</definedName>
    <definedName name="_Order2" hidden="1">255</definedName>
    <definedName name="_Sort" localSheetId="7" hidden="1">#REF!</definedName>
    <definedName name="_Sort" hidden="1">#REF!</definedName>
    <definedName name="a" hidden="1">#REF!</definedName>
    <definedName name="A_vs_E">#REF!</definedName>
    <definedName name="aaa" localSheetId="7" hidden="1">{"AVSHAR","BSHAR"}</definedName>
    <definedName name="aaa" hidden="1">{"AVSHAR","BSHAR"}</definedName>
    <definedName name="aedsfhgdh" hidden="1">#REF!</definedName>
    <definedName name="africa">0</definedName>
    <definedName name="africaCountries" localSheetId="7">'[1]MW GEG'!$J$25:$J$26</definedName>
    <definedName name="africaCountries">#REF!</definedName>
    <definedName name="allRegions">#REF!</definedName>
    <definedName name="americaRegion">#REF!</definedName>
    <definedName name="americas">0</definedName>
    <definedName name="americasStates">#REF!</definedName>
    <definedName name="AppVersion">"GEG-1.0"</definedName>
    <definedName name="AS2DocOpenMode" hidden="1">"AS2DocumentEdit"</definedName>
    <definedName name="asiaPacific">0.69</definedName>
    <definedName name="asiaPacificExJapan">0.69</definedName>
    <definedName name="asiaPacificExJapanCountries" localSheetId="7">'[1]MW GEG'!$J$32:$J$36</definedName>
    <definedName name="asiaPacificExJapanCountries">#REF!</definedName>
    <definedName name="asiaPacificRegion">#REF!</definedName>
    <definedName name="asiaPacificStates" localSheetId="7">'[1]MW GEG'!$H$28:$H$31</definedName>
    <definedName name="asiaPacificStates">#REF!</definedName>
    <definedName name="australasia">0.69</definedName>
    <definedName name="BO00255DE75FED456FAB1EA720CD9C366B" localSheetId="7" hidden="1">#REF!</definedName>
    <definedName name="BO00255DE75FED456FAB1EA720CD9C366B" hidden="1">#REF!</definedName>
    <definedName name="BO0037275E30314FB8A33F2F9D0CD10537" localSheetId="7" hidden="1">#REF!</definedName>
    <definedName name="BO0037275E30314FB8A33F2F9D0CD10537" hidden="1">#REF!</definedName>
    <definedName name="BO003DBF26464743F4922CF08D37614535" localSheetId="7" hidden="1">#REF!</definedName>
    <definedName name="BO003DBF26464743F4922CF08D37614535" hidden="1">#REF!</definedName>
    <definedName name="BO0051B02C9C9A4AE29E660C0EB42D3D69" localSheetId="7" hidden="1">#REF!</definedName>
    <definedName name="BO0051B02C9C9A4AE29E660C0EB42D3D69" hidden="1">#REF!</definedName>
    <definedName name="BO005FFF5C482A4FA084DEDAB86E6799DA" localSheetId="7" hidden="1">#REF!</definedName>
    <definedName name="BO005FFF5C482A4FA084DEDAB86E6799DA" hidden="1">#REF!</definedName>
    <definedName name="BO0069F26CD43F4000BB0D42BB117B58EC" localSheetId="7" hidden="1">#REF!</definedName>
    <definedName name="BO0069F26CD43F4000BB0D42BB117B58EC" hidden="1">#REF!</definedName>
    <definedName name="BO006B1BBF25014830A12747B7E7537445" localSheetId="7" hidden="1">#REF!</definedName>
    <definedName name="BO006B1BBF25014830A12747B7E7537445" hidden="1">#REF!</definedName>
    <definedName name="BO006C68D629A94127A953265D5BE81182" localSheetId="7" hidden="1">#REF!</definedName>
    <definedName name="BO006C68D629A94127A953265D5BE81182" hidden="1">#REF!</definedName>
    <definedName name="BO007A44F18BA143C59842EC8C849D87ED" localSheetId="7" hidden="1">#REF!</definedName>
    <definedName name="BO007A44F18BA143C59842EC8C849D87ED" hidden="1">#REF!</definedName>
    <definedName name="BO00967FA31F184B41B4E5F954ED685ED3" localSheetId="7" hidden="1">#REF!</definedName>
    <definedName name="BO00967FA31F184B41B4E5F954ED685ED3" hidden="1">#REF!</definedName>
    <definedName name="BO009C3D95509847FFB74576CF7762EA3D" localSheetId="7" hidden="1">#REF!</definedName>
    <definedName name="BO009C3D95509847FFB74576CF7762EA3D" hidden="1">#REF!</definedName>
    <definedName name="BO009E7F06798941EF81C501D01BEAFE9F" localSheetId="7" hidden="1">#REF!</definedName>
    <definedName name="BO009E7F06798941EF81C501D01BEAFE9F" hidden="1">#REF!</definedName>
    <definedName name="BO00A780251CEB48E3A522F97418A69867" localSheetId="7" hidden="1">#REF!</definedName>
    <definedName name="BO00A780251CEB48E3A522F97418A69867" hidden="1">#REF!</definedName>
    <definedName name="BO00AACDC9A6C24F8CB60F256BD458CE62" localSheetId="7" hidden="1">#REF!</definedName>
    <definedName name="BO00AACDC9A6C24F8CB60F256BD458CE62" hidden="1">#REF!</definedName>
    <definedName name="BO00C2F070E0364477AF95C75F5927501F" localSheetId="7" hidden="1">#REF!</definedName>
    <definedName name="BO00C2F070E0364477AF95C75F5927501F" hidden="1">#REF!</definedName>
    <definedName name="BO00C52E4EFA26411E82D309829CBA043D" localSheetId="7" hidden="1">#REF!</definedName>
    <definedName name="BO00C52E4EFA26411E82D309829CBA043D" hidden="1">#REF!</definedName>
    <definedName name="BO00C927FA86F244D5A76C396366689908" localSheetId="7" hidden="1">#REF!</definedName>
    <definedName name="BO00C927FA86F244D5A76C396366689908" hidden="1">#REF!</definedName>
    <definedName name="BO00DE584280D4411CA6185B94A8C84ACF" localSheetId="7" hidden="1">#REF!</definedName>
    <definedName name="BO00DE584280D4411CA6185B94A8C84ACF" hidden="1">#REF!</definedName>
    <definedName name="BO01188B5A5720452FA6057E4716BA25D8" localSheetId="7" hidden="1">#REF!</definedName>
    <definedName name="BO01188B5A5720452FA6057E4716BA25D8" hidden="1">#REF!</definedName>
    <definedName name="BO012282E2C0A3439F906002789689627F" localSheetId="7" hidden="1">#REF!</definedName>
    <definedName name="BO012282E2C0A3439F906002789689627F" hidden="1">#REF!</definedName>
    <definedName name="BO016199C5B95C4A789FCC51E1A7904BB1" localSheetId="7" hidden="1">#REF!</definedName>
    <definedName name="BO016199C5B95C4A789FCC51E1A7904BB1" hidden="1">#REF!</definedName>
    <definedName name="BO017E2EF11FCD40428776D2BE063B8488" localSheetId="7" hidden="1">#REF!</definedName>
    <definedName name="BO017E2EF11FCD40428776D2BE063B8488" hidden="1">#REF!</definedName>
    <definedName name="BO01831D6D87264CF1BB544AD66EB4D5DA" localSheetId="7" hidden="1">#REF!</definedName>
    <definedName name="BO01831D6D87264CF1BB544AD66EB4D5DA" hidden="1">#REF!</definedName>
    <definedName name="BO01C29F52BCFE434F85B811431F41DC5B" localSheetId="7" hidden="1">#REF!</definedName>
    <definedName name="BO01C29F52BCFE434F85B811431F41DC5B" hidden="1">#REF!</definedName>
    <definedName name="BO01E56B6A99F64BA7ABCA02CB724E3D5E" localSheetId="7" hidden="1">#REF!</definedName>
    <definedName name="BO01E56B6A99F64BA7ABCA02CB724E3D5E" hidden="1">#REF!</definedName>
    <definedName name="BO0200FC04B499447B9C8B7D4E76156894" localSheetId="7" hidden="1">#REF!</definedName>
    <definedName name="BO0200FC04B499447B9C8B7D4E76156894" hidden="1">#REF!</definedName>
    <definedName name="BO0202BA093AA5451194DA4F28247E871E" localSheetId="7" hidden="1">#REF!</definedName>
    <definedName name="BO0202BA093AA5451194DA4F28247E871E" hidden="1">#REF!</definedName>
    <definedName name="BO02054C21F8F54E9CBA0B69D017BB9137" localSheetId="7" hidden="1">#REF!</definedName>
    <definedName name="BO02054C21F8F54E9CBA0B69D017BB9137" hidden="1">#REF!</definedName>
    <definedName name="BO020A64740AAF40538A614B5A8FA676D8" localSheetId="7" hidden="1">#REF!</definedName>
    <definedName name="BO020A64740AAF40538A614B5A8FA676D8" hidden="1">#REF!</definedName>
    <definedName name="BO021F058E7CE046948B07707D66C5F86C" localSheetId="7" hidden="1">#REF!</definedName>
    <definedName name="BO021F058E7CE046948B07707D66C5F86C" hidden="1">#REF!</definedName>
    <definedName name="BO0220ADC327CC4DD0A424B5BA6C6FDAD2" localSheetId="7" hidden="1">#REF!</definedName>
    <definedName name="BO0220ADC327CC4DD0A424B5BA6C6FDAD2" hidden="1">#REF!</definedName>
    <definedName name="BO02264187C0664436A4862704468F5963" localSheetId="7" hidden="1">#REF!</definedName>
    <definedName name="BO02264187C0664436A4862704468F5963" hidden="1">#REF!</definedName>
    <definedName name="BO022AE767EDF6473E91E9C03A01058FCD" localSheetId="7" hidden="1">#REF!</definedName>
    <definedName name="BO022AE767EDF6473E91E9C03A01058FCD" hidden="1">#REF!</definedName>
    <definedName name="BO0233F3D37F1A45DCBF931DA5666A06DA" localSheetId="7" hidden="1">#REF!</definedName>
    <definedName name="BO0233F3D37F1A45DCBF931DA5666A06DA" hidden="1">#REF!</definedName>
    <definedName name="BO0239948E06B642B6B3C3186836D80A3F" localSheetId="7" hidden="1">#REF!</definedName>
    <definedName name="BO0239948E06B642B6B3C3186836D80A3F" hidden="1">#REF!</definedName>
    <definedName name="BO02432681032F4335A293330B5C819150" localSheetId="7" hidden="1">#REF!</definedName>
    <definedName name="BO02432681032F4335A293330B5C819150" hidden="1">#REF!</definedName>
    <definedName name="BO028E93E633134D9C8CB9699DB73F51D3" localSheetId="7" hidden="1">#REF!</definedName>
    <definedName name="BO028E93E633134D9C8CB9699DB73F51D3" hidden="1">#REF!</definedName>
    <definedName name="BO02A80F6653644DEEB24BE9467D51E3B5" localSheetId="7" hidden="1">#REF!</definedName>
    <definedName name="BO02A80F6653644DEEB24BE9467D51E3B5" hidden="1">#REF!</definedName>
    <definedName name="BO02B0CF93E2E74B4AA46A58617646C9EB" localSheetId="7" hidden="1">#REF!</definedName>
    <definedName name="BO02B0CF93E2E74B4AA46A58617646C9EB" hidden="1">#REF!</definedName>
    <definedName name="BO02C8B2920CDB4FD58C48AA95A7633F0E" localSheetId="7" hidden="1">#REF!</definedName>
    <definedName name="BO02C8B2920CDB4FD58C48AA95A7633F0E" hidden="1">#REF!</definedName>
    <definedName name="BO02E3083F6A8E4546AC6A5FD2965C0DC1" localSheetId="7" hidden="1">#REF!</definedName>
    <definedName name="BO02E3083F6A8E4546AC6A5FD2965C0DC1" hidden="1">#REF!</definedName>
    <definedName name="BO02E7CFB256F543FDBD7D3DDE0BDE9CD7" localSheetId="7" hidden="1">#REF!</definedName>
    <definedName name="BO02E7CFB256F543FDBD7D3DDE0BDE9CD7" hidden="1">#REF!</definedName>
    <definedName name="BO03265380AF0544DA830DEAA4CF766601" localSheetId="7" hidden="1">#REF!</definedName>
    <definedName name="BO03265380AF0544DA830DEAA4CF766601" hidden="1">#REF!</definedName>
    <definedName name="BO032673F78E174C8EA4FE459F4E827438" localSheetId="7" hidden="1">#REF!</definedName>
    <definedName name="BO032673F78E174C8EA4FE459F4E827438" hidden="1">#REF!</definedName>
    <definedName name="BO0336EC783A7440A3B3DF3F2296A08609" localSheetId="7" hidden="1">#REF!</definedName>
    <definedName name="BO0336EC783A7440A3B3DF3F2296A08609" hidden="1">#REF!</definedName>
    <definedName name="BO033EAD1BE571487BB57F1AD8C8C81125" localSheetId="7" hidden="1">#REF!</definedName>
    <definedName name="BO033EAD1BE571487BB57F1AD8C8C81125" hidden="1">#REF!</definedName>
    <definedName name="BO0356615F30DE48209FAC035FB687567A" localSheetId="7" hidden="1">#REF!</definedName>
    <definedName name="BO0356615F30DE48209FAC035FB687567A" hidden="1">#REF!</definedName>
    <definedName name="BO03909FA9FE324E488DBCB5E1F89FB941" localSheetId="7" hidden="1">#REF!</definedName>
    <definedName name="BO03909FA9FE324E488DBCB5E1F89FB941" hidden="1">#REF!</definedName>
    <definedName name="BO03A4A58257E14B4C8E090177D9650E5C" localSheetId="7" hidden="1">#REF!</definedName>
    <definedName name="BO03A4A58257E14B4C8E090177D9650E5C" hidden="1">#REF!</definedName>
    <definedName name="BO03B46937F0FF4AF0A6DC013F3E3237A5" localSheetId="7" hidden="1">#REF!</definedName>
    <definedName name="BO03B46937F0FF4AF0A6DC013F3E3237A5" hidden="1">#REF!</definedName>
    <definedName name="BO03B944C042AB492DA6F9BA1E3838274D" localSheetId="7" hidden="1">#REF!</definedName>
    <definedName name="BO03B944C042AB492DA6F9BA1E3838274D" hidden="1">#REF!</definedName>
    <definedName name="BO03E37ECF4EE840B2A6E17BE1440E18E0" localSheetId="7" hidden="1">#REF!</definedName>
    <definedName name="BO03E37ECF4EE840B2A6E17BE1440E18E0" hidden="1">#REF!</definedName>
    <definedName name="BO03F2A77C840C474390A36DF2D35A2C20" localSheetId="7" hidden="1">#REF!</definedName>
    <definedName name="BO03F2A77C840C474390A36DF2D35A2C20" hidden="1">#REF!</definedName>
    <definedName name="BO041CD877C82248B094EF0B7267192EE9" localSheetId="7" hidden="1">#REF!</definedName>
    <definedName name="BO041CD877C82248B094EF0B7267192EE9" hidden="1">#REF!</definedName>
    <definedName name="BO042C2E242D9144F1BDDCB16CB78901A5" localSheetId="7" hidden="1">#REF!</definedName>
    <definedName name="BO042C2E242D9144F1BDDCB16CB78901A5" hidden="1">#REF!</definedName>
    <definedName name="BO042F846CAF8A4050838EFCD90ADD4BEF" localSheetId="7" hidden="1">#REF!</definedName>
    <definedName name="BO042F846CAF8A4050838EFCD90ADD4BEF" hidden="1">#REF!</definedName>
    <definedName name="BO044EF49AA4954119AA3063DFA6720F3D" localSheetId="7" hidden="1">#REF!</definedName>
    <definedName name="BO044EF49AA4954119AA3063DFA6720F3D" hidden="1">#REF!</definedName>
    <definedName name="BO046F2E4CD3B74476B6797712564377D8" localSheetId="7" hidden="1">#REF!</definedName>
    <definedName name="BO046F2E4CD3B74476B6797712564377D8" hidden="1">#REF!</definedName>
    <definedName name="BO047007EF2C4D436AA9090366F9DDB64B" localSheetId="7" hidden="1">#REF!</definedName>
    <definedName name="BO047007EF2C4D436AA9090366F9DDB64B" hidden="1">#REF!</definedName>
    <definedName name="BO0483B72A11674E47BCE0C35E6253ED2B" localSheetId="7" hidden="1">#REF!</definedName>
    <definedName name="BO0483B72A11674E47BCE0C35E6253ED2B" hidden="1">#REF!</definedName>
    <definedName name="BO048BCFCE7FA1482A927839FE625FDBC7" localSheetId="7" hidden="1">#REF!</definedName>
    <definedName name="BO048BCFCE7FA1482A927839FE625FDBC7" hidden="1">#REF!</definedName>
    <definedName name="BO04B533DE7B96495198D16E23410D25D2" localSheetId="7" hidden="1">#REF!</definedName>
    <definedName name="BO04B533DE7B96495198D16E23410D25D2" hidden="1">#REF!</definedName>
    <definedName name="BO04B9DC5902FA48E195E60BC99516C0D5" localSheetId="7" hidden="1">#REF!</definedName>
    <definedName name="BO04B9DC5902FA48E195E60BC99516C0D5" hidden="1">#REF!</definedName>
    <definedName name="BO04C24612B3D04F7CB2095DEC94134805" localSheetId="7" hidden="1">#REF!</definedName>
    <definedName name="BO04C24612B3D04F7CB2095DEC94134805" hidden="1">#REF!</definedName>
    <definedName name="BO05233006C25C44D499F1B5FF799CB0E2" localSheetId="7" hidden="1">#REF!</definedName>
    <definedName name="BO05233006C25C44D499F1B5FF799CB0E2" hidden="1">#REF!</definedName>
    <definedName name="BO054645494A6346D6A2CDB9C5F291BCEB" localSheetId="7" hidden="1">#REF!</definedName>
    <definedName name="BO054645494A6346D6A2CDB9C5F291BCEB" hidden="1">#REF!</definedName>
    <definedName name="BO05654DC326AE4F55A07DA8D4C05C7CA6" localSheetId="7" hidden="1">#REF!</definedName>
    <definedName name="BO05654DC326AE4F55A07DA8D4C05C7CA6" hidden="1">#REF!</definedName>
    <definedName name="BO057DCB4857ED4265AE65EC968166E457" localSheetId="7" hidden="1">#REF!</definedName>
    <definedName name="BO057DCB4857ED4265AE65EC968166E457" hidden="1">#REF!</definedName>
    <definedName name="BO0582C8E409D54BFCA22B60CA04A2D795" localSheetId="7" hidden="1">#REF!</definedName>
    <definedName name="BO0582C8E409D54BFCA22B60CA04A2D795" hidden="1">#REF!</definedName>
    <definedName name="BO05AF82A9F85F4CB583E896998307DECF" localSheetId="7" hidden="1">#REF!</definedName>
    <definedName name="BO05AF82A9F85F4CB583E896998307DECF" hidden="1">#REF!</definedName>
    <definedName name="BO05C0F44BF7454EFE9DE52E1C0B473F65" localSheetId="7" hidden="1">#REF!</definedName>
    <definedName name="BO05C0F44BF7454EFE9DE52E1C0B473F65" hidden="1">#REF!</definedName>
    <definedName name="BO05C969423D80418E8812D77AEB163B07" localSheetId="7" hidden="1">#REF!</definedName>
    <definedName name="BO05C969423D80418E8812D77AEB163B07" hidden="1">#REF!</definedName>
    <definedName name="BO05D387C6AE8443D3940F742555E912DB" localSheetId="7" hidden="1">#REF!</definedName>
    <definedName name="BO05D387C6AE8443D3940F742555E912DB" hidden="1">#REF!</definedName>
    <definedName name="BO061151FAFB0743BF8B0BF2BB789981A8" localSheetId="7" hidden="1">#REF!</definedName>
    <definedName name="BO061151FAFB0743BF8B0BF2BB789981A8" hidden="1">#REF!</definedName>
    <definedName name="BO061980FF3023480EBE9B4E6F218FF659" localSheetId="7" hidden="1">#REF!</definedName>
    <definedName name="BO061980FF3023480EBE9B4E6F218FF659" hidden="1">#REF!</definedName>
    <definedName name="BO061A70E21CFA4F809273D6D0455BB434" localSheetId="7" hidden="1">#REF!</definedName>
    <definedName name="BO061A70E21CFA4F809273D6D0455BB434" hidden="1">#REF!</definedName>
    <definedName name="BO0636B38AA6374A4FBC53E775AA0E5D70" localSheetId="7" hidden="1">#REF!</definedName>
    <definedName name="BO0636B38AA6374A4FBC53E775AA0E5D70" hidden="1">#REF!</definedName>
    <definedName name="BO065BB93E797D44ED847D2DAC294DEF1B" localSheetId="7" hidden="1">#REF!</definedName>
    <definedName name="BO065BB93E797D44ED847D2DAC294DEF1B" hidden="1">#REF!</definedName>
    <definedName name="BO066733F213234ACA96CBF82DDB5261F4" localSheetId="7" hidden="1">#REF!</definedName>
    <definedName name="BO066733F213234ACA96CBF82DDB5261F4" hidden="1">#REF!</definedName>
    <definedName name="BO066FF90A019942FBA96A502F3CBEFA8E" localSheetId="7" hidden="1">#REF!</definedName>
    <definedName name="BO066FF90A019942FBA96A502F3CBEFA8E" hidden="1">#REF!</definedName>
    <definedName name="BO067D8BE1789849E0A3715DFD53A05258" localSheetId="7" hidden="1">#REF!</definedName>
    <definedName name="BO067D8BE1789849E0A3715DFD53A05258" hidden="1">#REF!</definedName>
    <definedName name="BO06854F4461CE46A594C5CBEE3085991D" localSheetId="7" hidden="1">#REF!</definedName>
    <definedName name="BO06854F4461CE46A594C5CBEE3085991D" hidden="1">#REF!</definedName>
    <definedName name="BO0685FFCE135C4CC9BB51243B1AF93679" localSheetId="7" hidden="1">#REF!</definedName>
    <definedName name="BO0685FFCE135C4CC9BB51243B1AF93679" hidden="1">#REF!</definedName>
    <definedName name="BO06A5CF47D5B04041BFF6853239CADF34" localSheetId="7" hidden="1">#REF!</definedName>
    <definedName name="BO06A5CF47D5B04041BFF6853239CADF34" hidden="1">#REF!</definedName>
    <definedName name="BO06BDD9E61D524D28855C8D28EBB61B73" localSheetId="7" hidden="1">#REF!</definedName>
    <definedName name="BO06BDD9E61D524D28855C8D28EBB61B73" hidden="1">#REF!</definedName>
    <definedName name="BO071EA162C9764B3298CC2063F9512EA0" localSheetId="7" hidden="1">#REF!</definedName>
    <definedName name="BO071EA162C9764B3298CC2063F9512EA0" hidden="1">#REF!</definedName>
    <definedName name="BO07403309B52D42EE95ED8494C2E79C40" localSheetId="7" hidden="1">#REF!</definedName>
    <definedName name="BO07403309B52D42EE95ED8494C2E79C40" hidden="1">#REF!</definedName>
    <definedName name="BO0740CFD0ED6A4FD2A1AF2E58AF1B5FDA" localSheetId="7" hidden="1">#REF!</definedName>
    <definedName name="BO0740CFD0ED6A4FD2A1AF2E58AF1B5FDA" hidden="1">#REF!</definedName>
    <definedName name="BO07485E7890C7437CA310ADA5A54796D7" localSheetId="7" hidden="1">#REF!</definedName>
    <definedName name="BO07485E7890C7437CA310ADA5A54796D7" hidden="1">#REF!</definedName>
    <definedName name="BO076C013FC1694724B8327E95C16C8935" localSheetId="7" hidden="1">#REF!</definedName>
    <definedName name="BO076C013FC1694724B8327E95C16C8935" hidden="1">#REF!</definedName>
    <definedName name="BO078CDBFBB3444565AD288B9247B4268C" localSheetId="7" hidden="1">#REF!</definedName>
    <definedName name="BO078CDBFBB3444565AD288B9247B4268C" hidden="1">#REF!</definedName>
    <definedName name="BO07A0AECEC8A34FF2A08A139BF9920221" localSheetId="7" hidden="1">#REF!</definedName>
    <definedName name="BO07A0AECEC8A34FF2A08A139BF9920221" hidden="1">#REF!</definedName>
    <definedName name="BO07A76BDF1B2E460FBBA55EB8849741D0" localSheetId="7" hidden="1">#REF!</definedName>
    <definedName name="BO07A76BDF1B2E460FBBA55EB8849741D0" hidden="1">#REF!</definedName>
    <definedName name="BO07BB69965A114B77826C717D84AB3318" localSheetId="7" hidden="1">#REF!</definedName>
    <definedName name="BO07BB69965A114B77826C717D84AB3318" hidden="1">#REF!</definedName>
    <definedName name="BO07C545A5802F46F9833E65F9D99A2D1A" localSheetId="7" hidden="1">#REF!</definedName>
    <definedName name="BO07C545A5802F46F9833E65F9D99A2D1A" hidden="1">#REF!</definedName>
    <definedName name="BO07CE1726B16D4B5DB10A411D29D83839" localSheetId="7" hidden="1">#REF!</definedName>
    <definedName name="BO07CE1726B16D4B5DB10A411D29D83839" hidden="1">#REF!</definedName>
    <definedName name="BO07E06491FFF54F988E371B09573766BA" localSheetId="7" hidden="1">#REF!</definedName>
    <definedName name="BO07E06491FFF54F988E371B09573766BA" hidden="1">#REF!</definedName>
    <definedName name="BO07E1F5CCDA0A4F0599D1CA84F0EB3AB8" localSheetId="7" hidden="1">#REF!</definedName>
    <definedName name="BO07E1F5CCDA0A4F0599D1CA84F0EB3AB8" hidden="1">#REF!</definedName>
    <definedName name="BO07E329018FE7438EAF26F43767A724BB" localSheetId="7" hidden="1">#REF!</definedName>
    <definedName name="BO07E329018FE7438EAF26F43767A724BB" hidden="1">#REF!</definedName>
    <definedName name="BO07E9CDC9DBAC41C4B78040ADCBEDB69B" localSheetId="7" hidden="1">#REF!</definedName>
    <definedName name="BO07E9CDC9DBAC41C4B78040ADCBEDB69B" hidden="1">#REF!</definedName>
    <definedName name="BO07F17070C37C4589BD755B9264454541" localSheetId="7" hidden="1">#REF!</definedName>
    <definedName name="BO07F17070C37C4589BD755B9264454541" hidden="1">#REF!</definedName>
    <definedName name="BO08033B9ACE0E4C1481EF2440F6FEA663" localSheetId="7" hidden="1">#REF!</definedName>
    <definedName name="BO08033B9ACE0E4C1481EF2440F6FEA663" hidden="1">#REF!</definedName>
    <definedName name="BO080D4B263BDE429AA0E68988BBA86FD6" localSheetId="7" hidden="1">#REF!</definedName>
    <definedName name="BO080D4B263BDE429AA0E68988BBA86FD6" hidden="1">#REF!</definedName>
    <definedName name="BO081291CACC604785B9A04EB87F06B91B" localSheetId="7" hidden="1">#REF!</definedName>
    <definedName name="BO081291CACC604785B9A04EB87F06B91B" hidden="1">#REF!</definedName>
    <definedName name="BO08151E83C69942B785ADDA5EC372C87C" localSheetId="7" hidden="1">#REF!</definedName>
    <definedName name="BO08151E83C69942B785ADDA5EC372C87C" hidden="1">#REF!</definedName>
    <definedName name="BO081C8DAA307F4C41936993FECCC4FFA3" localSheetId="7" hidden="1">#REF!</definedName>
    <definedName name="BO081C8DAA307F4C41936993FECCC4FFA3" hidden="1">#REF!</definedName>
    <definedName name="BO082BCFE8C6024ECD8E1C2EC0C75296CE" localSheetId="7" hidden="1">#REF!</definedName>
    <definedName name="BO082BCFE8C6024ECD8E1C2EC0C75296CE" hidden="1">#REF!</definedName>
    <definedName name="BO0834C0CCDEB34BAC80503755DD49E60A" localSheetId="7" hidden="1">#REF!</definedName>
    <definedName name="BO0834C0CCDEB34BAC80503755DD49E60A" hidden="1">#REF!</definedName>
    <definedName name="BO08350A7245FE48AB81CBA60FDACC6E83" localSheetId="7" hidden="1">#REF!</definedName>
    <definedName name="BO08350A7245FE48AB81CBA60FDACC6E83" hidden="1">#REF!</definedName>
    <definedName name="BO0837762ECB0D4246AE1C6943D329EED8" localSheetId="7" hidden="1">#REF!</definedName>
    <definedName name="BO0837762ECB0D4246AE1C6943D329EED8" hidden="1">#REF!</definedName>
    <definedName name="BO083F02E379AB410B8877925BE0DA2BD3" localSheetId="7" hidden="1">#REF!</definedName>
    <definedName name="BO083F02E379AB410B8877925BE0DA2BD3" hidden="1">#REF!</definedName>
    <definedName name="BO085BEC2E325740C0B8EBF94E6801B85C" localSheetId="7" hidden="1">#REF!</definedName>
    <definedName name="BO085BEC2E325740C0B8EBF94E6801B85C" hidden="1">#REF!</definedName>
    <definedName name="BO0864265931D74C8C9D0A280AD88332C5" localSheetId="7" hidden="1">#REF!</definedName>
    <definedName name="BO0864265931D74C8C9D0A280AD88332C5" hidden="1">#REF!</definedName>
    <definedName name="BO0890450BACFD41BEB9539D4AED07B2C3" localSheetId="7" hidden="1">#REF!</definedName>
    <definedName name="BO0890450BACFD41BEB9539D4AED07B2C3" hidden="1">#REF!</definedName>
    <definedName name="BO08A529B4077E4DB681D65D379E8E458F" localSheetId="7" hidden="1">#REF!</definedName>
    <definedName name="BO08A529B4077E4DB681D65D379E8E458F" hidden="1">#REF!</definedName>
    <definedName name="BO08A6A63D733C412FA74BDFD79448A5B6" localSheetId="7" hidden="1">#REF!</definedName>
    <definedName name="BO08A6A63D733C412FA74BDFD79448A5B6" hidden="1">#REF!</definedName>
    <definedName name="BO08A748A8EFEB4997B61D0FC6395F984E" localSheetId="7" hidden="1">#REF!</definedName>
    <definedName name="BO08A748A8EFEB4997B61D0FC6395F984E" hidden="1">#REF!</definedName>
    <definedName name="BO08B31077F22A423AA1BB30F82E3D610D" localSheetId="7" hidden="1">#REF!</definedName>
    <definedName name="BO08B31077F22A423AA1BB30F82E3D610D" hidden="1">#REF!</definedName>
    <definedName name="BO08EEF9870DA94FD2BD2EF258FC857771" localSheetId="7" hidden="1">#REF!</definedName>
    <definedName name="BO08EEF9870DA94FD2BD2EF258FC857771" hidden="1">#REF!</definedName>
    <definedName name="BO093DE5DC859D477BA31587F587949189" localSheetId="7" hidden="1">#REF!</definedName>
    <definedName name="BO093DE5DC859D477BA31587F587949189" hidden="1">#REF!</definedName>
    <definedName name="BO0955A9904FDD4670A2EE3E6AF9A5D1D5" localSheetId="7" hidden="1">#REF!</definedName>
    <definedName name="BO0955A9904FDD4670A2EE3E6AF9A5D1D5" hidden="1">#REF!</definedName>
    <definedName name="BO0978C2AC6F164DBFA99AA7A244085061" localSheetId="7" hidden="1">#REF!</definedName>
    <definedName name="BO0978C2AC6F164DBFA99AA7A244085061" hidden="1">#REF!</definedName>
    <definedName name="BO09832D753BF441D6B12C1406EAD03779" localSheetId="7" hidden="1">#REF!</definedName>
    <definedName name="BO09832D753BF441D6B12C1406EAD03779" hidden="1">#REF!</definedName>
    <definedName name="BO0989BAEDF7E542C8840B3E11B5200963" localSheetId="7" hidden="1">#REF!</definedName>
    <definedName name="BO0989BAEDF7E542C8840B3E11B5200963" hidden="1">#REF!</definedName>
    <definedName name="BO0991C464223A4D7390F1C1DE3CD8F81B" localSheetId="7" hidden="1">#REF!</definedName>
    <definedName name="BO0991C464223A4D7390F1C1DE3CD8F81B" hidden="1">#REF!</definedName>
    <definedName name="BO099B67A5685D4DFCA2E985968CED7C78" localSheetId="7" hidden="1">#REF!</definedName>
    <definedName name="BO099B67A5685D4DFCA2E985968CED7C78" hidden="1">#REF!</definedName>
    <definedName name="BO09C64CCD309A4416B7AFC0CAA3432FFF" localSheetId="7" hidden="1">#REF!</definedName>
    <definedName name="BO09C64CCD309A4416B7AFC0CAA3432FFF" hidden="1">#REF!</definedName>
    <definedName name="BO09D9A627C7BD470F9B7E2853B6D0FA7B" localSheetId="7" hidden="1">#REF!</definedName>
    <definedName name="BO09D9A627C7BD470F9B7E2853B6D0FA7B" hidden="1">#REF!</definedName>
    <definedName name="BO0A0E03850BC9409D8B56B41BB4CC5D73" localSheetId="7" hidden="1">#REF!</definedName>
    <definedName name="BO0A0E03850BC9409D8B56B41BB4CC5D73" hidden="1">#REF!</definedName>
    <definedName name="BO0A1FC9306C704B0FB27E54D78331C9CF" localSheetId="7" hidden="1">#REF!</definedName>
    <definedName name="BO0A1FC9306C704B0FB27E54D78331C9CF" hidden="1">#REF!</definedName>
    <definedName name="BO0A318A82500A47DC933F6EB770C00130" localSheetId="7" hidden="1">#REF!</definedName>
    <definedName name="BO0A318A82500A47DC933F6EB770C00130" hidden="1">#REF!</definedName>
    <definedName name="BO0A3E810024164820A0D8CA875D9EFF59" localSheetId="7" hidden="1">#REF!</definedName>
    <definedName name="BO0A3E810024164820A0D8CA875D9EFF59" hidden="1">#REF!</definedName>
    <definedName name="BO0A46CB77AADE487794BD386EC83C005C" localSheetId="7" hidden="1">#REF!</definedName>
    <definedName name="BO0A46CB77AADE487794BD386EC83C005C" hidden="1">#REF!</definedName>
    <definedName name="BO0A5D3C25908440629B8A9922BE124BFD" localSheetId="7" hidden="1">#REF!</definedName>
    <definedName name="BO0A5D3C25908440629B8A9922BE124BFD" hidden="1">#REF!</definedName>
    <definedName name="BO0A695FB4DCAC4617A7A68C3515FEDC14" localSheetId="7" hidden="1">#REF!</definedName>
    <definedName name="BO0A695FB4DCAC4617A7A68C3515FEDC14" hidden="1">#REF!</definedName>
    <definedName name="BO0A757C6B50FD48FE846A3FFB3DD45D19" localSheetId="7" hidden="1">#REF!</definedName>
    <definedName name="BO0A757C6B50FD48FE846A3FFB3DD45D19" hidden="1">#REF!</definedName>
    <definedName name="BO0A76FF59398C4039BAD22CB4F1CB61D2" localSheetId="7" hidden="1">#REF!</definedName>
    <definedName name="BO0A76FF59398C4039BAD22CB4F1CB61D2" hidden="1">#REF!</definedName>
    <definedName name="BO0A796F2221614D04BEAEB5C381F0DFC8" localSheetId="7" hidden="1">#REF!</definedName>
    <definedName name="BO0A796F2221614D04BEAEB5C381F0DFC8" hidden="1">#REF!</definedName>
    <definedName name="BO0A7CD03F535949128DEE469ED8259624" localSheetId="7" hidden="1">#REF!</definedName>
    <definedName name="BO0A7CD03F535949128DEE469ED8259624" hidden="1">#REF!</definedName>
    <definedName name="BO0A990E70E7C846D79A4BA754A2B671F9" localSheetId="7" hidden="1">#REF!</definedName>
    <definedName name="BO0A990E70E7C846D79A4BA754A2B671F9" hidden="1">#REF!</definedName>
    <definedName name="BO0AA6689E092646F2B74C307974AA5D3E" localSheetId="7" hidden="1">#REF!</definedName>
    <definedName name="BO0AA6689E092646F2B74C307974AA5D3E" hidden="1">#REF!</definedName>
    <definedName name="BO0AB1E390F4864D74B3E6CE5E36018895" localSheetId="7" hidden="1">#REF!</definedName>
    <definedName name="BO0AB1E390F4864D74B3E6CE5E36018895" hidden="1">#REF!</definedName>
    <definedName name="BO0ABC9FEC52024B25BDD27042BCF1A742" localSheetId="7" hidden="1">#REF!</definedName>
    <definedName name="BO0ABC9FEC52024B25BDD27042BCF1A742" hidden="1">#REF!</definedName>
    <definedName name="BO0AC6C198960249E4B943E7CEBE42FA9A" localSheetId="7" hidden="1">#REF!</definedName>
    <definedName name="BO0AC6C198960249E4B943E7CEBE42FA9A" hidden="1">#REF!</definedName>
    <definedName name="BO0AD3D55E63F84925917E3FF180D52C4B" localSheetId="7" hidden="1">#REF!</definedName>
    <definedName name="BO0AD3D55E63F84925917E3FF180D52C4B" hidden="1">#REF!</definedName>
    <definedName name="BO0AD76D1E2F3345A7915765D5C484C561" localSheetId="7" hidden="1">#REF!</definedName>
    <definedName name="BO0AD76D1E2F3345A7915765D5C484C561" hidden="1">#REF!</definedName>
    <definedName name="BO0AE11C905D144ED9B5548FFD39C53BA4" localSheetId="7" hidden="1">#REF!</definedName>
    <definedName name="BO0AE11C905D144ED9B5548FFD39C53BA4" hidden="1">#REF!</definedName>
    <definedName name="BO0AE4F562948142D28167B6C748D76EA4" localSheetId="7" hidden="1">#REF!</definedName>
    <definedName name="BO0AE4F562948142D28167B6C748D76EA4" hidden="1">#REF!</definedName>
    <definedName name="BO0AF2E6469F944576B0B5DD4D231A03F2" localSheetId="7" hidden="1">#REF!</definedName>
    <definedName name="BO0AF2E6469F944576B0B5DD4D231A03F2" hidden="1">#REF!</definedName>
    <definedName name="BO0B0AEF9F4CCE48B1B47B54D1EDDACD40" localSheetId="7" hidden="1">#REF!</definedName>
    <definedName name="BO0B0AEF9F4CCE48B1B47B54D1EDDACD40" hidden="1">#REF!</definedName>
    <definedName name="BO0B0C38AB7F79426EA1B197F556DF5791" localSheetId="7" hidden="1">#REF!</definedName>
    <definedName name="BO0B0C38AB7F79426EA1B197F556DF5791" hidden="1">#REF!</definedName>
    <definedName name="BO0B29E15BB83748FA895E85CC3AA79A15" localSheetId="7" hidden="1">#REF!</definedName>
    <definedName name="BO0B29E15BB83748FA895E85CC3AA79A15" hidden="1">#REF!</definedName>
    <definedName name="BO0B2C00C752204DB1BB1974A4CC4DB830" localSheetId="7" hidden="1">#REF!</definedName>
    <definedName name="BO0B2C00C752204DB1BB1974A4CC4DB830" hidden="1">#REF!</definedName>
    <definedName name="BO0B2C825577234A6B8BC9F9418CF05E4A" localSheetId="7" hidden="1">#REF!</definedName>
    <definedName name="BO0B2C825577234A6B8BC9F9418CF05E4A" hidden="1">#REF!</definedName>
    <definedName name="BO0B383AB6020C48BBBB2761208DCBF631" localSheetId="7" hidden="1">#REF!</definedName>
    <definedName name="BO0B383AB6020C48BBBB2761208DCBF631" hidden="1">#REF!</definedName>
    <definedName name="BO0B646E7CBB7D4618BE16608F1D1F9D91" localSheetId="7" hidden="1">#REF!</definedName>
    <definedName name="BO0B646E7CBB7D4618BE16608F1D1F9D91" hidden="1">#REF!</definedName>
    <definedName name="BO0B83F429089F4ED18F7B76713C7B0038" localSheetId="7" hidden="1">#REF!</definedName>
    <definedName name="BO0B83F429089F4ED18F7B76713C7B0038" hidden="1">#REF!</definedName>
    <definedName name="BO0B84826AFA9242339F1021D66777AFE5" localSheetId="7" hidden="1">#REF!</definedName>
    <definedName name="BO0B84826AFA9242339F1021D66777AFE5" hidden="1">#REF!</definedName>
    <definedName name="BO0B872BBA605A414DB6F96545C4C5EA28" localSheetId="7" hidden="1">#REF!</definedName>
    <definedName name="BO0B872BBA605A414DB6F96545C4C5EA28" hidden="1">#REF!</definedName>
    <definedName name="BO0B8B1F9BAF2D4F81942D4DC6E9EE6B67" localSheetId="7" hidden="1">#REF!</definedName>
    <definedName name="BO0B8B1F9BAF2D4F81942D4DC6E9EE6B67" hidden="1">#REF!</definedName>
    <definedName name="BO0B948BC999B445F0BC65CB1B6A716C53" localSheetId="7" hidden="1">#REF!</definedName>
    <definedName name="BO0B948BC999B445F0BC65CB1B6A716C53" hidden="1">#REF!</definedName>
    <definedName name="BO0BC86D0222AE4858963BD8E6BFD24521" localSheetId="7" hidden="1">#REF!</definedName>
    <definedName name="BO0BC86D0222AE4858963BD8E6BFD24521" hidden="1">#REF!</definedName>
    <definedName name="BO0BD2C795CA8A4C088745D5D4CCF7C358" localSheetId="7" hidden="1">#REF!</definedName>
    <definedName name="BO0BD2C795CA8A4C088745D5D4CCF7C358" hidden="1">#REF!</definedName>
    <definedName name="BO0BDEB4EB14A145AF84B695B9D8F000AE" localSheetId="7" hidden="1">#REF!</definedName>
    <definedName name="BO0BDEB4EB14A145AF84B695B9D8F000AE" hidden="1">#REF!</definedName>
    <definedName name="BO0BEF67FE39DF4DEF98746F73BBC978BD" localSheetId="7" hidden="1">#REF!</definedName>
    <definedName name="BO0BEF67FE39DF4DEF98746F73BBC978BD" hidden="1">#REF!</definedName>
    <definedName name="BO0BF2A93CE6544205AB0270BC73C838B7" localSheetId="7" hidden="1">#REF!</definedName>
    <definedName name="BO0BF2A93CE6544205AB0270BC73C838B7" hidden="1">#REF!</definedName>
    <definedName name="BO0BFF4D166B73401C9B68227F87C5FBA9" localSheetId="7" hidden="1">#REF!</definedName>
    <definedName name="BO0BFF4D166B73401C9B68227F87C5FBA9" hidden="1">#REF!</definedName>
    <definedName name="BO0C032DD489664E609DA1390469101390" localSheetId="7" hidden="1">#REF!</definedName>
    <definedName name="BO0C032DD489664E609DA1390469101390" hidden="1">#REF!</definedName>
    <definedName name="BO0C15F71D2BD748BBBE6E6A1EDCD84652" localSheetId="7" hidden="1">#REF!</definedName>
    <definedName name="BO0C15F71D2BD748BBBE6E6A1EDCD84652" hidden="1">#REF!</definedName>
    <definedName name="BO0C25FB98BF984CA79A4C3D167BF5A613" localSheetId="7" hidden="1">#REF!</definedName>
    <definedName name="BO0C25FB98BF984CA79A4C3D167BF5A613" hidden="1">#REF!</definedName>
    <definedName name="BO0C2750A4B86943EF8BF0E6B29ADF2FA0" localSheetId="7" hidden="1">#REF!</definedName>
    <definedName name="BO0C2750A4B86943EF8BF0E6B29ADF2FA0" hidden="1">#REF!</definedName>
    <definedName name="BO0C2FF757CC9744EE8D597AAA3BD747E3" localSheetId="7" hidden="1">#REF!</definedName>
    <definedName name="BO0C2FF757CC9744EE8D597AAA3BD747E3" hidden="1">#REF!</definedName>
    <definedName name="BO0C422DC3146B483E9B575B8BBD68BFD9" localSheetId="7" hidden="1">#REF!</definedName>
    <definedName name="BO0C422DC3146B483E9B575B8BBD68BFD9" hidden="1">#REF!</definedName>
    <definedName name="BO0C4A53BBDE2A4A96BCCAC82AFAB56549" localSheetId="7" hidden="1">#REF!</definedName>
    <definedName name="BO0C4A53BBDE2A4A96BCCAC82AFAB56549" hidden="1">#REF!</definedName>
    <definedName name="BO0C5FD328FA68478BAA308495B0EBFE66" localSheetId="7" hidden="1">#REF!</definedName>
    <definedName name="BO0C5FD328FA68478BAA308495B0EBFE66" hidden="1">#REF!</definedName>
    <definedName name="BO0C6273C7F1F44BEEB3B43009DD3ABAED" localSheetId="7" hidden="1">#REF!</definedName>
    <definedName name="BO0C6273C7F1F44BEEB3B43009DD3ABAED" hidden="1">#REF!</definedName>
    <definedName name="BO0C66BAE99DEC49529BC8309B1B80FB15" localSheetId="7" hidden="1">#REF!</definedName>
    <definedName name="BO0C66BAE99DEC49529BC8309B1B80FB15" hidden="1">#REF!</definedName>
    <definedName name="BO0C68D342ED804AB7A76E2D4416BAFBD7" localSheetId="7" hidden="1">#REF!</definedName>
    <definedName name="BO0C68D342ED804AB7A76E2D4416BAFBD7" hidden="1">#REF!</definedName>
    <definedName name="BO0C7A5FEEF419426BB89A00E0C7C059A5" localSheetId="7" hidden="1">#REF!</definedName>
    <definedName name="BO0C7A5FEEF419426BB89A00E0C7C059A5" hidden="1">#REF!</definedName>
    <definedName name="BO0C8EF6B0AC68460B936B5BC4814B7A71" localSheetId="7" hidden="1">#REF!</definedName>
    <definedName name="BO0C8EF6B0AC68460B936B5BC4814B7A71" hidden="1">#REF!</definedName>
    <definedName name="BO0CCB7996890D423EB85B33BE32000388" localSheetId="7" hidden="1">#REF!</definedName>
    <definedName name="BO0CCB7996890D423EB85B33BE32000388" hidden="1">#REF!</definedName>
    <definedName name="BO0CCFD806A4B74E5FB44225072F04FCA3" localSheetId="7" hidden="1">#REF!</definedName>
    <definedName name="BO0CCFD806A4B74E5FB44225072F04FCA3" hidden="1">#REF!</definedName>
    <definedName name="BO0CD1E57FF2F8423B8D83D57B768754D5" localSheetId="7" hidden="1">#REF!</definedName>
    <definedName name="BO0CD1E57FF2F8423B8D83D57B768754D5" hidden="1">#REF!</definedName>
    <definedName name="BO0CE1C373CA3C44DF81DA7ACB878569E6" localSheetId="7" hidden="1">#REF!</definedName>
    <definedName name="BO0CE1C373CA3C44DF81DA7ACB878569E6" hidden="1">#REF!</definedName>
    <definedName name="BO0CE4E44FAEF545429E7C47E319DB169C" localSheetId="7" hidden="1">#REF!</definedName>
    <definedName name="BO0CE4E44FAEF545429E7C47E319DB169C" hidden="1">#REF!</definedName>
    <definedName name="BO0CE9EB53B408400692DB12529C6120F4" localSheetId="7" hidden="1">#REF!</definedName>
    <definedName name="BO0CE9EB53B408400692DB12529C6120F4" hidden="1">#REF!</definedName>
    <definedName name="BO0CF89591957B4CD283FD17A63A9409CB" localSheetId="7" hidden="1">#REF!</definedName>
    <definedName name="BO0CF89591957B4CD283FD17A63A9409CB" hidden="1">#REF!</definedName>
    <definedName name="BO0D1E5DBFD7374416A13BC74D49E1B380" localSheetId="7" hidden="1">#REF!</definedName>
    <definedName name="BO0D1E5DBFD7374416A13BC74D49E1B380" hidden="1">#REF!</definedName>
    <definedName name="BO0D24ECA73F1D4D63B646B3379AEA4DAF" localSheetId="7" hidden="1">#REF!</definedName>
    <definedName name="BO0D24ECA73F1D4D63B646B3379AEA4DAF" hidden="1">#REF!</definedName>
    <definedName name="BO0D32D065ACC644EEA4DF5BA2CB85D95C" localSheetId="7" hidden="1">#REF!</definedName>
    <definedName name="BO0D32D065ACC644EEA4DF5BA2CB85D95C" hidden="1">#REF!</definedName>
    <definedName name="BO0D3372B6D1DD43C281A12FCD4E75EA7A" localSheetId="7" hidden="1">#REF!</definedName>
    <definedName name="BO0D3372B6D1DD43C281A12FCD4E75EA7A" hidden="1">#REF!</definedName>
    <definedName name="BO0D599AA40AF643A48D324B49BED5D2C6" localSheetId="7" hidden="1">#REF!</definedName>
    <definedName name="BO0D599AA40AF643A48D324B49BED5D2C6" hidden="1">#REF!</definedName>
    <definedName name="BO0D59A478C0134739AEC20D92FD114DC2" localSheetId="7" hidden="1">#REF!</definedName>
    <definedName name="BO0D59A478C0134739AEC20D92FD114DC2" hidden="1">#REF!</definedName>
    <definedName name="BO0D620553B9F24332918115759632877B" localSheetId="7" hidden="1">#REF!</definedName>
    <definedName name="BO0D620553B9F24332918115759632877B" hidden="1">#REF!</definedName>
    <definedName name="BO0D661419FC97469EBA8E239864115230" localSheetId="7" hidden="1">#REF!</definedName>
    <definedName name="BO0D661419FC97469EBA8E239864115230" hidden="1">#REF!</definedName>
    <definedName name="BO0D66BF6AFCD642CD815B449A3AD225B4" localSheetId="7" hidden="1">#REF!</definedName>
    <definedName name="BO0D66BF6AFCD642CD815B449A3AD225B4" hidden="1">#REF!</definedName>
    <definedName name="BO0D69603949EC4AD197EF16B988ACC828" localSheetId="7" hidden="1">#REF!</definedName>
    <definedName name="BO0D69603949EC4AD197EF16B988ACC828" hidden="1">#REF!</definedName>
    <definedName name="BO0D767E5630DC4AAAAE1023D4AD11ED75" localSheetId="7" hidden="1">#REF!</definedName>
    <definedName name="BO0D767E5630DC4AAAAE1023D4AD11ED75" hidden="1">#REF!</definedName>
    <definedName name="BO0D778CCE784248408BC178F17ABA63C0" localSheetId="7" hidden="1">#REF!</definedName>
    <definedName name="BO0D778CCE784248408BC178F17ABA63C0" hidden="1">#REF!</definedName>
    <definedName name="BO0DAA314B672E457486C088971FE0D2DE" localSheetId="7" hidden="1">#REF!</definedName>
    <definedName name="BO0DAA314B672E457486C088971FE0D2DE" hidden="1">#REF!</definedName>
    <definedName name="BO0DBC0235377A4A789543EA1AD50926A0" localSheetId="7" hidden="1">#REF!</definedName>
    <definedName name="BO0DBC0235377A4A789543EA1AD50926A0" hidden="1">#REF!</definedName>
    <definedName name="BO0DC0CF499CEC4C1F839EFB1BC8BE4FDB" localSheetId="7" hidden="1">#REF!</definedName>
    <definedName name="BO0DC0CF499CEC4C1F839EFB1BC8BE4FDB" hidden="1">#REF!</definedName>
    <definedName name="BO0DE56AA75708477B966C0929E82515B0" localSheetId="7" hidden="1">#REF!</definedName>
    <definedName name="BO0DE56AA75708477B966C0929E82515B0" hidden="1">#REF!</definedName>
    <definedName name="BO0DF8160F72774730ABCC8BB8724D6BB5" localSheetId="7" hidden="1">#REF!</definedName>
    <definedName name="BO0DF8160F72774730ABCC8BB8724D6BB5" hidden="1">#REF!</definedName>
    <definedName name="BO0E05836B9EAE4CABA10670ACA415A9A0" localSheetId="7" hidden="1">#REF!</definedName>
    <definedName name="BO0E05836B9EAE4CABA10670ACA415A9A0" hidden="1">#REF!</definedName>
    <definedName name="BO0E1C7E4BE9D5419D83060BF7B15561BA" localSheetId="7" hidden="1">#REF!</definedName>
    <definedName name="BO0E1C7E4BE9D5419D83060BF7B15561BA" hidden="1">#REF!</definedName>
    <definedName name="BO0E4EAFD141FB47F7BCB3FE55D596F107" localSheetId="7" hidden="1">#REF!</definedName>
    <definedName name="BO0E4EAFD141FB47F7BCB3FE55D596F107" hidden="1">#REF!</definedName>
    <definedName name="BO0E5162749E9E435B88CDBF1DBAFB34F5" localSheetId="7" hidden="1">#REF!</definedName>
    <definedName name="BO0E5162749E9E435B88CDBF1DBAFB34F5" hidden="1">#REF!</definedName>
    <definedName name="BO0E6D06EB185E4FB2A3E9564A2B5F89F3" localSheetId="7" hidden="1">#REF!</definedName>
    <definedName name="BO0E6D06EB185E4FB2A3E9564A2B5F89F3" hidden="1">#REF!</definedName>
    <definedName name="BO0E74D16DE79847EAA05C8DBAEB9D763A" localSheetId="7" hidden="1">#REF!</definedName>
    <definedName name="BO0E74D16DE79847EAA05C8DBAEB9D763A" hidden="1">#REF!</definedName>
    <definedName name="BO0E74F19D68134B30BA9484AF01563F52" localSheetId="7" hidden="1">#REF!</definedName>
    <definedName name="BO0E74F19D68134B30BA9484AF01563F52" hidden="1">#REF!</definedName>
    <definedName name="BO0E831C3E86C744D5862DE933192504D2" localSheetId="7" hidden="1">#REF!</definedName>
    <definedName name="BO0E831C3E86C744D5862DE933192504D2" hidden="1">#REF!</definedName>
    <definedName name="BO0E9DC219E5534F38AEC49A53942B0416" localSheetId="7" hidden="1">#REF!</definedName>
    <definedName name="BO0E9DC219E5534F38AEC49A53942B0416" hidden="1">#REF!</definedName>
    <definedName name="BO0EA0093E136440E197F32EC7E2B09118" localSheetId="7" hidden="1">#REF!</definedName>
    <definedName name="BO0EA0093E136440E197F32EC7E2B09118" hidden="1">#REF!</definedName>
    <definedName name="BO0EB096C4B6334AB3A4B73436652C30DD" localSheetId="7" hidden="1">#REF!</definedName>
    <definedName name="BO0EB096C4B6334AB3A4B73436652C30DD" hidden="1">#REF!</definedName>
    <definedName name="BO0EBFBE4B2C9D4E29A4EEC5C5B2595A69" localSheetId="7" hidden="1">#REF!</definedName>
    <definedName name="BO0EBFBE4B2C9D4E29A4EEC5C5B2595A69" hidden="1">#REF!</definedName>
    <definedName name="BO0EDD48120239425BA27F53BA644D7276" localSheetId="7" hidden="1">#REF!</definedName>
    <definedName name="BO0EDD48120239425BA27F53BA644D7276" hidden="1">#REF!</definedName>
    <definedName name="BO0EF56540DF414891A641FE6B1394CD97" localSheetId="7" hidden="1">#REF!</definedName>
    <definedName name="BO0EF56540DF414891A641FE6B1394CD97" hidden="1">#REF!</definedName>
    <definedName name="BO0EFD06092999426C95CE50E7265ACC9D" localSheetId="7" hidden="1">#REF!</definedName>
    <definedName name="BO0EFD06092999426C95CE50E7265ACC9D" hidden="1">#REF!</definedName>
    <definedName name="BO0EFFA7D21B724351A3FA0FA579273AC4" localSheetId="7" hidden="1">#REF!</definedName>
    <definedName name="BO0EFFA7D21B724351A3FA0FA579273AC4" hidden="1">#REF!</definedName>
    <definedName name="BO0F15E7D735AE4FC08CDB60D21B59752C" localSheetId="7" hidden="1">#REF!</definedName>
    <definedName name="BO0F15E7D735AE4FC08CDB60D21B59752C" hidden="1">#REF!</definedName>
    <definedName name="BO0F164D8C8E764DE1901A194BAE7B8DA8" localSheetId="7" hidden="1">#REF!</definedName>
    <definedName name="BO0F164D8C8E764DE1901A194BAE7B8DA8" hidden="1">#REF!</definedName>
    <definedName name="BO0F22E04D15C94D128FA06AFF0F3A9577" localSheetId="7" hidden="1">#REF!</definedName>
    <definedName name="BO0F22E04D15C94D128FA06AFF0F3A9577" hidden="1">#REF!</definedName>
    <definedName name="BO0F31064A5ABD414985C1A4E1AAFD0BE6" localSheetId="7" hidden="1">#REF!</definedName>
    <definedName name="BO0F31064A5ABD414985C1A4E1AAFD0BE6" hidden="1">#REF!</definedName>
    <definedName name="BO0F5EE20AEF854A578450283AEBE7639B" localSheetId="7" hidden="1">#REF!</definedName>
    <definedName name="BO0F5EE20AEF854A578450283AEBE7639B" hidden="1">#REF!</definedName>
    <definedName name="BO0F60080D3AFF4ED5AA7D2F8656FED1F3" localSheetId="7" hidden="1">#REF!</definedName>
    <definedName name="BO0F60080D3AFF4ED5AA7D2F8656FED1F3" hidden="1">#REF!</definedName>
    <definedName name="BO0F89B0EBD21B450CB30632D95246C934" localSheetId="7" hidden="1">#REF!</definedName>
    <definedName name="BO0F89B0EBD21B450CB30632D95246C934" hidden="1">#REF!</definedName>
    <definedName name="BO0F8F81A341924F099119386441B968DB" localSheetId="7" hidden="1">#REF!</definedName>
    <definedName name="BO0F8F81A341924F099119386441B968DB" hidden="1">#REF!</definedName>
    <definedName name="BO0FA0C39A6B064ABBB94D38ACF5F7FDC6" localSheetId="7" hidden="1">#REF!</definedName>
    <definedName name="BO0FA0C39A6B064ABBB94D38ACF5F7FDC6" hidden="1">#REF!</definedName>
    <definedName name="BO0FA2168208A04A54AC3F93B09840D0E6" localSheetId="7" hidden="1">#REF!</definedName>
    <definedName name="BO0FA2168208A04A54AC3F93B09840D0E6" hidden="1">#REF!</definedName>
    <definedName name="BO0FDEA49FBBB64FA4AC4E0D9DBCC51F6F" localSheetId="7" hidden="1">#REF!</definedName>
    <definedName name="BO0FDEA49FBBB64FA4AC4E0D9DBCC51F6F" hidden="1">#REF!</definedName>
    <definedName name="BO0FDFF7BDB0AE49D4AC9FEB15152E99EE" localSheetId="7" hidden="1">#REF!</definedName>
    <definedName name="BO0FDFF7BDB0AE49D4AC9FEB15152E99EE" hidden="1">#REF!</definedName>
    <definedName name="BO101ADE025679450D83587FC9C697ABAF" localSheetId="7" hidden="1">#REF!</definedName>
    <definedName name="BO101ADE025679450D83587FC9C697ABAF" hidden="1">#REF!</definedName>
    <definedName name="BO1057759C2D6B4C929F50BE3F6D3A003D" localSheetId="7" hidden="1">#REF!</definedName>
    <definedName name="BO1057759C2D6B4C929F50BE3F6D3A003D" hidden="1">#REF!</definedName>
    <definedName name="BO106597D85CEE4C09A7BE2035C98BAA0D" localSheetId="7" hidden="1">#REF!</definedName>
    <definedName name="BO106597D85CEE4C09A7BE2035C98BAA0D" hidden="1">#REF!</definedName>
    <definedName name="BO106A5CC124BE49FF84AB6024733D09C1" localSheetId="7" hidden="1">#REF!</definedName>
    <definedName name="BO106A5CC124BE49FF84AB6024733D09C1" hidden="1">#REF!</definedName>
    <definedName name="BO1071EB14C80845B8BE86AE9D6F3AE540" localSheetId="7" hidden="1">#REF!</definedName>
    <definedName name="BO1071EB14C80845B8BE86AE9D6F3AE540" hidden="1">#REF!</definedName>
    <definedName name="BO108690BEBA294885AD22E91561C58642" localSheetId="7" hidden="1">#REF!</definedName>
    <definedName name="BO108690BEBA294885AD22E91561C58642" hidden="1">#REF!</definedName>
    <definedName name="BO10C00FDCB6044ED48AA05CA30180A0C1" localSheetId="7" hidden="1">#REF!</definedName>
    <definedName name="BO10C00FDCB6044ED48AA05CA30180A0C1" hidden="1">#REF!</definedName>
    <definedName name="BO10DC905260C94EC1809998A31C2E7E29" localSheetId="7" hidden="1">#REF!</definedName>
    <definedName name="BO10DC905260C94EC1809998A31C2E7E29" hidden="1">#REF!</definedName>
    <definedName name="BO10E5B613B5004F3C95428B5132A54260" localSheetId="7" hidden="1">#REF!</definedName>
    <definedName name="BO10E5B613B5004F3C95428B5132A54260" hidden="1">#REF!</definedName>
    <definedName name="BO10EA80C9D1104D7EB896904F3DAFEA42" localSheetId="7" hidden="1">#REF!</definedName>
    <definedName name="BO10EA80C9D1104D7EB896904F3DAFEA42" hidden="1">#REF!</definedName>
    <definedName name="BO10FE17AC45F1429DAD27D9EF1BA300A9" localSheetId="7" hidden="1">#REF!</definedName>
    <definedName name="BO10FE17AC45F1429DAD27D9EF1BA300A9" hidden="1">#REF!</definedName>
    <definedName name="BO110A28FB3A854AD791902FC98F2D8891" localSheetId="7" hidden="1">#REF!</definedName>
    <definedName name="BO110A28FB3A854AD791902FC98F2D8891" hidden="1">#REF!</definedName>
    <definedName name="BO111BA3710D664CF38BACDE4661AE6F7C" localSheetId="7" hidden="1">#REF!</definedName>
    <definedName name="BO111BA3710D664CF38BACDE4661AE6F7C" hidden="1">#REF!</definedName>
    <definedName name="BO112A8483F9AA479A9ACF19A08B16E01F" localSheetId="7" hidden="1">#REF!</definedName>
    <definedName name="BO112A8483F9AA479A9ACF19A08B16E01F" hidden="1">#REF!</definedName>
    <definedName name="BO1141714E71704FFEADC538B41CD8C638" localSheetId="7" hidden="1">#REF!</definedName>
    <definedName name="BO1141714E71704FFEADC538B41CD8C638" hidden="1">#REF!</definedName>
    <definedName name="BO11580728E6D547F389013743A9F2EDED" localSheetId="7" hidden="1">#REF!</definedName>
    <definedName name="BO11580728E6D547F389013743A9F2EDED" hidden="1">#REF!</definedName>
    <definedName name="BO1194585FC0DB4DBDA5A7C77F395D820F" localSheetId="7" hidden="1">#REF!</definedName>
    <definedName name="BO1194585FC0DB4DBDA5A7C77F395D820F" hidden="1">#REF!</definedName>
    <definedName name="BO1196135FBC57418A8494F4C0B2F5ECD7" localSheetId="7" hidden="1">#REF!</definedName>
    <definedName name="BO1196135FBC57418A8494F4C0B2F5ECD7" hidden="1">#REF!</definedName>
    <definedName name="BO1197F0C7E4C64DEC8A1F7D65ECB994BA" localSheetId="7" hidden="1">#REF!</definedName>
    <definedName name="BO1197F0C7E4C64DEC8A1F7D65ECB994BA" hidden="1">#REF!</definedName>
    <definedName name="BO11BFF0622CA44D75B1C0EBD0815973C0" localSheetId="7" hidden="1">#REF!</definedName>
    <definedName name="BO11BFF0622CA44D75B1C0EBD0815973C0" hidden="1">#REF!</definedName>
    <definedName name="BO11D4DD30E1DA422AB555D1AE9A157663" localSheetId="7" hidden="1">#REF!</definedName>
    <definedName name="BO11D4DD30E1DA422AB555D1AE9A157663" hidden="1">#REF!</definedName>
    <definedName name="BO11D774DAB3754D2B8DB3C655FD1B2849" localSheetId="7" hidden="1">#REF!</definedName>
    <definedName name="BO11D774DAB3754D2B8DB3C655FD1B2849" hidden="1">#REF!</definedName>
    <definedName name="BO11FFB99F5A644830AA0FA3D7E5711737" localSheetId="7" hidden="1">#REF!</definedName>
    <definedName name="BO11FFB99F5A644830AA0FA3D7E5711737" hidden="1">#REF!</definedName>
    <definedName name="BO120315C8CFE84C9BBC805BC8E72B8628" localSheetId="7" hidden="1">#REF!</definedName>
    <definedName name="BO120315C8CFE84C9BBC805BC8E72B8628" hidden="1">#REF!</definedName>
    <definedName name="BO12220FAF72F4494FB56EAE56D7075EB2" localSheetId="7" hidden="1">#REF!</definedName>
    <definedName name="BO12220FAF72F4494FB56EAE56D7075EB2" hidden="1">#REF!</definedName>
    <definedName name="BO12295D4473AA4538A9AF6D985AF771AA" localSheetId="7" hidden="1">#REF!</definedName>
    <definedName name="BO12295D4473AA4538A9AF6D985AF771AA" hidden="1">#REF!</definedName>
    <definedName name="BO1235CF1FB81B4751A52900386B81B1F5" localSheetId="7" hidden="1">#REF!</definedName>
    <definedName name="BO1235CF1FB81B4751A52900386B81B1F5" hidden="1">#REF!</definedName>
    <definedName name="BO12371CF2AF044796AEED457E9E742092" localSheetId="7" hidden="1">#REF!</definedName>
    <definedName name="BO12371CF2AF044796AEED457E9E742092" hidden="1">#REF!</definedName>
    <definedName name="BO123E73C0DAE1440DA701FC1E9626549A" localSheetId="7" hidden="1">#REF!</definedName>
    <definedName name="BO123E73C0DAE1440DA701FC1E9626549A" hidden="1">#REF!</definedName>
    <definedName name="BO1254D2FEF3F24EAA801FE514098736D6" localSheetId="7" hidden="1">#REF!</definedName>
    <definedName name="BO1254D2FEF3F24EAA801FE514098736D6" hidden="1">#REF!</definedName>
    <definedName name="BO12960376DE0F4EA983AF394A2F86B38A" localSheetId="7" hidden="1">#REF!</definedName>
    <definedName name="BO12960376DE0F4EA983AF394A2F86B38A" hidden="1">#REF!</definedName>
    <definedName name="BO129AC00273ED4D4891DFE325D6E5A9C9" localSheetId="7" hidden="1">#REF!</definedName>
    <definedName name="BO129AC00273ED4D4891DFE325D6E5A9C9" hidden="1">#REF!</definedName>
    <definedName name="BO12AE80FF85794B128A8A1AEEC59815C9" localSheetId="7" hidden="1">#REF!</definedName>
    <definedName name="BO12AE80FF85794B128A8A1AEEC59815C9" hidden="1">#REF!</definedName>
    <definedName name="BO12B23A339E4F4063A536F10C50B88DC1" localSheetId="7" hidden="1">#REF!</definedName>
    <definedName name="BO12B23A339E4F4063A536F10C50B88DC1" hidden="1">#REF!</definedName>
    <definedName name="BO12C9C09B1AE14C629F2DBDE5DD06E7EE" localSheetId="7" hidden="1">#REF!</definedName>
    <definedName name="BO12C9C09B1AE14C629F2DBDE5DD06E7EE" hidden="1">#REF!</definedName>
    <definedName name="BO13010070BA044889A5F8B98DCB66D3AE" localSheetId="7" hidden="1">#REF!</definedName>
    <definedName name="BO13010070BA044889A5F8B98DCB66D3AE" hidden="1">#REF!</definedName>
    <definedName name="BO1324CA92182E4845B18066D52E262AB9" localSheetId="7" hidden="1">#REF!</definedName>
    <definedName name="BO1324CA92182E4845B18066D52E262AB9" hidden="1">#REF!</definedName>
    <definedName name="BO133EEAFB27134B35AB21A4DEED62FC85" localSheetId="7" hidden="1">#REF!</definedName>
    <definedName name="BO133EEAFB27134B35AB21A4DEED62FC85" hidden="1">#REF!</definedName>
    <definedName name="BO1350F9B3390647EC9A7A63740D3ED876" localSheetId="7" hidden="1">#REF!</definedName>
    <definedName name="BO1350F9B3390647EC9A7A63740D3ED876" hidden="1">#REF!</definedName>
    <definedName name="BO1362CBB7AD874EDCBA63DF079B9BE659" localSheetId="7" hidden="1">#REF!</definedName>
    <definedName name="BO1362CBB7AD874EDCBA63DF079B9BE659" hidden="1">#REF!</definedName>
    <definedName name="BO13704530D21745828C39ACDD7F2117A7" localSheetId="7" hidden="1">#REF!</definedName>
    <definedName name="BO13704530D21745828C39ACDD7F2117A7" hidden="1">#REF!</definedName>
    <definedName name="BO138C539A5D1D4E7F88A36E8DC1D2D0FB" localSheetId="7" hidden="1">#REF!</definedName>
    <definedName name="BO138C539A5D1D4E7F88A36E8DC1D2D0FB" hidden="1">#REF!</definedName>
    <definedName name="BO139A5E009DEB47D8AD4396FC32F4F53C" localSheetId="7" hidden="1">#REF!</definedName>
    <definedName name="BO139A5E009DEB47D8AD4396FC32F4F53C" hidden="1">#REF!</definedName>
    <definedName name="BO13B31D2D44CD40B594E78E903E6C5FD3" localSheetId="7" hidden="1">#REF!</definedName>
    <definedName name="BO13B31D2D44CD40B594E78E903E6C5FD3" hidden="1">#REF!</definedName>
    <definedName name="BO13D5E967828A4F9FB298F2AD9737483B" localSheetId="7" hidden="1">#REF!</definedName>
    <definedName name="BO13D5E967828A4F9FB298F2AD9737483B" hidden="1">#REF!</definedName>
    <definedName name="BO13E6E9470137457D8158D8250987804F" localSheetId="7" hidden="1">#REF!</definedName>
    <definedName name="BO13E6E9470137457D8158D8250987804F" hidden="1">#REF!</definedName>
    <definedName name="BO1400D36BACF9470AAE7FAEA1C8864591" localSheetId="7" hidden="1">#REF!</definedName>
    <definedName name="BO1400D36BACF9470AAE7FAEA1C8864591" hidden="1">#REF!</definedName>
    <definedName name="BO141814CABDAE43958774D51943479120" localSheetId="7" hidden="1">#REF!</definedName>
    <definedName name="BO141814CABDAE43958774D51943479120" hidden="1">#REF!</definedName>
    <definedName name="BO1418A416D7E347219B1727301D77362F" localSheetId="7" hidden="1">#REF!</definedName>
    <definedName name="BO1418A416D7E347219B1727301D77362F" hidden="1">#REF!</definedName>
    <definedName name="BO141E809AC40B4AFBAA36CA1F594B2CBC" localSheetId="7" hidden="1">#REF!</definedName>
    <definedName name="BO141E809AC40B4AFBAA36CA1F594B2CBC" hidden="1">#REF!</definedName>
    <definedName name="BO14429705589B42B39C90D0C643461835" localSheetId="7" hidden="1">#REF!</definedName>
    <definedName name="BO14429705589B42B39C90D0C643461835" hidden="1">#REF!</definedName>
    <definedName name="BO144352048575491FA83E1CA60D52290A" localSheetId="7" hidden="1">#REF!</definedName>
    <definedName name="BO144352048575491FA83E1CA60D52290A" hidden="1">#REF!</definedName>
    <definedName name="BO149AFE1E75D34029AF36B4E6CD2F7529" localSheetId="7" hidden="1">#REF!</definedName>
    <definedName name="BO149AFE1E75D34029AF36B4E6CD2F7529" hidden="1">#REF!</definedName>
    <definedName name="BO14B231FBC80E455FB782CD71DF7BE2B3" localSheetId="7" hidden="1">#REF!</definedName>
    <definedName name="BO14B231FBC80E455FB782CD71DF7BE2B3" hidden="1">#REF!</definedName>
    <definedName name="BO14C683B028D04C148B8BA926AFFC78AA" localSheetId="7" hidden="1">#REF!</definedName>
    <definedName name="BO14C683B028D04C148B8BA926AFFC78AA" hidden="1">#REF!</definedName>
    <definedName name="BO14C8506FD561418F9DF527FF11948064" localSheetId="7" hidden="1">#REF!</definedName>
    <definedName name="BO14C8506FD561418F9DF527FF11948064" hidden="1">#REF!</definedName>
    <definedName name="BO14F5474A42FC47128073AB40F0837062" localSheetId="7" hidden="1">#REF!</definedName>
    <definedName name="BO14F5474A42FC47128073AB40F0837062" hidden="1">#REF!</definedName>
    <definedName name="BO14F8661F32474797AFA680A6CF0AAAC3" localSheetId="7" hidden="1">#REF!</definedName>
    <definedName name="BO14F8661F32474797AFA680A6CF0AAAC3" hidden="1">#REF!</definedName>
    <definedName name="BO15001C749A8443B19B4771252E3FB408" localSheetId="7" hidden="1">#REF!</definedName>
    <definedName name="BO15001C749A8443B19B4771252E3FB408" hidden="1">#REF!</definedName>
    <definedName name="BO152425F9EA984A31965233EC755A50FC" localSheetId="7" hidden="1">#REF!</definedName>
    <definedName name="BO152425F9EA984A31965233EC755A50FC" hidden="1">#REF!</definedName>
    <definedName name="BO153009FEA56E4A35B28194FBEC791ED9" localSheetId="7" hidden="1">#REF!</definedName>
    <definedName name="BO153009FEA56E4A35B28194FBEC791ED9" hidden="1">#REF!</definedName>
    <definedName name="BO15375C8089AE4764AB0FB60A27BE4308" localSheetId="7" hidden="1">#REF!</definedName>
    <definedName name="BO15375C8089AE4764AB0FB60A27BE4308" hidden="1">#REF!</definedName>
    <definedName name="BO15429081B0B84A34BB1509C980D04993" localSheetId="7" hidden="1">#REF!</definedName>
    <definedName name="BO15429081B0B84A34BB1509C980D04993" hidden="1">#REF!</definedName>
    <definedName name="BO154354CE14C0431D906EFDB7B3EF657F" localSheetId="7" hidden="1">#REF!</definedName>
    <definedName name="BO154354CE14C0431D906EFDB7B3EF657F" hidden="1">#REF!</definedName>
    <definedName name="BO15447C49512C4525935FAEC863475A6D" localSheetId="7" hidden="1">#REF!</definedName>
    <definedName name="BO15447C49512C4525935FAEC863475A6D" hidden="1">#REF!</definedName>
    <definedName name="BO1549BCB1B49F49758D091B46FD5CCC8C" localSheetId="7" hidden="1">#REF!</definedName>
    <definedName name="BO1549BCB1B49F49758D091B46FD5CCC8C" hidden="1">#REF!</definedName>
    <definedName name="BO15500D8158764D1FB405D32CB3C53F55" localSheetId="7" hidden="1">#REF!</definedName>
    <definedName name="BO15500D8158764D1FB405D32CB3C53F55" hidden="1">#REF!</definedName>
    <definedName name="BO155822BADB08458FA7653FCCB7A039C0" localSheetId="7" hidden="1">#REF!</definedName>
    <definedName name="BO155822BADB08458FA7653FCCB7A039C0" hidden="1">#REF!</definedName>
    <definedName name="BO155AAAA15B7A4CCFBA8B1E17002B58BB" localSheetId="7" hidden="1">#REF!</definedName>
    <definedName name="BO155AAAA15B7A4CCFBA8B1E17002B58BB" hidden="1">#REF!</definedName>
    <definedName name="BO156763B23459447CBB98E7A431E19FC7" localSheetId="7" hidden="1">#REF!</definedName>
    <definedName name="BO156763B23459447CBB98E7A431E19FC7" hidden="1">#REF!</definedName>
    <definedName name="BO158DAE308354449FA6813BCFAE976DF9" localSheetId="7" hidden="1">#REF!</definedName>
    <definedName name="BO158DAE308354449FA6813BCFAE976DF9" hidden="1">#REF!</definedName>
    <definedName name="BO159B64F5078D4E16AFFB93CD3DC0E5E2" localSheetId="7" hidden="1">#REF!</definedName>
    <definedName name="BO159B64F5078D4E16AFFB93CD3DC0E5E2" hidden="1">#REF!</definedName>
    <definedName name="BO15BB1345A460423FAC5B4BBC81822FC5" localSheetId="7" hidden="1">#REF!</definedName>
    <definedName name="BO15BB1345A460423FAC5B4BBC81822FC5" hidden="1">#REF!</definedName>
    <definedName name="BO15D28A6ABA2F4D19A97BBA7BD58C13FC" localSheetId="7" hidden="1">#REF!</definedName>
    <definedName name="BO15D28A6ABA2F4D19A97BBA7BD58C13FC" hidden="1">#REF!</definedName>
    <definedName name="BO15E52E1FE7534DF9B319C9FA2E607A2C" localSheetId="7" hidden="1">#REF!</definedName>
    <definedName name="BO15E52E1FE7534DF9B319C9FA2E607A2C" hidden="1">#REF!</definedName>
    <definedName name="BO15F73EE28CDB4B76A3E4DDDBD6134D39" localSheetId="7" hidden="1">#REF!</definedName>
    <definedName name="BO15F73EE28CDB4B76A3E4DDDBD6134D39" hidden="1">#REF!</definedName>
    <definedName name="BO1606D6D922384D7AB48E668C61388F6B" localSheetId="7" hidden="1">#REF!</definedName>
    <definedName name="BO1606D6D922384D7AB48E668C61388F6B" hidden="1">#REF!</definedName>
    <definedName name="BO160D443FB2D44FDEB64C232E6BFE1C50" localSheetId="7" hidden="1">#REF!</definedName>
    <definedName name="BO160D443FB2D44FDEB64C232E6BFE1C50" hidden="1">#REF!</definedName>
    <definedName name="BO167AD98F3AE54B369CFBF00C58DEC751" localSheetId="7" hidden="1">#REF!</definedName>
    <definedName name="BO167AD98F3AE54B369CFBF00C58DEC751" hidden="1">#REF!</definedName>
    <definedName name="BO167F3BEA826441E8ADE10AD481FFD28E" localSheetId="7" hidden="1">#REF!</definedName>
    <definedName name="BO167F3BEA826441E8ADE10AD481FFD28E" hidden="1">#REF!</definedName>
    <definedName name="BO1699E73BC5A241BB93D7B762D2BD3DE0" localSheetId="7" hidden="1">#REF!</definedName>
    <definedName name="BO1699E73BC5A241BB93D7B762D2BD3DE0" hidden="1">#REF!</definedName>
    <definedName name="BO16AC8D89D8A24494898B66B77B7DE559" localSheetId="7" hidden="1">#REF!</definedName>
    <definedName name="BO16AC8D89D8A24494898B66B77B7DE559" hidden="1">#REF!</definedName>
    <definedName name="BO16B5C0E532D44CC98ADE28768C3998AE" localSheetId="7" hidden="1">#REF!</definedName>
    <definedName name="BO16B5C0E532D44CC98ADE28768C3998AE" hidden="1">#REF!</definedName>
    <definedName name="BO16BBCB459F824A4F8EB09EF7FB9A4FA0" localSheetId="7" hidden="1">#REF!</definedName>
    <definedName name="BO16BBCB459F824A4F8EB09EF7FB9A4FA0" hidden="1">#REF!</definedName>
    <definedName name="BO16D1005C2E1B47D18D68BE05971290C8" localSheetId="7" hidden="1">#REF!</definedName>
    <definedName name="BO16D1005C2E1B47D18D68BE05971290C8" hidden="1">#REF!</definedName>
    <definedName name="BO16DB7CBBAB894C4DBBB323FC635E360A" localSheetId="7" hidden="1">#REF!</definedName>
    <definedName name="BO16DB7CBBAB894C4DBBB323FC635E360A" hidden="1">#REF!</definedName>
    <definedName name="BO16E7E51E5DEF4698AD2D5F67C4FA2247" localSheetId="7" hidden="1">#REF!</definedName>
    <definedName name="BO16E7E51E5DEF4698AD2D5F67C4FA2247" hidden="1">#REF!</definedName>
    <definedName name="BO16EFCF69001C4C6580BB0DA9F4A400F3" localSheetId="7" hidden="1">#REF!</definedName>
    <definedName name="BO16EFCF69001C4C6580BB0DA9F4A400F3" hidden="1">#REF!</definedName>
    <definedName name="BO16F73089069440A68E316E6C3A6D5961" localSheetId="7" hidden="1">#REF!</definedName>
    <definedName name="BO16F73089069440A68E316E6C3A6D5961" hidden="1">#REF!</definedName>
    <definedName name="BO16FA9A386B4C49EAB2C92538C600CC09" localSheetId="7" hidden="1">#REF!</definedName>
    <definedName name="BO16FA9A386B4C49EAB2C92538C600CC09" hidden="1">#REF!</definedName>
    <definedName name="BO17000472F6B540B6ACD0E08A81D1640E" localSheetId="7" hidden="1">#REF!</definedName>
    <definedName name="BO17000472F6B540B6ACD0E08A81D1640E" hidden="1">#REF!</definedName>
    <definedName name="BO174186D20E954285969EA92B5DE46E3E" localSheetId="7" hidden="1">#REF!</definedName>
    <definedName name="BO174186D20E954285969EA92B5DE46E3E" hidden="1">#REF!</definedName>
    <definedName name="BO17602D0F3F684D03A6A9DF725782D559" localSheetId="7" hidden="1">#REF!</definedName>
    <definedName name="BO17602D0F3F684D03A6A9DF725782D559" hidden="1">#REF!</definedName>
    <definedName name="BO177BFE1063B04A07ABFC44632D9733A7" localSheetId="7" hidden="1">#REF!</definedName>
    <definedName name="BO177BFE1063B04A07ABFC44632D9733A7" hidden="1">#REF!</definedName>
    <definedName name="BO179840792B584F86A66D4F8FEF6A1EB2" localSheetId="7" hidden="1">#REF!</definedName>
    <definedName name="BO179840792B584F86A66D4F8FEF6A1EB2" hidden="1">#REF!</definedName>
    <definedName name="BO17A3A1277ABC41FA9E712DE74E50E754" localSheetId="7" hidden="1">#REF!</definedName>
    <definedName name="BO17A3A1277ABC41FA9E712DE74E50E754" hidden="1">#REF!</definedName>
    <definedName name="BO17D689BB6DD341C5A5BC01F065F4CA65" localSheetId="7" hidden="1">#REF!</definedName>
    <definedName name="BO17D689BB6DD341C5A5BC01F065F4CA65" hidden="1">#REF!</definedName>
    <definedName name="BO17E26F0FD9AF4B2EB0450DB25C680895" localSheetId="7" hidden="1">#REF!</definedName>
    <definedName name="BO17E26F0FD9AF4B2EB0450DB25C680895" hidden="1">#REF!</definedName>
    <definedName name="BO17E69DDCEB174C09AB89B9CE116277EB" localSheetId="7" hidden="1">#REF!</definedName>
    <definedName name="BO17E69DDCEB174C09AB89B9CE116277EB" hidden="1">#REF!</definedName>
    <definedName name="BO17E7988AAF8F4A1FB287AA636086ACF0" localSheetId="7" hidden="1">#REF!</definedName>
    <definedName name="BO17E7988AAF8F4A1FB287AA636086ACF0" hidden="1">#REF!</definedName>
    <definedName name="BO17EAE92B030F4D25B894434C470B87FD" localSheetId="7" hidden="1">#REF!</definedName>
    <definedName name="BO17EAE92B030F4D25B894434C470B87FD" hidden="1">#REF!</definedName>
    <definedName name="BO17EC18899A974950B4C4175EBEF77A42" localSheetId="7" hidden="1">#REF!</definedName>
    <definedName name="BO17EC18899A974950B4C4175EBEF77A42" hidden="1">#REF!</definedName>
    <definedName name="BO17EDCFC1AC854D0AB0DE15984D3FBBE4" localSheetId="7" hidden="1">#REF!</definedName>
    <definedName name="BO17EDCFC1AC854D0AB0DE15984D3FBBE4" hidden="1">#REF!</definedName>
    <definedName name="BO17F7430C2A8A4D7794F8222187E0D853" localSheetId="7" hidden="1">#REF!</definedName>
    <definedName name="BO17F7430C2A8A4D7794F8222187E0D853" hidden="1">#REF!</definedName>
    <definedName name="BO17FA4741F83244B5833FB876A2AFBD0F" localSheetId="7" hidden="1">#REF!</definedName>
    <definedName name="BO17FA4741F83244B5833FB876A2AFBD0F" hidden="1">#REF!</definedName>
    <definedName name="BO18000F4BCC2E4A0CBFE451D407B80117" localSheetId="7" hidden="1">#REF!</definedName>
    <definedName name="BO18000F4BCC2E4A0CBFE451D407B80117" hidden="1">#REF!</definedName>
    <definedName name="BO180452388EE14E4B8C6B23A38EBE2BBE" localSheetId="7" hidden="1">#REF!</definedName>
    <definedName name="BO180452388EE14E4B8C6B23A38EBE2BBE" hidden="1">#REF!</definedName>
    <definedName name="BO181C294C3AB8406E9772817AFC6F3263" localSheetId="7" hidden="1">#REF!</definedName>
    <definedName name="BO181C294C3AB8406E9772817AFC6F3263" hidden="1">#REF!</definedName>
    <definedName name="BO183A3133EF59479CBDAA8C511822EAD3" localSheetId="7" hidden="1">#REF!</definedName>
    <definedName name="BO183A3133EF59479CBDAA8C511822EAD3" hidden="1">#REF!</definedName>
    <definedName name="BO185C3303A4604F5DAC8555BE4F3DD2DC" localSheetId="7" hidden="1">#REF!</definedName>
    <definedName name="BO185C3303A4604F5DAC8555BE4F3DD2DC" hidden="1">#REF!</definedName>
    <definedName name="BO185E9111E5BC44A898FC6AE542D27F9A" localSheetId="7" hidden="1">#REF!</definedName>
    <definedName name="BO185E9111E5BC44A898FC6AE542D27F9A" hidden="1">#REF!</definedName>
    <definedName name="BO187261C7A46F469A9EF30BCE52828173" localSheetId="7" hidden="1">#REF!</definedName>
    <definedName name="BO187261C7A46F469A9EF30BCE52828173" hidden="1">#REF!</definedName>
    <definedName name="BO1876F525521049D6A87C52CB7BC7DDC1" localSheetId="7" hidden="1">#REF!</definedName>
    <definedName name="BO1876F525521049D6A87C52CB7BC7DDC1" hidden="1">#REF!</definedName>
    <definedName name="BO187D40E2DFE44C1A83BE50999DD567F3" localSheetId="7" hidden="1">#REF!</definedName>
    <definedName name="BO187D40E2DFE44C1A83BE50999DD567F3" hidden="1">#REF!</definedName>
    <definedName name="BO189A9B33687848F7B96AE32F0D5D0787" localSheetId="7" hidden="1">#REF!</definedName>
    <definedName name="BO189A9B33687848F7B96AE32F0D5D0787" hidden="1">#REF!</definedName>
    <definedName name="BO18B04C597ACC41778B3A7EC905FF3D9B" localSheetId="7" hidden="1">#REF!</definedName>
    <definedName name="BO18B04C597ACC41778B3A7EC905FF3D9B" hidden="1">#REF!</definedName>
    <definedName name="BO18B6F0C111914173AAE6D91229C094B1" localSheetId="7" hidden="1">#REF!</definedName>
    <definedName name="BO18B6F0C111914173AAE6D91229C094B1" hidden="1">#REF!</definedName>
    <definedName name="BO18C15E53B7C14EE1B3864EECA7630BEA" localSheetId="7" hidden="1">#REF!</definedName>
    <definedName name="BO18C15E53B7C14EE1B3864EECA7630BEA" hidden="1">#REF!</definedName>
    <definedName name="BO18D5DFBAF06D41A282369A996E5E1D61" localSheetId="7" hidden="1">#REF!</definedName>
    <definedName name="BO18D5DFBAF06D41A282369A996E5E1D61" hidden="1">#REF!</definedName>
    <definedName name="BO18DBB7313D534D0A9610BDF0E72A9516" localSheetId="7" hidden="1">#REF!</definedName>
    <definedName name="BO18DBB7313D534D0A9610BDF0E72A9516" hidden="1">#REF!</definedName>
    <definedName name="BO18E02859CE704C6CB5BD14DE1AC66FE8" localSheetId="7" hidden="1">#REF!</definedName>
    <definedName name="BO18E02859CE704C6CB5BD14DE1AC66FE8" hidden="1">#REF!</definedName>
    <definedName name="BO18F31F5DE68D4F839DEE6CF0B69DDB25" localSheetId="7" hidden="1">#REF!</definedName>
    <definedName name="BO18F31F5DE68D4F839DEE6CF0B69DDB25" hidden="1">#REF!</definedName>
    <definedName name="BO18FE4D2F71C647F893180BF8445D5F02" localSheetId="7" hidden="1">#REF!</definedName>
    <definedName name="BO18FE4D2F71C647F893180BF8445D5F02" hidden="1">#REF!</definedName>
    <definedName name="BO1919D98F9C354CBF90E7F1A96D2EA8CE" localSheetId="7" hidden="1">#REF!</definedName>
    <definedName name="BO1919D98F9C354CBF90E7F1A96D2EA8CE" hidden="1">#REF!</definedName>
    <definedName name="BO191A785508414B70821006F08C23E383" localSheetId="7" hidden="1">#REF!</definedName>
    <definedName name="BO191A785508414B70821006F08C23E383" hidden="1">#REF!</definedName>
    <definedName name="BO191A817079964906A25C50543B4A7717" localSheetId="7" hidden="1">#REF!</definedName>
    <definedName name="BO191A817079964906A25C50543B4A7717" hidden="1">#REF!</definedName>
    <definedName name="BO19243BE3EAC84200904C9800E52B950A" localSheetId="7" hidden="1">#REF!</definedName>
    <definedName name="BO19243BE3EAC84200904C9800E52B950A" hidden="1">#REF!</definedName>
    <definedName name="BO19332E3501FB4F1384A73639862F3DF9" localSheetId="7" hidden="1">#REF!</definedName>
    <definedName name="BO19332E3501FB4F1384A73639862F3DF9" hidden="1">#REF!</definedName>
    <definedName name="BO1939ED479E9F4A76B8D6B6C006148BC2" localSheetId="7" hidden="1">#REF!</definedName>
    <definedName name="BO1939ED479E9F4A76B8D6B6C006148BC2" hidden="1">#REF!</definedName>
    <definedName name="BO1979B97512D844DA99BDB47D9D1B2007" localSheetId="7" hidden="1">#REF!</definedName>
    <definedName name="BO1979B97512D844DA99BDB47D9D1B2007" hidden="1">#REF!</definedName>
    <definedName name="BO1989C95BAFAE454B80705D75785C0A3E" localSheetId="7" hidden="1">#REF!</definedName>
    <definedName name="BO1989C95BAFAE454B80705D75785C0A3E" hidden="1">#REF!</definedName>
    <definedName name="BO19C63E40DAD14B8A8113B6F89FD8C4B0" localSheetId="7" hidden="1">#REF!</definedName>
    <definedName name="BO19C63E40DAD14B8A8113B6F89FD8C4B0" hidden="1">#REF!</definedName>
    <definedName name="BO19D9BCC743724B1EBE6CB19CF0A5F4C7" localSheetId="7" hidden="1">#REF!</definedName>
    <definedName name="BO19D9BCC743724B1EBE6CB19CF0A5F4C7" hidden="1">#REF!</definedName>
    <definedName name="BO19F00502C2D04F5FBBF6F3210CFC1957" localSheetId="7" hidden="1">#REF!</definedName>
    <definedName name="BO19F00502C2D04F5FBBF6F3210CFC1957" hidden="1">#REF!</definedName>
    <definedName name="BO1A05DAF53C684A3FA388582C7896C6C3" localSheetId="7" hidden="1">#REF!</definedName>
    <definedName name="BO1A05DAF53C684A3FA388582C7896C6C3" hidden="1">#REF!</definedName>
    <definedName name="BO1A2A7D13301C4EAFAE118D50AF873562" localSheetId="7" hidden="1">#REF!</definedName>
    <definedName name="BO1A2A7D13301C4EAFAE118D50AF873562" hidden="1">#REF!</definedName>
    <definedName name="BO1A384EBCE7D84FFF8F1DB9AC2389BF45" localSheetId="7" hidden="1">#REF!</definedName>
    <definedName name="BO1A384EBCE7D84FFF8F1DB9AC2389BF45" hidden="1">#REF!</definedName>
    <definedName name="BO1A396EB2402648BEAA51E72B091FD087" localSheetId="7" hidden="1">#REF!</definedName>
    <definedName name="BO1A396EB2402648BEAA51E72B091FD087" hidden="1">#REF!</definedName>
    <definedName name="BO1A3D6A6BE63B4A989A284D6CBE53A2A8" localSheetId="7" hidden="1">#REF!</definedName>
    <definedName name="BO1A3D6A6BE63B4A989A284D6CBE53A2A8" hidden="1">#REF!</definedName>
    <definedName name="BO1A4E9A09D7194DD7A55B3E515B1B1457" localSheetId="7" hidden="1">#REF!</definedName>
    <definedName name="BO1A4E9A09D7194DD7A55B3E515B1B1457" hidden="1">#REF!</definedName>
    <definedName name="BO1A80B2F996DF47E18BC28FC7B839C9C7" localSheetId="7" hidden="1">#REF!</definedName>
    <definedName name="BO1A80B2F996DF47E18BC28FC7B839C9C7" hidden="1">#REF!</definedName>
    <definedName name="BO1A9349D0483D48EF800B246FB20785E2" localSheetId="7" hidden="1">#REF!</definedName>
    <definedName name="BO1A9349D0483D48EF800B246FB20785E2" hidden="1">#REF!</definedName>
    <definedName name="BO1AC2E7D2996A4FC5B163B4F50A716E6E" localSheetId="7" hidden="1">#REF!</definedName>
    <definedName name="BO1AC2E7D2996A4FC5B163B4F50A716E6E" hidden="1">#REF!</definedName>
    <definedName name="BO1AD0A74686684AA295DEE4E38F4F86A0" localSheetId="7" hidden="1">#REF!</definedName>
    <definedName name="BO1AD0A74686684AA295DEE4E38F4F86A0" hidden="1">#REF!</definedName>
    <definedName name="BO1ADEA84313B34FC383F87F611DB2B4E9" localSheetId="7" hidden="1">#REF!</definedName>
    <definedName name="BO1ADEA84313B34FC383F87F611DB2B4E9" hidden="1">#REF!</definedName>
    <definedName name="BO1ADFDBCA4B194027A2D014A5D1D7C5B0" localSheetId="7" hidden="1">#REF!</definedName>
    <definedName name="BO1ADFDBCA4B194027A2D014A5D1D7C5B0" hidden="1">#REF!</definedName>
    <definedName name="BO1B1FD72D5F4B4E3CB654A96BFC7680F9" localSheetId="7" hidden="1">#REF!</definedName>
    <definedName name="BO1B1FD72D5F4B4E3CB654A96BFC7680F9" hidden="1">#REF!</definedName>
    <definedName name="BO1B659DB95E7A4814BF6F8287ABDD7447" localSheetId="7" hidden="1">#REF!</definedName>
    <definedName name="BO1B659DB95E7A4814BF6F8287ABDD7447" hidden="1">#REF!</definedName>
    <definedName name="BO1B830760CBAE40A5B559B5DF7605FBC0" localSheetId="7" hidden="1">#REF!</definedName>
    <definedName name="BO1B830760CBAE40A5B559B5DF7605FBC0" hidden="1">#REF!</definedName>
    <definedName name="BO1B891E4131834F19B638762633A07328" localSheetId="7" hidden="1">#REF!</definedName>
    <definedName name="BO1B891E4131834F19B638762633A07328" hidden="1">#REF!</definedName>
    <definedName name="BO1B89CB390C354BE5B2FBD82B099F9C34" localSheetId="7" hidden="1">#REF!</definedName>
    <definedName name="BO1B89CB390C354BE5B2FBD82B099F9C34" hidden="1">#REF!</definedName>
    <definedName name="BO1B8DAA4C14284DCA8FB18190872BC433" localSheetId="7" hidden="1">#REF!</definedName>
    <definedName name="BO1B8DAA4C14284DCA8FB18190872BC433" hidden="1">#REF!</definedName>
    <definedName name="BO1BB81485A03543DA932255E3AD5025E6" localSheetId="7" hidden="1">#REF!</definedName>
    <definedName name="BO1BB81485A03543DA932255E3AD5025E6" hidden="1">#REF!</definedName>
    <definedName name="BO1BC0636F2AB4407EB1BB250BB90D2C5C" localSheetId="7" hidden="1">#REF!</definedName>
    <definedName name="BO1BC0636F2AB4407EB1BB250BB90D2C5C" hidden="1">#REF!</definedName>
    <definedName name="BO1BCEFC2D8131422AAA410C17B8F5F63C" localSheetId="7" hidden="1">#REF!</definedName>
    <definedName name="BO1BCEFC2D8131422AAA410C17B8F5F63C" hidden="1">#REF!</definedName>
    <definedName name="BO1BE99E8594A248E0B5B1EA65C6A91A3F" localSheetId="7" hidden="1">#REF!</definedName>
    <definedName name="BO1BE99E8594A248E0B5B1EA65C6A91A3F" hidden="1">#REF!</definedName>
    <definedName name="BO1C08231B3C56478AB828AB1A40A14EDE" localSheetId="7" hidden="1">#REF!</definedName>
    <definedName name="BO1C08231B3C56478AB828AB1A40A14EDE" hidden="1">#REF!</definedName>
    <definedName name="BO1C193BB6D095447C8B3F013F6125F918" localSheetId="7" hidden="1">#REF!</definedName>
    <definedName name="BO1C193BB6D095447C8B3F013F6125F918" hidden="1">#REF!</definedName>
    <definedName name="BO1C1C6489660847FA83AA3E00015CE417" localSheetId="7" hidden="1">#REF!</definedName>
    <definedName name="BO1C1C6489660847FA83AA3E00015CE417" hidden="1">#REF!</definedName>
    <definedName name="BO1C2B0DF040FA4AF5A51E9C4243EE8A14" localSheetId="7" hidden="1">#REF!</definedName>
    <definedName name="BO1C2B0DF040FA4AF5A51E9C4243EE8A14" hidden="1">#REF!</definedName>
    <definedName name="BO1C2CB2FFA2B141899B3A20F9B93C8731" localSheetId="7" hidden="1">#REF!</definedName>
    <definedName name="BO1C2CB2FFA2B141899B3A20F9B93C8731" hidden="1">#REF!</definedName>
    <definedName name="BO1C9FACFEB8F7478EBCEBA7765CB4405B" localSheetId="7" hidden="1">#REF!</definedName>
    <definedName name="BO1C9FACFEB8F7478EBCEBA7765CB4405B" hidden="1">#REF!</definedName>
    <definedName name="BO1CB09C94DD984DE990975463292CD742" localSheetId="7" hidden="1">#REF!</definedName>
    <definedName name="BO1CB09C94DD984DE990975463292CD742" hidden="1">#REF!</definedName>
    <definedName name="BO1CE31B0CF93D477A9F8596D3DF6F0A2F" localSheetId="7" hidden="1">#REF!</definedName>
    <definedName name="BO1CE31B0CF93D477A9F8596D3DF6F0A2F" hidden="1">#REF!</definedName>
    <definedName name="BO1CE67695F44F48ED94A64723B6220D6B" localSheetId="7" hidden="1">#REF!</definedName>
    <definedName name="BO1CE67695F44F48ED94A64723B6220D6B" hidden="1">#REF!</definedName>
    <definedName name="BO1CE6CB67D080416695C08CD37C5774C0" localSheetId="7" hidden="1">#REF!</definedName>
    <definedName name="BO1CE6CB67D080416695C08CD37C5774C0" hidden="1">#REF!</definedName>
    <definedName name="BO1D2B578E18204BDC9ECAC4AFE96F99B6" localSheetId="7" hidden="1">#REF!</definedName>
    <definedName name="BO1D2B578E18204BDC9ECAC4AFE96F99B6" hidden="1">#REF!</definedName>
    <definedName name="BO1D304BDAE03C410FA25B0929D05F5E7B" localSheetId="7" hidden="1">#REF!</definedName>
    <definedName name="BO1D304BDAE03C410FA25B0929D05F5E7B" hidden="1">#REF!</definedName>
    <definedName name="BO1D3360286ACC47C7AC71E8E87B9E681F" localSheetId="7" hidden="1">#REF!</definedName>
    <definedName name="BO1D3360286ACC47C7AC71E8E87B9E681F" hidden="1">#REF!</definedName>
    <definedName name="BO1D404F0062EB4A238087C60CB7E38B60" localSheetId="7" hidden="1">#REF!</definedName>
    <definedName name="BO1D404F0062EB4A238087C60CB7E38B60" hidden="1">#REF!</definedName>
    <definedName name="BO1D41C2FBFC6745DD9D9B23C7A44C23C8" localSheetId="7" hidden="1">#REF!</definedName>
    <definedName name="BO1D41C2FBFC6745DD9D9B23C7A44C23C8" hidden="1">#REF!</definedName>
    <definedName name="BO1D60F9ED5C4E4B1FAEFBBC58B7B5EF3D" localSheetId="7" hidden="1">#REF!</definedName>
    <definedName name="BO1D60F9ED5C4E4B1FAEFBBC58B7B5EF3D" hidden="1">#REF!</definedName>
    <definedName name="BO1D61CBFECB88415A83127376887FD0BE" localSheetId="7" hidden="1">#REF!</definedName>
    <definedName name="BO1D61CBFECB88415A83127376887FD0BE" hidden="1">#REF!</definedName>
    <definedName name="BO1D72BBCEC42846DBA1417AEB50B23AEB" localSheetId="7" hidden="1">#REF!</definedName>
    <definedName name="BO1D72BBCEC42846DBA1417AEB50B23AEB" hidden="1">#REF!</definedName>
    <definedName name="BO1D89883BD4BB48DC834E32D7DA065040" localSheetId="7" hidden="1">#REF!</definedName>
    <definedName name="BO1D89883BD4BB48DC834E32D7DA065040" hidden="1">#REF!</definedName>
    <definedName name="BO1D8A93CDB0804BE3A668655A437E109E" localSheetId="7" hidden="1">#REF!</definedName>
    <definedName name="BO1D8A93CDB0804BE3A668655A437E109E" hidden="1">#REF!</definedName>
    <definedName name="BO1D91723E3F704800834E93C6228A7B51" localSheetId="7" hidden="1">#REF!</definedName>
    <definedName name="BO1D91723E3F704800834E93C6228A7B51" hidden="1">#REF!</definedName>
    <definedName name="BO1DAC694F95E441DAA331898457A8D1C1" localSheetId="7" hidden="1">#REF!</definedName>
    <definedName name="BO1DAC694F95E441DAA331898457A8D1C1" hidden="1">#REF!</definedName>
    <definedName name="BO1DAF787DAD564A6489533EA420A94042" localSheetId="7" hidden="1">#REF!</definedName>
    <definedName name="BO1DAF787DAD564A6489533EA420A94042" hidden="1">#REF!</definedName>
    <definedName name="BO1DE7B0AF48F44B7A8BA75B87FE4DED7D" localSheetId="7" hidden="1">#REF!</definedName>
    <definedName name="BO1DE7B0AF48F44B7A8BA75B87FE4DED7D" hidden="1">#REF!</definedName>
    <definedName name="BO1DF666F790624CAEAF7C01E5BAA5D048" localSheetId="7" hidden="1">#REF!</definedName>
    <definedName name="BO1DF666F790624CAEAF7C01E5BAA5D048" hidden="1">#REF!</definedName>
    <definedName name="BO1E0A6544E83B4619AADDED90F043E19B" localSheetId="7" hidden="1">#REF!</definedName>
    <definedName name="BO1E0A6544E83B4619AADDED90F043E19B" hidden="1">#REF!</definedName>
    <definedName name="BO1E12DDE28E714C42B574C626B6D3965D" localSheetId="7" hidden="1">#REF!</definedName>
    <definedName name="BO1E12DDE28E714C42B574C626B6D3965D" hidden="1">#REF!</definedName>
    <definedName name="BO1E31883978F04A63B8655F6C4813E41B" localSheetId="7" hidden="1">#REF!</definedName>
    <definedName name="BO1E31883978F04A63B8655F6C4813E41B" hidden="1">#REF!</definedName>
    <definedName name="BO1E3EE75C11564B168A819CF5C4929C61" localSheetId="7" hidden="1">#REF!</definedName>
    <definedName name="BO1E3EE75C11564B168A819CF5C4929C61" hidden="1">#REF!</definedName>
    <definedName name="BO1E6B397ADFC84F5EA4456B687A492A42" localSheetId="7" hidden="1">#REF!</definedName>
    <definedName name="BO1E6B397ADFC84F5EA4456B687A492A42" hidden="1">#REF!</definedName>
    <definedName name="BO1E7A2ADC6F96452BBC6E542F2408E44A" localSheetId="7" hidden="1">#REF!</definedName>
    <definedName name="BO1E7A2ADC6F96452BBC6E542F2408E44A" hidden="1">#REF!</definedName>
    <definedName name="BO1EB7E14929DE4FB997F187DB236EDFC8" localSheetId="7" hidden="1">#REF!</definedName>
    <definedName name="BO1EB7E14929DE4FB997F187DB236EDFC8" hidden="1">#REF!</definedName>
    <definedName name="BO1F37EED668924C0B86DEB39CA7C6E492" localSheetId="7" hidden="1">#REF!</definedName>
    <definedName name="BO1F37EED668924C0B86DEB39CA7C6E492" hidden="1">#REF!</definedName>
    <definedName name="BO1F6B2249A4C84FF68501AF26041CC109" localSheetId="7" hidden="1">#REF!</definedName>
    <definedName name="BO1F6B2249A4C84FF68501AF26041CC109" hidden="1">#REF!</definedName>
    <definedName name="BO1F6E8132F03B422685929D9B5EEEB107" localSheetId="7" hidden="1">#REF!</definedName>
    <definedName name="BO1F6E8132F03B422685929D9B5EEEB107" hidden="1">#REF!</definedName>
    <definedName name="BO1F84B0ED800C455783CF35F97F021FC6" localSheetId="7" hidden="1">#REF!</definedName>
    <definedName name="BO1F84B0ED800C455783CF35F97F021FC6" hidden="1">#REF!</definedName>
    <definedName name="BO1F850EABBBDC4A9F9C2B2530AEC553B4" localSheetId="7" hidden="1">#REF!</definedName>
    <definedName name="BO1F850EABBBDC4A9F9C2B2530AEC553B4" hidden="1">#REF!</definedName>
    <definedName name="BO1F883EB06E0F4CD3A2F0CDA07BAF192F" localSheetId="7" hidden="1">#REF!</definedName>
    <definedName name="BO1F883EB06E0F4CD3A2F0CDA07BAF192F" hidden="1">#REF!</definedName>
    <definedName name="BO1F8D0610C42C4D509DD63320B37ECFAE" localSheetId="7" hidden="1">#REF!</definedName>
    <definedName name="BO1F8D0610C42C4D509DD63320B37ECFAE" hidden="1">#REF!</definedName>
    <definedName name="BO1F98B7D889AE45C88A0FA40C704F8538" localSheetId="7" hidden="1">#REF!</definedName>
    <definedName name="BO1F98B7D889AE45C88A0FA40C704F8538" hidden="1">#REF!</definedName>
    <definedName name="BO1F9FDB47EDA247D5BFF52B86B80D52AD" localSheetId="7" hidden="1">#REF!</definedName>
    <definedName name="BO1F9FDB47EDA247D5BFF52B86B80D52AD" hidden="1">#REF!</definedName>
    <definedName name="BO1FAEAF1D4B084B429DF530681417A6C3" localSheetId="7" hidden="1">#REF!</definedName>
    <definedName name="BO1FAEAF1D4B084B429DF530681417A6C3" hidden="1">#REF!</definedName>
    <definedName name="BO1FB2BD23DC1A4AC4A64B66010EE54373" localSheetId="7" hidden="1">#REF!</definedName>
    <definedName name="BO1FB2BD23DC1A4AC4A64B66010EE54373" hidden="1">#REF!</definedName>
    <definedName name="BO1FC6F6AC8482462E8EA1854E0428175D" localSheetId="7" hidden="1">#REF!</definedName>
    <definedName name="BO1FC6F6AC8482462E8EA1854E0428175D" hidden="1">#REF!</definedName>
    <definedName name="BO1FCA1AB39BE344F7AD144F377AF574C0" localSheetId="7" hidden="1">#REF!</definedName>
    <definedName name="BO1FCA1AB39BE344F7AD144F377AF574C0" hidden="1">#REF!</definedName>
    <definedName name="BO1FD8C64A37F34EC59186663D2157F948" localSheetId="7" hidden="1">#REF!</definedName>
    <definedName name="BO1FD8C64A37F34EC59186663D2157F948" hidden="1">#REF!</definedName>
    <definedName name="BO1FE0F938017549BC9CF8C78D848ECF4D" localSheetId="7" hidden="1">#REF!</definedName>
    <definedName name="BO1FE0F938017549BC9CF8C78D848ECF4D" hidden="1">#REF!</definedName>
    <definedName name="BO20117A9E0EFF4EAC91FEAB5E2FE488CA" localSheetId="7" hidden="1">#REF!</definedName>
    <definedName name="BO20117A9E0EFF4EAC91FEAB5E2FE488CA" hidden="1">#REF!</definedName>
    <definedName name="BO202461856F3343808B12E7C9A1278C86" localSheetId="7" hidden="1">#REF!</definedName>
    <definedName name="BO202461856F3343808B12E7C9A1278C86" hidden="1">#REF!</definedName>
    <definedName name="BO2035D863972E4DB1B85716D7227EFC24" localSheetId="7" hidden="1">#REF!</definedName>
    <definedName name="BO2035D863972E4DB1B85716D7227EFC24" hidden="1">#REF!</definedName>
    <definedName name="BO205FEC3BB0504B47AB38EDFEB8B54ADE" localSheetId="7" hidden="1">#REF!</definedName>
    <definedName name="BO205FEC3BB0504B47AB38EDFEB8B54ADE" hidden="1">#REF!</definedName>
    <definedName name="BO2066A3B73DCD4A6E82D5CA78EEB4FBB1" localSheetId="7" hidden="1">#REF!</definedName>
    <definedName name="BO2066A3B73DCD4A6E82D5CA78EEB4FBB1" hidden="1">#REF!</definedName>
    <definedName name="BO20850B89F5A44C53B5A4FEAD3C2DD90C" localSheetId="7" hidden="1">#REF!</definedName>
    <definedName name="BO20850B89F5A44C53B5A4FEAD3C2DD90C" hidden="1">#REF!</definedName>
    <definedName name="BO208A721CA20B43EFB88A04C05D6B01FF" localSheetId="7" hidden="1">#REF!</definedName>
    <definedName name="BO208A721CA20B43EFB88A04C05D6B01FF" hidden="1">#REF!</definedName>
    <definedName name="BO209FFFB1D4C3412BA7FCAA2FC8A3B731" localSheetId="7" hidden="1">#REF!</definedName>
    <definedName name="BO209FFFB1D4C3412BA7FCAA2FC8A3B731" hidden="1">#REF!</definedName>
    <definedName name="BO20A8F907A7DD4F6FB3F7F95980951CA6" localSheetId="7" hidden="1">#REF!</definedName>
    <definedName name="BO20A8F907A7DD4F6FB3F7F95980951CA6" hidden="1">#REF!</definedName>
    <definedName name="BO20D809B43CF04107801853E3A2A8855F" localSheetId="7" hidden="1">#REF!</definedName>
    <definedName name="BO20D809B43CF04107801853E3A2A8855F" hidden="1">#REF!</definedName>
    <definedName name="BO20E146978B474E57B0D1AB37F5D042ED" localSheetId="7" hidden="1">#REF!</definedName>
    <definedName name="BO20E146978B474E57B0D1AB37F5D042ED" hidden="1">#REF!</definedName>
    <definedName name="BO20E68E05DF54400A85112F137EA71D03" localSheetId="7" hidden="1">#REF!</definedName>
    <definedName name="BO20E68E05DF54400A85112F137EA71D03" hidden="1">#REF!</definedName>
    <definedName name="BO20E78247E6EE479DA660BBE92ADDB30C" localSheetId="7" hidden="1">#REF!</definedName>
    <definedName name="BO20E78247E6EE479DA660BBE92ADDB30C" hidden="1">#REF!</definedName>
    <definedName name="BO20E82374AE314F1EB2A23640E85FF64F" localSheetId="7" hidden="1">#REF!</definedName>
    <definedName name="BO20E82374AE314F1EB2A23640E85FF64F" hidden="1">#REF!</definedName>
    <definedName name="BO20F33A80DA7A48DC89ECDCA5043AAE9E" localSheetId="7" hidden="1">#REF!</definedName>
    <definedName name="BO20F33A80DA7A48DC89ECDCA5043AAE9E" hidden="1">#REF!</definedName>
    <definedName name="BO20F9AF87DC734C2EA6874EAD71D3B064" localSheetId="7" hidden="1">#REF!</definedName>
    <definedName name="BO20F9AF87DC734C2EA6874EAD71D3B064" hidden="1">#REF!</definedName>
    <definedName name="BO21064AB9E5A24C8CA76AA08AC3480D28" localSheetId="7" hidden="1">#REF!</definedName>
    <definedName name="BO21064AB9E5A24C8CA76AA08AC3480D28" hidden="1">#REF!</definedName>
    <definedName name="BO210CBD4AE17449CF8F21FF1826311758" localSheetId="7" hidden="1">#REF!</definedName>
    <definedName name="BO210CBD4AE17449CF8F21FF1826311758" hidden="1">#REF!</definedName>
    <definedName name="BO2114020BAB304EEC9A3DC7D6CDBAF068" localSheetId="7" hidden="1">#REF!</definedName>
    <definedName name="BO2114020BAB304EEC9A3DC7D6CDBAF068" hidden="1">#REF!</definedName>
    <definedName name="BO21187A91BD0B4E04B1579ACC086BF4DD" localSheetId="7" hidden="1">#REF!</definedName>
    <definedName name="BO21187A91BD0B4E04B1579ACC086BF4DD" hidden="1">#REF!</definedName>
    <definedName name="BO211A42B39991443C9FF4702D5DC1A366" localSheetId="7" hidden="1">#REF!</definedName>
    <definedName name="BO211A42B39991443C9FF4702D5DC1A366" hidden="1">#REF!</definedName>
    <definedName name="BO21220FDC848C431B9FA30BFC4B7C790C" localSheetId="7" hidden="1">#REF!</definedName>
    <definedName name="BO21220FDC848C431B9FA30BFC4B7C790C" hidden="1">#REF!</definedName>
    <definedName name="BO2123D6BF03C546B2B1CC941F99D2C805" localSheetId="7" hidden="1">#REF!</definedName>
    <definedName name="BO2123D6BF03C546B2B1CC941F99D2C805" hidden="1">#REF!</definedName>
    <definedName name="BO21291C02286C4118B5B476C67808ABF2" localSheetId="7" hidden="1">#REF!</definedName>
    <definedName name="BO21291C02286C4118B5B476C67808ABF2" hidden="1">#REF!</definedName>
    <definedName name="BO212ADB395DF24D1BBDECF70D10B35F70" localSheetId="7" hidden="1">#REF!</definedName>
    <definedName name="BO212ADB395DF24D1BBDECF70D10B35F70" hidden="1">#REF!</definedName>
    <definedName name="BO212B8801B2274DCBBC034F798171E6A3" localSheetId="7" hidden="1">#REF!</definedName>
    <definedName name="BO212B8801B2274DCBBC034F798171E6A3" hidden="1">#REF!</definedName>
    <definedName name="BO213F4D543CD74651A0AB0BF9CF065158" localSheetId="7" hidden="1">#REF!</definedName>
    <definedName name="BO213F4D543CD74651A0AB0BF9CF065158" hidden="1">#REF!</definedName>
    <definedName name="BO214E7AA7DF6741D495B51D5B97407755" localSheetId="7" hidden="1">#REF!</definedName>
    <definedName name="BO214E7AA7DF6741D495B51D5B97407755" hidden="1">#REF!</definedName>
    <definedName name="BO21531BA075624A379DEE4C679BBC4523" localSheetId="7" hidden="1">#REF!</definedName>
    <definedName name="BO21531BA075624A379DEE4C679BBC4523" hidden="1">#REF!</definedName>
    <definedName name="BO2161DEF16D584F0FB841D763D834105F" localSheetId="7" hidden="1">#REF!</definedName>
    <definedName name="BO2161DEF16D584F0FB841D763D834105F" hidden="1">#REF!</definedName>
    <definedName name="BO2195B1B932FB40F6B987B1FE30AA3069" localSheetId="7" hidden="1">#REF!</definedName>
    <definedName name="BO2195B1B932FB40F6B987B1FE30AA3069" hidden="1">#REF!</definedName>
    <definedName name="BO2199CBC19228470EB6DE7CD34F5653ED" localSheetId="7" hidden="1">#REF!</definedName>
    <definedName name="BO2199CBC19228470EB6DE7CD34F5653ED" hidden="1">#REF!</definedName>
    <definedName name="BO219B13FF155F45FEA0BA845759EF42C1" localSheetId="7" hidden="1">#REF!</definedName>
    <definedName name="BO219B13FF155F45FEA0BA845759EF42C1" hidden="1">#REF!</definedName>
    <definedName name="BO21A87D2A885B472D80481AD68D36095B" localSheetId="7" hidden="1">#REF!</definedName>
    <definedName name="BO21A87D2A885B472D80481AD68D36095B" hidden="1">#REF!</definedName>
    <definedName name="BO21B22A3F2BC64CCCAE568C4FE1377722" localSheetId="7" hidden="1">#REF!</definedName>
    <definedName name="BO21B22A3F2BC64CCCAE568C4FE1377722" hidden="1">#REF!</definedName>
    <definedName name="BO21B360309C2E42198285BADDF3146189" localSheetId="7" hidden="1">#REF!</definedName>
    <definedName name="BO21B360309C2E42198285BADDF3146189" hidden="1">#REF!</definedName>
    <definedName name="BO21BC8CA3541040A39CCA7EF93143E3AB" localSheetId="7" hidden="1">#REF!</definedName>
    <definedName name="BO21BC8CA3541040A39CCA7EF93143E3AB" hidden="1">#REF!</definedName>
    <definedName name="BO21C3AE34855D4256919ED8CB7289DBCC" localSheetId="7" hidden="1">#REF!</definedName>
    <definedName name="BO21C3AE34855D4256919ED8CB7289DBCC" hidden="1">#REF!</definedName>
    <definedName name="BO21EB978375814728A453E64F53BF50A5" localSheetId="7" hidden="1">#REF!</definedName>
    <definedName name="BO21EB978375814728A453E64F53BF50A5" hidden="1">#REF!</definedName>
    <definedName name="BO21F94CF96DF048BAB18E4BC6FC2F208B" localSheetId="7" hidden="1">#REF!</definedName>
    <definedName name="BO21F94CF96DF048BAB18E4BC6FC2F208B" hidden="1">#REF!</definedName>
    <definedName name="BO21FC54C50D9945C3A43DBFE26DABF901" localSheetId="7" hidden="1">#REF!</definedName>
    <definedName name="BO21FC54C50D9945C3A43DBFE26DABF901" hidden="1">#REF!</definedName>
    <definedName name="BO220B0EBC3344499C837F6B80032EEEA5" localSheetId="7" hidden="1">#REF!</definedName>
    <definedName name="BO220B0EBC3344499C837F6B80032EEEA5" hidden="1">#REF!</definedName>
    <definedName name="BO220F0C0994CC4D82B1BFC36F2F4C50AE" localSheetId="7" hidden="1">#REF!</definedName>
    <definedName name="BO220F0C0994CC4D82B1BFC36F2F4C50AE" hidden="1">#REF!</definedName>
    <definedName name="BO221867505D0B49EBB561ACA586E48881" localSheetId="7" hidden="1">#REF!</definedName>
    <definedName name="BO221867505D0B49EBB561ACA586E48881" hidden="1">#REF!</definedName>
    <definedName name="BO222420C14DE449DC82ACC5D6FC750EE7" localSheetId="7" hidden="1">#REF!</definedName>
    <definedName name="BO222420C14DE449DC82ACC5D6FC750EE7" hidden="1">#REF!</definedName>
    <definedName name="BO222A043B06744B5A83279B42CE5ACF56" localSheetId="7" hidden="1">#REF!</definedName>
    <definedName name="BO222A043B06744B5A83279B42CE5ACF56" hidden="1">#REF!</definedName>
    <definedName name="BO2244EB3ADF014C8BA026460E9A618A1D" localSheetId="7" hidden="1">#REF!</definedName>
    <definedName name="BO2244EB3ADF014C8BA026460E9A618A1D" hidden="1">#REF!</definedName>
    <definedName name="BO225E24431CA04AE8B4BFCCE1656DF672" localSheetId="7" hidden="1">#REF!</definedName>
    <definedName name="BO225E24431CA04AE8B4BFCCE1656DF672" hidden="1">#REF!</definedName>
    <definedName name="BO22652C2EAB304E769759E6F235DABA85" localSheetId="7" hidden="1">#REF!</definedName>
    <definedName name="BO22652C2EAB304E769759E6F235DABA85" hidden="1">#REF!</definedName>
    <definedName name="BO2268B63ECFBF451AB52185B93C34E391" localSheetId="7" hidden="1">#REF!</definedName>
    <definedName name="BO2268B63ECFBF451AB52185B93C34E391" hidden="1">#REF!</definedName>
    <definedName name="BO226E72BB23D1425AAB39D14A48648C40" localSheetId="7" hidden="1">#REF!</definedName>
    <definedName name="BO226E72BB23D1425AAB39D14A48648C40" hidden="1">#REF!</definedName>
    <definedName name="BO22750D29757A453FB95D93DB62C2E165" localSheetId="7" hidden="1">#REF!</definedName>
    <definedName name="BO22750D29757A453FB95D93DB62C2E165" hidden="1">#REF!</definedName>
    <definedName name="BO227AE8815C274C00BD55224A5558AC37" localSheetId="7" hidden="1">#REF!</definedName>
    <definedName name="BO227AE8815C274C00BD55224A5558AC37" hidden="1">#REF!</definedName>
    <definedName name="BO22C2ACD84C864AFE826C4D8953D68464" localSheetId="7" hidden="1">#REF!</definedName>
    <definedName name="BO22C2ACD84C864AFE826C4D8953D68464" hidden="1">#REF!</definedName>
    <definedName name="BO22C935310FA7476A9BBB0BAE08E8D055" localSheetId="7" hidden="1">#REF!</definedName>
    <definedName name="BO22C935310FA7476A9BBB0BAE08E8D055" hidden="1">#REF!</definedName>
    <definedName name="BO22D109B5F30C4AC8A3AA0757CA34D428" localSheetId="7" hidden="1">#REF!</definedName>
    <definedName name="BO22D109B5F30C4AC8A3AA0757CA34D428" hidden="1">#REF!</definedName>
    <definedName name="BO22F2F60A068641869533963F9E98E957" localSheetId="7" hidden="1">#REF!</definedName>
    <definedName name="BO22F2F60A068641869533963F9E98E957" hidden="1">#REF!</definedName>
    <definedName name="BO22FAC8FB5A324B40884FC959969B241A" localSheetId="7" hidden="1">#REF!</definedName>
    <definedName name="BO22FAC8FB5A324B40884FC959969B241A" hidden="1">#REF!</definedName>
    <definedName name="BO23223CE521154AE390FC929E976847A9" localSheetId="7" hidden="1">#REF!</definedName>
    <definedName name="BO23223CE521154AE390FC929E976847A9" hidden="1">#REF!</definedName>
    <definedName name="BO23303A57D08449DE86D9F75F616E8425" localSheetId="7" hidden="1">#REF!</definedName>
    <definedName name="BO23303A57D08449DE86D9F75F616E8425" hidden="1">#REF!</definedName>
    <definedName name="BO233102F3F0FE4137BC44697AFD7F9ECB" localSheetId="7" hidden="1">#REF!</definedName>
    <definedName name="BO233102F3F0FE4137BC44697AFD7F9ECB" hidden="1">#REF!</definedName>
    <definedName name="BO233FC913B2784BBFAF4CAF01E65159C4" localSheetId="7" hidden="1">#REF!</definedName>
    <definedName name="BO233FC913B2784BBFAF4CAF01E65159C4" hidden="1">#REF!</definedName>
    <definedName name="BO2347E2D13758469ABA05B6CB74BA3EEB" localSheetId="7" hidden="1">#REF!</definedName>
    <definedName name="BO2347E2D13758469ABA05B6CB74BA3EEB" hidden="1">#REF!</definedName>
    <definedName name="BO23641F00FE8A47BCB8EE34B301E88036" localSheetId="7" hidden="1">#REF!</definedName>
    <definedName name="BO23641F00FE8A47BCB8EE34B301E88036" hidden="1">#REF!</definedName>
    <definedName name="BO239BB33511B34BCB91A8700EE982200D" localSheetId="7" hidden="1">#REF!</definedName>
    <definedName name="BO239BB33511B34BCB91A8700EE982200D" hidden="1">#REF!</definedName>
    <definedName name="BO23A24873840D441A93FD1203F4BFF399" localSheetId="7" hidden="1">#REF!</definedName>
    <definedName name="BO23A24873840D441A93FD1203F4BFF399" hidden="1">#REF!</definedName>
    <definedName name="BO23A5ED0301C040EF9F6C5123D18B904A" localSheetId="7" hidden="1">#REF!</definedName>
    <definedName name="BO23A5ED0301C040EF9F6C5123D18B904A" hidden="1">#REF!</definedName>
    <definedName name="BO23AB375CDFD143C1A24E5E2E022AD671" localSheetId="7" hidden="1">#REF!</definedName>
    <definedName name="BO23AB375CDFD143C1A24E5E2E022AD671" hidden="1">#REF!</definedName>
    <definedName name="BO23BFEBF6838C44ACBCA09FD579B7E12E" localSheetId="7" hidden="1">#REF!</definedName>
    <definedName name="BO23BFEBF6838C44ACBCA09FD579B7E12E" hidden="1">#REF!</definedName>
    <definedName name="BO23D764DD936B4D1494D2B32090C611DB" localSheetId="7" hidden="1">#REF!</definedName>
    <definedName name="BO23D764DD936B4D1494D2B32090C611DB" hidden="1">#REF!</definedName>
    <definedName name="BO23EEFAF1E03A461B97E4D279668903D6" localSheetId="7" hidden="1">#REF!</definedName>
    <definedName name="BO23EEFAF1E03A461B97E4D279668903D6" hidden="1">#REF!</definedName>
    <definedName name="BO23EFB6F4E2FB41AA8D4BDD2CF93A5B88" localSheetId="7" hidden="1">#REF!</definedName>
    <definedName name="BO23EFB6F4E2FB41AA8D4BDD2CF93A5B88" hidden="1">#REF!</definedName>
    <definedName name="BO23F880D27BDD423E9D4CC21A2945DF2B" localSheetId="7" hidden="1">#REF!</definedName>
    <definedName name="BO23F880D27BDD423E9D4CC21A2945DF2B" hidden="1">#REF!</definedName>
    <definedName name="BO2403B78872AB40B198551EC5FD500F67" localSheetId="7" hidden="1">#REF!</definedName>
    <definedName name="BO2403B78872AB40B198551EC5FD500F67" hidden="1">#REF!</definedName>
    <definedName name="BO24273357F0AC42BFA0A8D59C72EFD0A3" localSheetId="7" hidden="1">#REF!</definedName>
    <definedName name="BO24273357F0AC42BFA0A8D59C72EFD0A3" hidden="1">#REF!</definedName>
    <definedName name="BO242F8C1E4C6F44C0A54CE25745F38D0D" localSheetId="7" hidden="1">#REF!</definedName>
    <definedName name="BO242F8C1E4C6F44C0A54CE25745F38D0D" hidden="1">#REF!</definedName>
    <definedName name="BO243114CE4E0642C186BB5B90BA91E7FE" localSheetId="7" hidden="1">#REF!</definedName>
    <definedName name="BO243114CE4E0642C186BB5B90BA91E7FE" hidden="1">#REF!</definedName>
    <definedName name="BO2443081653BE4ED4BFEA32E2B1C236B5" localSheetId="7" hidden="1">#REF!</definedName>
    <definedName name="BO2443081653BE4ED4BFEA32E2B1C236B5" hidden="1">#REF!</definedName>
    <definedName name="BO2449EB8E0D574B0FA3C819E9080DFE8B" localSheetId="7" hidden="1">#REF!</definedName>
    <definedName name="BO2449EB8E0D574B0FA3C819E9080DFE8B" hidden="1">#REF!</definedName>
    <definedName name="BO247B1BB9C9E544D4862523C4EB362991" localSheetId="7" hidden="1">#REF!</definedName>
    <definedName name="BO247B1BB9C9E544D4862523C4EB362991" hidden="1">#REF!</definedName>
    <definedName name="BO24970B4C475648C8B925FF15A510E28D" localSheetId="7" hidden="1">#REF!</definedName>
    <definedName name="BO24970B4C475648C8B925FF15A510E28D" hidden="1">#REF!</definedName>
    <definedName name="BO249767EDAECE4FC1AB0314D09C0AC693" localSheetId="7" hidden="1">#REF!</definedName>
    <definedName name="BO249767EDAECE4FC1AB0314D09C0AC693" hidden="1">#REF!</definedName>
    <definedName name="BO24AD9F1BE6884A158E044FB69F92C20D" localSheetId="7" hidden="1">#REF!</definedName>
    <definedName name="BO24AD9F1BE6884A158E044FB69F92C20D" hidden="1">#REF!</definedName>
    <definedName name="BO24C2F5D5712F4A7BA356286D0A9BD2FE" localSheetId="7" hidden="1">#REF!</definedName>
    <definedName name="BO24C2F5D5712F4A7BA356286D0A9BD2FE" hidden="1">#REF!</definedName>
    <definedName name="BO24C76B77475E47AC9A9B5841416820CE" localSheetId="7" hidden="1">#REF!</definedName>
    <definedName name="BO24C76B77475E47AC9A9B5841416820CE" hidden="1">#REF!</definedName>
    <definedName name="BO24D62ACCE12842728EC2F5F83E38CE61" localSheetId="7" hidden="1">#REF!</definedName>
    <definedName name="BO24D62ACCE12842728EC2F5F83E38CE61" hidden="1">#REF!</definedName>
    <definedName name="BO24DF908DB68944DFA4880B46E71474C9" localSheetId="7" hidden="1">#REF!</definedName>
    <definedName name="BO24DF908DB68944DFA4880B46E71474C9" hidden="1">#REF!</definedName>
    <definedName name="BO24FF79863E8344E487A6569B4E322A84" localSheetId="7" hidden="1">#REF!</definedName>
    <definedName name="BO24FF79863E8344E487A6569B4E322A84" hidden="1">#REF!</definedName>
    <definedName name="BO251F7CDA64F54371A83071701AA9040E" localSheetId="7" hidden="1">#REF!</definedName>
    <definedName name="BO251F7CDA64F54371A83071701AA9040E" hidden="1">#REF!</definedName>
    <definedName name="BO252DBF6BF61F4C62AA9E026024ED6576" localSheetId="7" hidden="1">#REF!</definedName>
    <definedName name="BO252DBF6BF61F4C62AA9E026024ED6576" hidden="1">#REF!</definedName>
    <definedName name="BO2542A83471D04E36882C37B65B16DE9E" localSheetId="7" hidden="1">#REF!</definedName>
    <definedName name="BO2542A83471D04E36882C37B65B16DE9E" hidden="1">#REF!</definedName>
    <definedName name="BO254C2279CB5E42A5B7D940A6130B1BC2" localSheetId="7" hidden="1">#REF!</definedName>
    <definedName name="BO254C2279CB5E42A5B7D940A6130B1BC2" hidden="1">#REF!</definedName>
    <definedName name="BO25541C6EF915468B87DF4DF01845DC11" localSheetId="7" hidden="1">#REF!</definedName>
    <definedName name="BO25541C6EF915468B87DF4DF01845DC11" hidden="1">#REF!</definedName>
    <definedName name="BO2565F57A01DA4BFEAD398D987E651E9D" localSheetId="7" hidden="1">#REF!</definedName>
    <definedName name="BO2565F57A01DA4BFEAD398D987E651E9D" hidden="1">#REF!</definedName>
    <definedName name="BO25685FF648384B02AECC71638BB96A7F" localSheetId="7" hidden="1">#REF!</definedName>
    <definedName name="BO25685FF648384B02AECC71638BB96A7F" hidden="1">#REF!</definedName>
    <definedName name="BO256A92FB64F54AFCAFC006ECDA7804DE" localSheetId="7" hidden="1">#REF!</definedName>
    <definedName name="BO256A92FB64F54AFCAFC006ECDA7804DE" hidden="1">#REF!</definedName>
    <definedName name="BO25BA4F8174FC49C49E2133EFB7EA8169" localSheetId="7" hidden="1">#REF!</definedName>
    <definedName name="BO25BA4F8174FC49C49E2133EFB7EA8169" hidden="1">#REF!</definedName>
    <definedName name="BO25BD3BA5CEE04B7082815380D3572484" localSheetId="7" hidden="1">#REF!</definedName>
    <definedName name="BO25BD3BA5CEE04B7082815380D3572484" hidden="1">#REF!</definedName>
    <definedName name="BO25C4064BC3F9455CAC1BA5221FFFE6D6" localSheetId="7" hidden="1">#REF!</definedName>
    <definedName name="BO25C4064BC3F9455CAC1BA5221FFFE6D6" hidden="1">#REF!</definedName>
    <definedName name="BO25D8564317654905B2F967765D2F167C" localSheetId="7" hidden="1">#REF!</definedName>
    <definedName name="BO25D8564317654905B2F967765D2F167C" hidden="1">#REF!</definedName>
    <definedName name="BO25F74ABAFE114F7D9A813364B26D4021" localSheetId="7" hidden="1">#REF!</definedName>
    <definedName name="BO25F74ABAFE114F7D9A813364B26D4021" hidden="1">#REF!</definedName>
    <definedName name="BO2606AED5780849C6A29956D9B6EF3BDA" localSheetId="7" hidden="1">#REF!</definedName>
    <definedName name="BO2606AED5780849C6A29956D9B6EF3BDA" hidden="1">#REF!</definedName>
    <definedName name="BO262761F4410244A6B2F3BDFE5DD20C73" localSheetId="7" hidden="1">#REF!</definedName>
    <definedName name="BO262761F4410244A6B2F3BDFE5DD20C73" hidden="1">#REF!</definedName>
    <definedName name="BO2633D1247A6347698F3B29835388A938" localSheetId="7" hidden="1">#REF!</definedName>
    <definedName name="BO2633D1247A6347698F3B29835388A938" hidden="1">#REF!</definedName>
    <definedName name="BO264823A4D6BF4DE7BA53F343F0901687" localSheetId="7" hidden="1">#REF!</definedName>
    <definedName name="BO264823A4D6BF4DE7BA53F343F0901687" hidden="1">#REF!</definedName>
    <definedName name="BO264DAD1F980C46309E5763050F2DC6FE" localSheetId="7" hidden="1">#REF!</definedName>
    <definedName name="BO264DAD1F980C46309E5763050F2DC6FE" hidden="1">#REF!</definedName>
    <definedName name="BO26560AE8037348C2A616344CF6C95094" localSheetId="7" hidden="1">#REF!</definedName>
    <definedName name="BO26560AE8037348C2A616344CF6C95094" hidden="1">#REF!</definedName>
    <definedName name="BO265FF98AE9594F6BA0757E9214B01CE2" localSheetId="7" hidden="1">#REF!</definedName>
    <definedName name="BO265FF98AE9594F6BA0757E9214B01CE2" hidden="1">#REF!</definedName>
    <definedName name="BO2662E582BF0D4A4C94B3C43D3C4A20F3" localSheetId="7" hidden="1">#REF!</definedName>
    <definedName name="BO2662E582BF0D4A4C94B3C43D3C4A20F3" hidden="1">#REF!</definedName>
    <definedName name="BO268607A24D1E4E06AF90FD33388324E1" localSheetId="7" hidden="1">#REF!</definedName>
    <definedName name="BO268607A24D1E4E06AF90FD33388324E1" hidden="1">#REF!</definedName>
    <definedName name="BO268F8BC0CE4443CB9BAAA1FCF5D6F146" localSheetId="7" hidden="1">#REF!</definedName>
    <definedName name="BO268F8BC0CE4443CB9BAAA1FCF5D6F146" hidden="1">#REF!</definedName>
    <definedName name="BO2690F440A6B74135B447DC3536600E3A" localSheetId="7" hidden="1">#REF!</definedName>
    <definedName name="BO2690F440A6B74135B447DC3536600E3A" hidden="1">#REF!</definedName>
    <definedName name="BO2694B4C4DC69464B824F087A76C151A4" localSheetId="7" hidden="1">#REF!</definedName>
    <definedName name="BO2694B4C4DC69464B824F087A76C151A4" hidden="1">#REF!</definedName>
    <definedName name="BO269A994949A64C26B8D2F38CD5755D89" localSheetId="7" hidden="1">#REF!</definedName>
    <definedName name="BO269A994949A64C26B8D2F38CD5755D89" hidden="1">#REF!</definedName>
    <definedName name="BO26F60563E8C24BFBA11E3E4366D9E1B3" localSheetId="7" hidden="1">#REF!</definedName>
    <definedName name="BO26F60563E8C24BFBA11E3E4366D9E1B3" hidden="1">#REF!</definedName>
    <definedName name="BO26F9F1FAE014419687273017B40C7ED3" localSheetId="7" hidden="1">#REF!</definedName>
    <definedName name="BO26F9F1FAE014419687273017B40C7ED3" hidden="1">#REF!</definedName>
    <definedName name="BO27056143A32D423FB9F65D0E68C34FBA" localSheetId="7" hidden="1">#REF!</definedName>
    <definedName name="BO27056143A32D423FB9F65D0E68C34FBA" hidden="1">#REF!</definedName>
    <definedName name="BO273668C34C264B41B1BD37AEB251E931" localSheetId="7" hidden="1">#REF!</definedName>
    <definedName name="BO273668C34C264B41B1BD37AEB251E931" hidden="1">#REF!</definedName>
    <definedName name="BO274843CB39BA41169932BD0C297E892B" localSheetId="7" hidden="1">#REF!</definedName>
    <definedName name="BO274843CB39BA41169932BD0C297E892B" hidden="1">#REF!</definedName>
    <definedName name="BO2766EA5A6700411A9F72A753D098DEAC" localSheetId="7" hidden="1">#REF!</definedName>
    <definedName name="BO2766EA5A6700411A9F72A753D098DEAC" hidden="1">#REF!</definedName>
    <definedName name="BO27E930A8E55145B2BAA5AE26B4E397A5" localSheetId="7" hidden="1">#REF!</definedName>
    <definedName name="BO27E930A8E55145B2BAA5AE26B4E397A5" hidden="1">#REF!</definedName>
    <definedName name="BO27F8CC4177BB4CBE9FF4461B1DB16014" localSheetId="7" hidden="1">#REF!</definedName>
    <definedName name="BO27F8CC4177BB4CBE9FF4461B1DB16014" hidden="1">#REF!</definedName>
    <definedName name="BO281D0023D884433299DB88BB06B7F3AC" localSheetId="7" hidden="1">#REF!</definedName>
    <definedName name="BO281D0023D884433299DB88BB06B7F3AC" hidden="1">#REF!</definedName>
    <definedName name="BO28310D1BD954448C982901240FF90158" localSheetId="7" hidden="1">#REF!</definedName>
    <definedName name="BO28310D1BD954448C982901240FF90158" hidden="1">#REF!</definedName>
    <definedName name="BO2854642FD89A4FEB94C150F9D1FBDCF0" localSheetId="7" hidden="1">#REF!</definedName>
    <definedName name="BO2854642FD89A4FEB94C150F9D1FBDCF0" hidden="1">#REF!</definedName>
    <definedName name="BO2864BCAAF4074D078E28CD7A843D4D36" localSheetId="7" hidden="1">#REF!</definedName>
    <definedName name="BO2864BCAAF4074D078E28CD7A843D4D36" hidden="1">#REF!</definedName>
    <definedName name="BO2872626C1E4C4643A61C0FC3530CD753" localSheetId="7" hidden="1">#REF!</definedName>
    <definedName name="BO2872626C1E4C4643A61C0FC3530CD753" hidden="1">#REF!</definedName>
    <definedName name="BO2882C94274E943A2B3BDD8EEC6D5C7A9" localSheetId="7" hidden="1">#REF!</definedName>
    <definedName name="BO2882C94274E943A2B3BDD8EEC6D5C7A9" hidden="1">#REF!</definedName>
    <definedName name="BO28893EFD8F3B49AAAF87181E82E452C8" localSheetId="7" hidden="1">#REF!</definedName>
    <definedName name="BO28893EFD8F3B49AAAF87181E82E452C8" hidden="1">#REF!</definedName>
    <definedName name="BO288A3372E7DA477097F0D653D2337CFF" localSheetId="7" hidden="1">#REF!</definedName>
    <definedName name="BO288A3372E7DA477097F0D653D2337CFF" hidden="1">#REF!</definedName>
    <definedName name="BO289E141716CA46BA826E6B83F5C63FD6" localSheetId="7" hidden="1">#REF!</definedName>
    <definedName name="BO289E141716CA46BA826E6B83F5C63FD6" hidden="1">#REF!</definedName>
    <definedName name="BO28BF7EB6AE734A59B52B3CFE7C50C166" localSheetId="7" hidden="1">#REF!</definedName>
    <definedName name="BO28BF7EB6AE734A59B52B3CFE7C50C166" hidden="1">#REF!</definedName>
    <definedName name="BO28CCBCD8C95C47E2A8E9CDF6085607C6" localSheetId="7" hidden="1">#REF!</definedName>
    <definedName name="BO28CCBCD8C95C47E2A8E9CDF6085607C6" hidden="1">#REF!</definedName>
    <definedName name="BO28CFEC0266D9432F8293B8215219B9CC" localSheetId="7" hidden="1">#REF!</definedName>
    <definedName name="BO28CFEC0266D9432F8293B8215219B9CC" hidden="1">#REF!</definedName>
    <definedName name="BO28D1280DCAA944B59757F2D2A7030B42" localSheetId="7" hidden="1">#REF!</definedName>
    <definedName name="BO28D1280DCAA944B59757F2D2A7030B42" hidden="1">#REF!</definedName>
    <definedName name="BO28EEBFC037F441F99374F795A3C6053A" localSheetId="7" hidden="1">#REF!</definedName>
    <definedName name="BO28EEBFC037F441F99374F795A3C6053A" hidden="1">#REF!</definedName>
    <definedName name="BO28F42DD448074CA18A7D5D0050CCE35D" localSheetId="7" hidden="1">#REF!</definedName>
    <definedName name="BO28F42DD448074CA18A7D5D0050CCE35D" hidden="1">#REF!</definedName>
    <definedName name="BO28F7060586984673817CB7C663C46C94" localSheetId="7" hidden="1">#REF!</definedName>
    <definedName name="BO28F7060586984673817CB7C663C46C94" hidden="1">#REF!</definedName>
    <definedName name="BO28FA414F611D49DF8A3DD5250361EC7F" localSheetId="7" hidden="1">#REF!</definedName>
    <definedName name="BO28FA414F611D49DF8A3DD5250361EC7F" hidden="1">#REF!</definedName>
    <definedName name="BO2916E93A08FE49AB9CF5864FDB99B308" localSheetId="7" hidden="1">#REF!</definedName>
    <definedName name="BO2916E93A08FE49AB9CF5864FDB99B308" hidden="1">#REF!</definedName>
    <definedName name="BO291E4F29EB4A413E97103B981CBEE41F" localSheetId="7" hidden="1">#REF!</definedName>
    <definedName name="BO291E4F29EB4A413E97103B981CBEE41F" hidden="1">#REF!</definedName>
    <definedName name="BO292B6F17709C414BA804FB17F8E60596" localSheetId="7" hidden="1">#REF!</definedName>
    <definedName name="BO292B6F17709C414BA804FB17F8E60596" hidden="1">#REF!</definedName>
    <definedName name="BO2942CD3853BF4782BF90521346020956" localSheetId="7" hidden="1">#REF!</definedName>
    <definedName name="BO2942CD3853BF4782BF90521346020956" hidden="1">#REF!</definedName>
    <definedName name="BO294DBDABA2FD481C8FDB2CE3A11E4CB7" localSheetId="7" hidden="1">#REF!</definedName>
    <definedName name="BO294DBDABA2FD481C8FDB2CE3A11E4CB7" hidden="1">#REF!</definedName>
    <definedName name="BO29608F36902F4DD7AD331DFB2021671D" localSheetId="7" hidden="1">#REF!</definedName>
    <definedName name="BO29608F36902F4DD7AD331DFB2021671D" hidden="1">#REF!</definedName>
    <definedName name="BO2972860F400640319835C2713E38023F" localSheetId="7" hidden="1">#REF!</definedName>
    <definedName name="BO2972860F400640319835C2713E38023F" hidden="1">#REF!</definedName>
    <definedName name="BO29744C43A33A421DAD7A019657790946" localSheetId="7" hidden="1">#REF!</definedName>
    <definedName name="BO29744C43A33A421DAD7A019657790946" hidden="1">#REF!</definedName>
    <definedName name="BO2993E4C5E5EC419E87C3A4AD48B299E1" localSheetId="7" hidden="1">#REF!</definedName>
    <definedName name="BO2993E4C5E5EC419E87C3A4AD48B299E1" hidden="1">#REF!</definedName>
    <definedName name="BO29BB3B4926DF488481063340E7DA4E97" localSheetId="7" hidden="1">#REF!</definedName>
    <definedName name="BO29BB3B4926DF488481063340E7DA4E97" hidden="1">#REF!</definedName>
    <definedName name="BO29C8FB0C849A437FBAE12EC7B4C29BC2" localSheetId="7" hidden="1">#REF!</definedName>
    <definedName name="BO29C8FB0C849A437FBAE12EC7B4C29BC2" hidden="1">#REF!</definedName>
    <definedName name="BO29D5BE5EA19A422E99B9ECEF59EC2EFA" localSheetId="7" hidden="1">#REF!</definedName>
    <definedName name="BO29D5BE5EA19A422E99B9ECEF59EC2EFA" hidden="1">#REF!</definedName>
    <definedName name="BO29E01E4F44FF4A5C9ADA7391B942091A" localSheetId="7" hidden="1">#REF!</definedName>
    <definedName name="BO29E01E4F44FF4A5C9ADA7391B942091A" hidden="1">#REF!</definedName>
    <definedName name="BO29F3B95D1BF345618E2614DEF32584B5" localSheetId="7" hidden="1">#REF!</definedName>
    <definedName name="BO29F3B95D1BF345618E2614DEF32584B5" hidden="1">#REF!</definedName>
    <definedName name="BO29FD458B79B64BB2BF0D6CF862A7491D" localSheetId="7" hidden="1">#REF!</definedName>
    <definedName name="BO29FD458B79B64BB2BF0D6CF862A7491D" hidden="1">#REF!</definedName>
    <definedName name="BO2A1F6E075C1445AAA0367A9B16249E87" localSheetId="7" hidden="1">#REF!</definedName>
    <definedName name="BO2A1F6E075C1445AAA0367A9B16249E87" hidden="1">#REF!</definedName>
    <definedName name="BO2A21F8ED8DA143AD97BA52C2A5989088" localSheetId="7" hidden="1">#REF!</definedName>
    <definedName name="BO2A21F8ED8DA143AD97BA52C2A5989088" hidden="1">#REF!</definedName>
    <definedName name="BO2A34BB66F2464486B928E6BA6CE0EEFB" localSheetId="7" hidden="1">#REF!</definedName>
    <definedName name="BO2A34BB66F2464486B928E6BA6CE0EEFB" hidden="1">#REF!</definedName>
    <definedName name="BO2A48B01DB38D410C86BF3CC27C31983E" localSheetId="7" hidden="1">#REF!</definedName>
    <definedName name="BO2A48B01DB38D410C86BF3CC27C31983E" hidden="1">#REF!</definedName>
    <definedName name="BO2A6D1BB116C34FBA9BFDC49546B4EF93" localSheetId="7" hidden="1">#REF!</definedName>
    <definedName name="BO2A6D1BB116C34FBA9BFDC49546B4EF93" hidden="1">#REF!</definedName>
    <definedName name="BO2A85A805701E48E7ABC20B410951B3CA" localSheetId="7" hidden="1">#REF!</definedName>
    <definedName name="BO2A85A805701E48E7ABC20B410951B3CA" hidden="1">#REF!</definedName>
    <definedName name="BO2A8C179B030B4170968D15A08C16757D" localSheetId="7" hidden="1">#REF!</definedName>
    <definedName name="BO2A8C179B030B4170968D15A08C16757D" hidden="1">#REF!</definedName>
    <definedName name="BO2AFB7A17C6B145FAB3F46F732A936465" localSheetId="7" hidden="1">#REF!</definedName>
    <definedName name="BO2AFB7A17C6B145FAB3F46F732A936465" hidden="1">#REF!</definedName>
    <definedName name="BO2B04BF21D6814D82AC69C518D1F12358" localSheetId="7" hidden="1">#REF!</definedName>
    <definedName name="BO2B04BF21D6814D82AC69C518D1F12358" hidden="1">#REF!</definedName>
    <definedName name="BO2B054D0C8C554A7B855FD1DD826DF1BD" localSheetId="7" hidden="1">#REF!</definedName>
    <definedName name="BO2B054D0C8C554A7B855FD1DD826DF1BD" hidden="1">#REF!</definedName>
    <definedName name="BO2B0C728E3BC34A99B7C0C2C535980DB3" localSheetId="7" hidden="1">#REF!</definedName>
    <definedName name="BO2B0C728E3BC34A99B7C0C2C535980DB3" hidden="1">#REF!</definedName>
    <definedName name="BO2B2F4C55DD0944DB825265E08146D89B" localSheetId="7" hidden="1">#REF!</definedName>
    <definedName name="BO2B2F4C55DD0944DB825265E08146D89B" hidden="1">#REF!</definedName>
    <definedName name="BO2B3834FF21444EAE825D0E81397BE73F" localSheetId="7" hidden="1">#REF!</definedName>
    <definedName name="BO2B3834FF21444EAE825D0E81397BE73F" hidden="1">#REF!</definedName>
    <definedName name="BO2B458D7085994B4598E06C90D86B0A4A" localSheetId="7" hidden="1">#REF!</definedName>
    <definedName name="BO2B458D7085994B4598E06C90D86B0A4A" hidden="1">#REF!</definedName>
    <definedName name="BO2B4B6EFBF0CA401EAFF122175B6D94DB" localSheetId="7" hidden="1">#REF!</definedName>
    <definedName name="BO2B4B6EFBF0CA401EAFF122175B6D94DB" hidden="1">#REF!</definedName>
    <definedName name="BO2B503A24804C43E19703B4D24C4BE402" localSheetId="7" hidden="1">#REF!</definedName>
    <definedName name="BO2B503A24804C43E19703B4D24C4BE402" hidden="1">#REF!</definedName>
    <definedName name="BO2B9E1220690241A39F5BEAA2F019C3B0" localSheetId="7" hidden="1">#REF!</definedName>
    <definedName name="BO2B9E1220690241A39F5BEAA2F019C3B0" hidden="1">#REF!</definedName>
    <definedName name="BO2BAAF7BC63D841F08300E14CB2BFC31A" localSheetId="7" hidden="1">#REF!</definedName>
    <definedName name="BO2BAAF7BC63D841F08300E14CB2BFC31A" hidden="1">#REF!</definedName>
    <definedName name="BO2BB0F7B1B0524DF8886D4B03F51C4F36" localSheetId="7" hidden="1">#REF!</definedName>
    <definedName name="BO2BB0F7B1B0524DF8886D4B03F51C4F36" hidden="1">#REF!</definedName>
    <definedName name="BO2BBA9C0F418A471681EF6F90C96EC3C4" localSheetId="7" hidden="1">#REF!</definedName>
    <definedName name="BO2BBA9C0F418A471681EF6F90C96EC3C4" hidden="1">#REF!</definedName>
    <definedName name="BO2BBB9A295C6F4A4C838562B8D29B75E1" localSheetId="7" hidden="1">#REF!</definedName>
    <definedName name="BO2BBB9A295C6F4A4C838562B8D29B75E1" hidden="1">#REF!</definedName>
    <definedName name="BO2BC37D8555EB444BBED0FF708E882C57" localSheetId="7" hidden="1">#REF!</definedName>
    <definedName name="BO2BC37D8555EB444BBED0FF708E882C57" hidden="1">#REF!</definedName>
    <definedName name="BO2BC619E8FDBE426592295B0C41585777" localSheetId="7" hidden="1">#REF!</definedName>
    <definedName name="BO2BC619E8FDBE426592295B0C41585777" hidden="1">#REF!</definedName>
    <definedName name="BO2BF6BC78CD1B4C62A90FFB4A592AA883" localSheetId="7" hidden="1">#REF!</definedName>
    <definedName name="BO2BF6BC78CD1B4C62A90FFB4A592AA883" hidden="1">#REF!</definedName>
    <definedName name="BO2BF72E4EAA41466DA9473C6F3A96FB11" localSheetId="7" hidden="1">#REF!</definedName>
    <definedName name="BO2BF72E4EAA41466DA9473C6F3A96FB11" hidden="1">#REF!</definedName>
    <definedName name="BO2BF8FDF94BE24068BD2FDA19C9414F71" localSheetId="7" hidden="1">#REF!</definedName>
    <definedName name="BO2BF8FDF94BE24068BD2FDA19C9414F71" hidden="1">#REF!</definedName>
    <definedName name="BO2BFFB94857A146B3AEFCF1624046AC18" localSheetId="7" hidden="1">#REF!</definedName>
    <definedName name="BO2BFFB94857A146B3AEFCF1624046AC18" hidden="1">#REF!</definedName>
    <definedName name="BO2C0B3E7391C24A09817AA5F618CE4074" localSheetId="7" hidden="1">#REF!</definedName>
    <definedName name="BO2C0B3E7391C24A09817AA5F618CE4074" hidden="1">#REF!</definedName>
    <definedName name="BO2C13931578704716837E59DD4774A497" localSheetId="7" hidden="1">#REF!</definedName>
    <definedName name="BO2C13931578704716837E59DD4774A497" hidden="1">#REF!</definedName>
    <definedName name="BO2C179798F34B4B3386C0860B33D92755" localSheetId="7" hidden="1">#REF!</definedName>
    <definedName name="BO2C179798F34B4B3386C0860B33D92755" hidden="1">#REF!</definedName>
    <definedName name="BO2C20EEE2443247A48223DD9C8976B693" localSheetId="7" hidden="1">#REF!</definedName>
    <definedName name="BO2C20EEE2443247A48223DD9C8976B693" hidden="1">#REF!</definedName>
    <definedName name="BO2C495ED813CC490587322BADFA0E2B3B" localSheetId="7" hidden="1">#REF!</definedName>
    <definedName name="BO2C495ED813CC490587322BADFA0E2B3B" hidden="1">#REF!</definedName>
    <definedName name="BO2C4E2906198E4FC9A62B19000DDACB47" localSheetId="7" hidden="1">#REF!</definedName>
    <definedName name="BO2C4E2906198E4FC9A62B19000DDACB47" hidden="1">#REF!</definedName>
    <definedName name="BO2C4F87F860F04AE2B23EF9C3B48E7447" localSheetId="7" hidden="1">#REF!</definedName>
    <definedName name="BO2C4F87F860F04AE2B23EF9C3B48E7447" hidden="1">#REF!</definedName>
    <definedName name="BO2C53CF6F0D6348ABADD0606EE3D88F57" localSheetId="7" hidden="1">#REF!</definedName>
    <definedName name="BO2C53CF6F0D6348ABADD0606EE3D88F57" hidden="1">#REF!</definedName>
    <definedName name="BO2C7A46B51A504740B321F6FDEDFF50DB" localSheetId="7" hidden="1">#REF!</definedName>
    <definedName name="BO2C7A46B51A504740B321F6FDEDFF50DB" hidden="1">#REF!</definedName>
    <definedName name="BO2CA503FB28C6478B8349CF3775B5AEC5" localSheetId="7" hidden="1">#REF!</definedName>
    <definedName name="BO2CA503FB28C6478B8349CF3775B5AEC5" hidden="1">#REF!</definedName>
    <definedName name="BO2CA654AC764341D5B110E8122F1330D4" localSheetId="7" hidden="1">#REF!</definedName>
    <definedName name="BO2CA654AC764341D5B110E8122F1330D4" hidden="1">#REF!</definedName>
    <definedName name="BO2CABB21258E14F71A59B2B70DE28CA89" localSheetId="7" hidden="1">#REF!</definedName>
    <definedName name="BO2CABB21258E14F71A59B2B70DE28CA89" hidden="1">#REF!</definedName>
    <definedName name="BO2CACE4E485F94F3A98E7105E2E4EA54A" localSheetId="7" hidden="1">#REF!</definedName>
    <definedName name="BO2CACE4E485F94F3A98E7105E2E4EA54A" hidden="1">#REF!</definedName>
    <definedName name="BO2CB0A8C455B24EFC8DFA9870FAF2FD71" localSheetId="7" hidden="1">#REF!</definedName>
    <definedName name="BO2CB0A8C455B24EFC8DFA9870FAF2FD71" hidden="1">#REF!</definedName>
    <definedName name="BO2CC0504EFFD646EE8743120AC866F8F0" localSheetId="7" hidden="1">#REF!</definedName>
    <definedName name="BO2CC0504EFFD646EE8743120AC866F8F0" hidden="1">#REF!</definedName>
    <definedName name="BO2CD505B99149478E938708B74AEA9C07" localSheetId="7" hidden="1">#REF!</definedName>
    <definedName name="BO2CD505B99149478E938708B74AEA9C07" hidden="1">#REF!</definedName>
    <definedName name="BO2CDAB7A7C77A4004A9FCDBD0A1FD715A" localSheetId="7" hidden="1">#REF!</definedName>
    <definedName name="BO2CDAB7A7C77A4004A9FCDBD0A1FD715A" hidden="1">#REF!</definedName>
    <definedName name="BO2CEBA9CA6FAA492EA1EE2269CE44AA7D" localSheetId="7" hidden="1">#REF!</definedName>
    <definedName name="BO2CEBA9CA6FAA492EA1EE2269CE44AA7D" hidden="1">#REF!</definedName>
    <definedName name="BO2D0DB2F7C1C34D36AEA2BA4A16C609BE" localSheetId="7" hidden="1">#REF!</definedName>
    <definedName name="BO2D0DB2F7C1C34D36AEA2BA4A16C609BE" hidden="1">#REF!</definedName>
    <definedName name="BO2D1D017BFE354D23AF322EFA93C00F4D" localSheetId="7" hidden="1">#REF!</definedName>
    <definedName name="BO2D1D017BFE354D23AF322EFA93C00F4D" hidden="1">#REF!</definedName>
    <definedName name="BO2D26C73C30AA44DE8CBF2F07175712F3" localSheetId="7" hidden="1">#REF!</definedName>
    <definedName name="BO2D26C73C30AA44DE8CBF2F07175712F3" hidden="1">#REF!</definedName>
    <definedName name="BO2D2C110653C4450EB1243E4A230298FB" localSheetId="7" hidden="1">#REF!</definedName>
    <definedName name="BO2D2C110653C4450EB1243E4A230298FB" hidden="1">#REF!</definedName>
    <definedName name="BO2D32E41B1F324266A4CD34EA6CAD74DF" localSheetId="7" hidden="1">#REF!</definedName>
    <definedName name="BO2D32E41B1F324266A4CD34EA6CAD74DF" hidden="1">#REF!</definedName>
    <definedName name="BO2D4912A9C51F43EA90F169690FD9F421" localSheetId="7" hidden="1">#REF!</definedName>
    <definedName name="BO2D4912A9C51F43EA90F169690FD9F421" hidden="1">#REF!</definedName>
    <definedName name="BO2D547B07E0D44C669D35BD0FA1A68955" localSheetId="7" hidden="1">#REF!</definedName>
    <definedName name="BO2D547B07E0D44C669D35BD0FA1A68955" hidden="1">#REF!</definedName>
    <definedName name="BO2D66DDFDE30D4263B76EE2F8AB8F8CAF" localSheetId="7" hidden="1">#REF!</definedName>
    <definedName name="BO2D66DDFDE30D4263B76EE2F8AB8F8CAF" hidden="1">#REF!</definedName>
    <definedName name="BO2D92AA1DD92043A8A9D2EFC4429AE97D" localSheetId="7" hidden="1">#REF!</definedName>
    <definedName name="BO2D92AA1DD92043A8A9D2EFC4429AE97D" hidden="1">#REF!</definedName>
    <definedName name="BO2DA8713EAC3A4A6F893FF1C89D34DD69" localSheetId="7" hidden="1">#REF!</definedName>
    <definedName name="BO2DA8713EAC3A4A6F893FF1C89D34DD69" hidden="1">#REF!</definedName>
    <definedName name="BO2DAB69086B5C46AA937C48F4D8E158EE" localSheetId="7" hidden="1">#REF!</definedName>
    <definedName name="BO2DAB69086B5C46AA937C48F4D8E158EE" hidden="1">#REF!</definedName>
    <definedName name="BO2DAC89D0F90B4202B146C46F9938777A" localSheetId="7" hidden="1">#REF!</definedName>
    <definedName name="BO2DAC89D0F90B4202B146C46F9938777A" hidden="1">#REF!</definedName>
    <definedName name="BO2DB0A6B6339240BB9A27E24B7CF475FE" localSheetId="7" hidden="1">#REF!</definedName>
    <definedName name="BO2DB0A6B6339240BB9A27E24B7CF475FE" hidden="1">#REF!</definedName>
    <definedName name="BO2DC74B8A35844686AC32122C2F8352D5" localSheetId="7" hidden="1">#REF!</definedName>
    <definedName name="BO2DC74B8A35844686AC32122C2F8352D5" hidden="1">#REF!</definedName>
    <definedName name="BO2DD7BB952376413A93BB3140DA0E6819" localSheetId="7" hidden="1">#REF!</definedName>
    <definedName name="BO2DD7BB952376413A93BB3140DA0E6819" hidden="1">#REF!</definedName>
    <definedName name="BO2DDB1FA6DC3A4478B0662F695D531F61" localSheetId="7" hidden="1">#REF!</definedName>
    <definedName name="BO2DDB1FA6DC3A4478B0662F695D531F61" hidden="1">#REF!</definedName>
    <definedName name="BO2E035AE990D9449A9E941600B27BECBC" localSheetId="7" hidden="1">#REF!</definedName>
    <definedName name="BO2E035AE990D9449A9E941600B27BECBC" hidden="1">#REF!</definedName>
    <definedName name="BO2E0A29ADEE254DDF96B9269759574CBB" localSheetId="7" hidden="1">#REF!</definedName>
    <definedName name="BO2E0A29ADEE254DDF96B9269759574CBB" hidden="1">#REF!</definedName>
    <definedName name="BO2E2E1F3714D84F348C3447D269FEE235" localSheetId="7" hidden="1">#REF!</definedName>
    <definedName name="BO2E2E1F3714D84F348C3447D269FEE235" hidden="1">#REF!</definedName>
    <definedName name="BO2E3B112B77ED47D9B83688E5038926EE" localSheetId="7" hidden="1">#REF!</definedName>
    <definedName name="BO2E3B112B77ED47D9B83688E5038926EE" hidden="1">#REF!</definedName>
    <definedName name="BO2E3DBD204C304329A07B9ED330C43BFE" localSheetId="7" hidden="1">#REF!</definedName>
    <definedName name="BO2E3DBD204C304329A07B9ED330C43BFE" hidden="1">#REF!</definedName>
    <definedName name="BO2E421D7BB20847609C02BECEFE5741C8" localSheetId="7" hidden="1">#REF!</definedName>
    <definedName name="BO2E421D7BB20847609C02BECEFE5741C8" hidden="1">#REF!</definedName>
    <definedName name="BO2E568EABD3D04E0CA41FDF0107EBC176" localSheetId="7" hidden="1">#REF!</definedName>
    <definedName name="BO2E568EABD3D04E0CA41FDF0107EBC176" hidden="1">#REF!</definedName>
    <definedName name="BO2E7232943FB04A3FA2594EFD975FB42A" localSheetId="7" hidden="1">#REF!</definedName>
    <definedName name="BO2E7232943FB04A3FA2594EFD975FB42A" hidden="1">#REF!</definedName>
    <definedName name="BO2E754CA19BE4446CA5EC87B4A6C2D893" localSheetId="7" hidden="1">#REF!</definedName>
    <definedName name="BO2E754CA19BE4446CA5EC87B4A6C2D893" hidden="1">#REF!</definedName>
    <definedName name="BO2E7CE278A5E24712BC2EBC58050E1D55" localSheetId="7" hidden="1">#REF!</definedName>
    <definedName name="BO2E7CE278A5E24712BC2EBC58050E1D55" hidden="1">#REF!</definedName>
    <definedName name="BO2E9CAC0A1D2C4BB0BE6FEF3731CC2D82" localSheetId="7" hidden="1">#REF!</definedName>
    <definedName name="BO2E9CAC0A1D2C4BB0BE6FEF3731CC2D82" hidden="1">#REF!</definedName>
    <definedName name="BO2EA31257383A42DAB917D7FE5974B2D3" localSheetId="7" hidden="1">#REF!</definedName>
    <definedName name="BO2EA31257383A42DAB917D7FE5974B2D3" hidden="1">#REF!</definedName>
    <definedName name="BO2EC7FEE96AA54195B022C404FD503D67" localSheetId="7" hidden="1">#REF!</definedName>
    <definedName name="BO2EC7FEE96AA54195B022C404FD503D67" hidden="1">#REF!</definedName>
    <definedName name="BO2ECDAC96409C4B2FBD56BD110AF51ABA" localSheetId="7" hidden="1">#REF!</definedName>
    <definedName name="BO2ECDAC96409C4B2FBD56BD110AF51ABA" hidden="1">#REF!</definedName>
    <definedName name="BO2F037176D2394AC590220ACE45701DEC" localSheetId="7" hidden="1">#REF!</definedName>
    <definedName name="BO2F037176D2394AC590220ACE45701DEC" hidden="1">#REF!</definedName>
    <definedName name="BO2F0BF32AE5BF42B4B2BFB482B39BDD5E" localSheetId="7" hidden="1">#REF!</definedName>
    <definedName name="BO2F0BF32AE5BF42B4B2BFB482B39BDD5E" hidden="1">#REF!</definedName>
    <definedName name="BO2F1A86B24F5F414EB96FAEBC336731CF" localSheetId="7" hidden="1">#REF!</definedName>
    <definedName name="BO2F1A86B24F5F414EB96FAEBC336731CF" hidden="1">#REF!</definedName>
    <definedName name="BO2F421BF37CAF43F2A76780F50675620C" localSheetId="7" hidden="1">#REF!</definedName>
    <definedName name="BO2F421BF37CAF43F2A76780F50675620C" hidden="1">#REF!</definedName>
    <definedName name="BO2F49B1DD78A044DCB1CF171DA2A9899F" localSheetId="7" hidden="1">#REF!</definedName>
    <definedName name="BO2F49B1DD78A044DCB1CF171DA2A9899F" hidden="1">#REF!</definedName>
    <definedName name="BO2F4B58FBBCE0434CB5D0C7DAE07DBA80" localSheetId="7" hidden="1">#REF!</definedName>
    <definedName name="BO2F4B58FBBCE0434CB5D0C7DAE07DBA80" hidden="1">#REF!</definedName>
    <definedName name="BO2F61F044FEED42F199D3ACDA6304F095" localSheetId="7" hidden="1">#REF!</definedName>
    <definedName name="BO2F61F044FEED42F199D3ACDA6304F095" hidden="1">#REF!</definedName>
    <definedName name="BO2F78D3A7B56D41988C20D3F435BA3E11" localSheetId="7" hidden="1">#REF!</definedName>
    <definedName name="BO2F78D3A7B56D41988C20D3F435BA3E11" hidden="1">#REF!</definedName>
    <definedName name="BO2F81C83975A44480BD2709697B93EB45" localSheetId="7" hidden="1">#REF!</definedName>
    <definedName name="BO2F81C83975A44480BD2709697B93EB45" hidden="1">#REF!</definedName>
    <definedName name="BO2F82F2A0B4AE4C13B5AF0D84047C55C3" localSheetId="7" hidden="1">#REF!</definedName>
    <definedName name="BO2F82F2A0B4AE4C13B5AF0D84047C55C3" hidden="1">#REF!</definedName>
    <definedName name="BO2F9BF50786834F8094D6EBB11A161512" localSheetId="7" hidden="1">#REF!</definedName>
    <definedName name="BO2F9BF50786834F8094D6EBB11A161512" hidden="1">#REF!</definedName>
    <definedName name="BO2FB40E14810146BB8EC614FBA44D7710" localSheetId="7" hidden="1">#REF!</definedName>
    <definedName name="BO2FB40E14810146BB8EC614FBA44D7710" hidden="1">#REF!</definedName>
    <definedName name="BO2FB92ABA91C94677B88934B7E609F607" localSheetId="7" hidden="1">#REF!</definedName>
    <definedName name="BO2FB92ABA91C94677B88934B7E609F607" hidden="1">#REF!</definedName>
    <definedName name="BO2FBC31496B7C4298AB0ABE7288BA52D3" localSheetId="7" hidden="1">#REF!</definedName>
    <definedName name="BO2FBC31496B7C4298AB0ABE7288BA52D3" hidden="1">#REF!</definedName>
    <definedName name="BO2FD384A8741F4F9EBA67E8B7DFA9A3C1" localSheetId="7" hidden="1">#REF!</definedName>
    <definedName name="BO2FD384A8741F4F9EBA67E8B7DFA9A3C1" hidden="1">#REF!</definedName>
    <definedName name="BO2FD569676F2645E8A2D9E83453D3FB52" localSheetId="7" hidden="1">#REF!</definedName>
    <definedName name="BO2FD569676F2645E8A2D9E83453D3FB52" hidden="1">#REF!</definedName>
    <definedName name="BO300FD5D6FFCA48EFB1ADC0BF048945AC" localSheetId="7" hidden="1">#REF!</definedName>
    <definedName name="BO300FD5D6FFCA48EFB1ADC0BF048945AC" hidden="1">#REF!</definedName>
    <definedName name="BO30185F9AC84D43DE80B822A7ABB01123" localSheetId="7" hidden="1">#REF!</definedName>
    <definedName name="BO30185F9AC84D43DE80B822A7ABB01123" hidden="1">#REF!</definedName>
    <definedName name="BO30233DB53B1E46B7B7F3C7E7234C137E" localSheetId="7" hidden="1">#REF!</definedName>
    <definedName name="BO30233DB53B1E46B7B7F3C7E7234C137E" hidden="1">#REF!</definedName>
    <definedName name="BO3054D0439A294296ABDE6A1C65D584EB" localSheetId="7" hidden="1">#REF!</definedName>
    <definedName name="BO3054D0439A294296ABDE6A1C65D584EB" hidden="1">#REF!</definedName>
    <definedName name="BO3081A06A38314F1FA1E05E5D3C20DBEB" localSheetId="7" hidden="1">#REF!</definedName>
    <definedName name="BO3081A06A38314F1FA1E05E5D3C20DBEB" hidden="1">#REF!</definedName>
    <definedName name="BO3095F0DA070146F78D759DE0D3CC44F9" localSheetId="7" hidden="1">#REF!</definedName>
    <definedName name="BO3095F0DA070146F78D759DE0D3CC44F9" hidden="1">#REF!</definedName>
    <definedName name="BO30A26C447E1D45559B88F6B469F42515" localSheetId="7" hidden="1">#REF!</definedName>
    <definedName name="BO30A26C447E1D45559B88F6B469F42515" hidden="1">#REF!</definedName>
    <definedName name="BO30A42F067DF544D8B72D62E3FA909FB1" localSheetId="7" hidden="1">#REF!</definedName>
    <definedName name="BO30A42F067DF544D8B72D62E3FA909FB1" hidden="1">#REF!</definedName>
    <definedName name="BO30B160EE024D4551ABCBA4C041A525F1" localSheetId="7" hidden="1">#REF!</definedName>
    <definedName name="BO30B160EE024D4551ABCBA4C041A525F1" hidden="1">#REF!</definedName>
    <definedName name="BO30B55F35B9D242CB94AA06B31620B6E2" localSheetId="7" hidden="1">#REF!</definedName>
    <definedName name="BO30B55F35B9D242CB94AA06B31620B6E2" hidden="1">#REF!</definedName>
    <definedName name="BO30C7ADBFA3B544E78E25F3EEC9BB22F1" localSheetId="7" hidden="1">#REF!</definedName>
    <definedName name="BO30C7ADBFA3B544E78E25F3EEC9BB22F1" hidden="1">#REF!</definedName>
    <definedName name="BO30D8BAE6A9E74BB79DFB5C64ED415644" localSheetId="7" hidden="1">#REF!</definedName>
    <definedName name="BO30D8BAE6A9E74BB79DFB5C64ED415644" hidden="1">#REF!</definedName>
    <definedName name="BO30FA52A9857C49F89067D8F5273B5C64" localSheetId="7" hidden="1">#REF!</definedName>
    <definedName name="BO30FA52A9857C49F89067D8F5273B5C64" hidden="1">#REF!</definedName>
    <definedName name="BO30FCF5F384A64CE298B5D5D3A8543DB7" localSheetId="7" hidden="1">#REF!</definedName>
    <definedName name="BO30FCF5F384A64CE298B5D5D3A8543DB7" hidden="1">#REF!</definedName>
    <definedName name="BO311880A0E2DD4C748C2576617C1B6D76" localSheetId="7" hidden="1">#REF!</definedName>
    <definedName name="BO311880A0E2DD4C748C2576617C1B6D76" hidden="1">#REF!</definedName>
    <definedName name="BO311B52D6980642DF901F3BBC65576F17" localSheetId="7" hidden="1">#REF!</definedName>
    <definedName name="BO311B52D6980642DF901F3BBC65576F17" hidden="1">#REF!</definedName>
    <definedName name="BO312658E438AB4A0E879B115A9C9EE425" localSheetId="7" hidden="1">#REF!</definedName>
    <definedName name="BO312658E438AB4A0E879B115A9C9EE425" hidden="1">#REF!</definedName>
    <definedName name="BO312B2B5821B443EF8DA91B61A634B7ED" localSheetId="7" hidden="1">#REF!</definedName>
    <definedName name="BO312B2B5821B443EF8DA91B61A634B7ED" hidden="1">#REF!</definedName>
    <definedName name="BO312F9DF5F0C1423BBCCFAE211CAF3D4A" localSheetId="7" hidden="1">#REF!</definedName>
    <definedName name="BO312F9DF5F0C1423BBCCFAE211CAF3D4A" hidden="1">#REF!</definedName>
    <definedName name="BO313BBD3C2CD544F5A8B28EBE67EE130F" localSheetId="7" hidden="1">#REF!</definedName>
    <definedName name="BO313BBD3C2CD544F5A8B28EBE67EE130F" hidden="1">#REF!</definedName>
    <definedName name="BO313C73E0C21E45D3B3357E09E4A18461" localSheetId="7" hidden="1">#REF!</definedName>
    <definedName name="BO313C73E0C21E45D3B3357E09E4A18461" hidden="1">#REF!</definedName>
    <definedName name="BO316014EFEA8649B8AF612073EDA87E0A" localSheetId="7" hidden="1">#REF!</definedName>
    <definedName name="BO316014EFEA8649B8AF612073EDA87E0A" hidden="1">#REF!</definedName>
    <definedName name="BO31B49706D3B64B059D84EFF45A17DE28" localSheetId="7" hidden="1">#REF!</definedName>
    <definedName name="BO31B49706D3B64B059D84EFF45A17DE28" hidden="1">#REF!</definedName>
    <definedName name="BO31C7C2FC8BFA4D51BCF6B005E971CB8B" localSheetId="7" hidden="1">#REF!</definedName>
    <definedName name="BO31C7C2FC8BFA4D51BCF6B005E971CB8B" hidden="1">#REF!</definedName>
    <definedName name="BO31DD6947B3BC4F209416BE867EC4EF95" localSheetId="7" hidden="1">#REF!</definedName>
    <definedName name="BO31DD6947B3BC4F209416BE867EC4EF95" hidden="1">#REF!</definedName>
    <definedName name="BO31E382AC91A14821A05F0DB526B99F5A" localSheetId="7" hidden="1">#REF!</definedName>
    <definedName name="BO31E382AC91A14821A05F0DB526B99F5A" hidden="1">#REF!</definedName>
    <definedName name="BO322643AFE7034D16BB8C7B8299D6ED80" localSheetId="7" hidden="1">#REF!</definedName>
    <definedName name="BO322643AFE7034D16BB8C7B8299D6ED80" hidden="1">#REF!</definedName>
    <definedName name="BO32337E1F6D704DE2AC6A3D919B4662F4" localSheetId="7" hidden="1">#REF!</definedName>
    <definedName name="BO32337E1F6D704DE2AC6A3D919B4662F4" hidden="1">#REF!</definedName>
    <definedName name="BO3252B99F46A74FE49199C05E6571951F" localSheetId="7" hidden="1">#REF!</definedName>
    <definedName name="BO3252B99F46A74FE49199C05E6571951F" hidden="1">#REF!</definedName>
    <definedName name="BO3270746FCAFB40F199777D0EBCF31A7F" localSheetId="7" hidden="1">#REF!</definedName>
    <definedName name="BO3270746FCAFB40F199777D0EBCF31A7F" hidden="1">#REF!</definedName>
    <definedName name="BO3271B44BF75C46EF81910D274E5F49BC" localSheetId="7" hidden="1">#REF!</definedName>
    <definedName name="BO3271B44BF75C46EF81910D274E5F49BC" hidden="1">#REF!</definedName>
    <definedName name="BO3277587ABC1A418AA542AE20670E6D38" localSheetId="7" hidden="1">#REF!</definedName>
    <definedName name="BO3277587ABC1A418AA542AE20670E6D38" hidden="1">#REF!</definedName>
    <definedName name="BO32865999B08C43EF9777FE7C4FA9732B" localSheetId="7" hidden="1">#REF!</definedName>
    <definedName name="BO32865999B08C43EF9777FE7C4FA9732B" hidden="1">#REF!</definedName>
    <definedName name="BO32AA07E87547452EBE8E92013D33CFF9" localSheetId="7" hidden="1">#REF!</definedName>
    <definedName name="BO32AA07E87547452EBE8E92013D33CFF9" hidden="1">#REF!</definedName>
    <definedName name="BO32D627FCF60E45E49AE864E6B609EEB4" localSheetId="7" hidden="1">#REF!</definedName>
    <definedName name="BO32D627FCF60E45E49AE864E6B609EEB4" hidden="1">#REF!</definedName>
    <definedName name="BO32D88104B13C4CF9B000E12862A0908F" localSheetId="7" hidden="1">#REF!</definedName>
    <definedName name="BO32D88104B13C4CF9B000E12862A0908F" hidden="1">#REF!</definedName>
    <definedName name="BO32D94B7CD2F84145A239A11319474D12" localSheetId="7" hidden="1">#REF!</definedName>
    <definedName name="BO32D94B7CD2F84145A239A11319474D12" hidden="1">#REF!</definedName>
    <definedName name="BO32E001F7586347F9A3A021166A4150AB" localSheetId="7" hidden="1">#REF!</definedName>
    <definedName name="BO32E001F7586347F9A3A021166A4150AB" hidden="1">#REF!</definedName>
    <definedName name="BO32F2463A3F7A4ADBBDD4D6FFE2E0087F" localSheetId="7" hidden="1">#REF!</definedName>
    <definedName name="BO32F2463A3F7A4ADBBDD4D6FFE2E0087F" hidden="1">#REF!</definedName>
    <definedName name="BO3309C212B3E74AE1AA1AD00D0AB0CA09" localSheetId="7" hidden="1">#REF!</definedName>
    <definedName name="BO3309C212B3E74AE1AA1AD00D0AB0CA09" hidden="1">#REF!</definedName>
    <definedName name="BO330DE91E9943449CB0845D4E52F4E836" localSheetId="7" hidden="1">#REF!</definedName>
    <definedName name="BO330DE91E9943449CB0845D4E52F4E836" hidden="1">#REF!</definedName>
    <definedName name="BO331BD5D53DB6404AA011675754B77D53" localSheetId="7" hidden="1">#REF!</definedName>
    <definedName name="BO331BD5D53DB6404AA011675754B77D53" hidden="1">#REF!</definedName>
    <definedName name="BO3326194210C74C0BB15640FF49A1A3BE" localSheetId="7" hidden="1">#REF!</definedName>
    <definedName name="BO3326194210C74C0BB15640FF49A1A3BE" hidden="1">#REF!</definedName>
    <definedName name="BO332697C266E04013A9128A0AAC6B9BCA" localSheetId="7" hidden="1">#REF!</definedName>
    <definedName name="BO332697C266E04013A9128A0AAC6B9BCA" hidden="1">#REF!</definedName>
    <definedName name="BO33349C8F77A24974A9E6AFA729E63DF0" localSheetId="7" hidden="1">#REF!</definedName>
    <definedName name="BO33349C8F77A24974A9E6AFA729E63DF0" hidden="1">#REF!</definedName>
    <definedName name="BO33360A6EDC8B4D978508616307C18E61" localSheetId="7" hidden="1">#REF!</definedName>
    <definedName name="BO33360A6EDC8B4D978508616307C18E61" hidden="1">#REF!</definedName>
    <definedName name="BO3347B379E802443DAB4559A2FE637400" localSheetId="7" hidden="1">#REF!</definedName>
    <definedName name="BO3347B379E802443DAB4559A2FE637400" hidden="1">#REF!</definedName>
    <definedName name="BO334EB16DC0DE4A1AA42C74D53C6C30A9" localSheetId="7" hidden="1">#REF!</definedName>
    <definedName name="BO334EB16DC0DE4A1AA42C74D53C6C30A9" hidden="1">#REF!</definedName>
    <definedName name="BO336E2D94DD3F4303BCAFDC302771F53D" localSheetId="7" hidden="1">#REF!</definedName>
    <definedName name="BO336E2D94DD3F4303BCAFDC302771F53D" hidden="1">#REF!</definedName>
    <definedName name="BO338C66AD299F494CB94DD074CCA39329" localSheetId="7" hidden="1">#REF!</definedName>
    <definedName name="BO338C66AD299F494CB94DD074CCA39329" hidden="1">#REF!</definedName>
    <definedName name="BO339FBC427C1241658D4715257E1AD895" localSheetId="7" hidden="1">#REF!</definedName>
    <definedName name="BO339FBC427C1241658D4715257E1AD895" hidden="1">#REF!</definedName>
    <definedName name="BO33A387D1F92148D9B55BAF51A03F42C1" localSheetId="7" hidden="1">#REF!</definedName>
    <definedName name="BO33A387D1F92148D9B55BAF51A03F42C1" hidden="1">#REF!</definedName>
    <definedName name="BO33A44AC9FFC1483BA72B7784AD487E18" localSheetId="7" hidden="1">#REF!</definedName>
    <definedName name="BO33A44AC9FFC1483BA72B7784AD487E18" hidden="1">#REF!</definedName>
    <definedName name="BO33B12BBCEA95415CA84417F8FD86962A" localSheetId="7" hidden="1">#REF!</definedName>
    <definedName name="BO33B12BBCEA95415CA84417F8FD86962A" hidden="1">#REF!</definedName>
    <definedName name="BO33BCB8910C03436699E9BF4214316ECA" localSheetId="7" hidden="1">#REF!</definedName>
    <definedName name="BO33BCB8910C03436699E9BF4214316ECA" hidden="1">#REF!</definedName>
    <definedName name="BO33BD5C016EA7410CB0E67A1DF064BF79" localSheetId="7" hidden="1">#REF!</definedName>
    <definedName name="BO33BD5C016EA7410CB0E67A1DF064BF79" hidden="1">#REF!</definedName>
    <definedName name="BO33C141161B09435BA2046013E0C183F3" localSheetId="7" hidden="1">#REF!</definedName>
    <definedName name="BO33C141161B09435BA2046013E0C183F3" hidden="1">#REF!</definedName>
    <definedName name="BO33C59048CB154C439FEF408E51750BF7" localSheetId="7" hidden="1">#REF!</definedName>
    <definedName name="BO33C59048CB154C439FEF408E51750BF7" hidden="1">#REF!</definedName>
    <definedName name="BO33D417D3C35242A0AC63AD652AF28502" localSheetId="7" hidden="1">#REF!</definedName>
    <definedName name="BO33D417D3C35242A0AC63AD652AF28502" hidden="1">#REF!</definedName>
    <definedName name="BO33F6BC4191AE47BDB89C8DDE18CA2471" localSheetId="7" hidden="1">#REF!</definedName>
    <definedName name="BO33F6BC4191AE47BDB89C8DDE18CA2471" hidden="1">#REF!</definedName>
    <definedName name="BO3400BF86DB574F8CA5A1939A67383BEE" localSheetId="7" hidden="1">#REF!</definedName>
    <definedName name="BO3400BF86DB574F8CA5A1939A67383BEE" hidden="1">#REF!</definedName>
    <definedName name="BO34011CE397974C02B77047F72DBEC69D" localSheetId="7" hidden="1">#REF!</definedName>
    <definedName name="BO34011CE397974C02B77047F72DBEC69D" hidden="1">#REF!</definedName>
    <definedName name="BO34027D7552054F76B0BE7D4E71464699" localSheetId="7" hidden="1">#REF!</definedName>
    <definedName name="BO34027D7552054F76B0BE7D4E71464699" hidden="1">#REF!</definedName>
    <definedName name="BO340AD4380D744B5996DDB5176EA7B7B2" localSheetId="7" hidden="1">#REF!</definedName>
    <definedName name="BO340AD4380D744B5996DDB5176EA7B7B2" hidden="1">#REF!</definedName>
    <definedName name="BO34108477FFE64CD8A0CD5FD38A6E04C4" localSheetId="7" hidden="1">#REF!</definedName>
    <definedName name="BO34108477FFE64CD8A0CD5FD38A6E04C4" hidden="1">#REF!</definedName>
    <definedName name="BO34154721996C41C4BC8244C82C269B96" localSheetId="7" hidden="1">#REF!</definedName>
    <definedName name="BO34154721996C41C4BC8244C82C269B96" hidden="1">#REF!</definedName>
    <definedName name="BO342481E0779F40D498CB20A771D8157B" localSheetId="7" hidden="1">#REF!</definedName>
    <definedName name="BO342481E0779F40D498CB20A771D8157B" hidden="1">#REF!</definedName>
    <definedName name="BO34551C3EAF274D4D8F1F27A0ACBB56FF" localSheetId="7" hidden="1">#REF!</definedName>
    <definedName name="BO34551C3EAF274D4D8F1F27A0ACBB56FF" hidden="1">#REF!</definedName>
    <definedName name="BO34666FC4565B413E908EF64E2F41ED75" localSheetId="7" hidden="1">#REF!</definedName>
    <definedName name="BO34666FC4565B413E908EF64E2F41ED75" hidden="1">#REF!</definedName>
    <definedName name="BO34734CFA32F046C6905AD816D0FAF302" localSheetId="7" hidden="1">#REF!</definedName>
    <definedName name="BO34734CFA32F046C6905AD816D0FAF302" hidden="1">#REF!</definedName>
    <definedName name="BO34824EAB4E1C4231B0B3036D114E3133" localSheetId="7" hidden="1">#REF!</definedName>
    <definedName name="BO34824EAB4E1C4231B0B3036D114E3133" hidden="1">#REF!</definedName>
    <definedName name="BO3490D6403EF94E64A2C5C01359897AB3" localSheetId="7" hidden="1">#REF!</definedName>
    <definedName name="BO3490D6403EF94E64A2C5C01359897AB3" hidden="1">#REF!</definedName>
    <definedName name="BO34B2CC1C3DDF412F8AD299202C8CAC8F" localSheetId="7" hidden="1">#REF!</definedName>
    <definedName name="BO34B2CC1C3DDF412F8AD299202C8CAC8F" hidden="1">#REF!</definedName>
    <definedName name="BO34B645480AA649128B0957BD3B3E8BF7" localSheetId="7" hidden="1">#REF!</definedName>
    <definedName name="BO34B645480AA649128B0957BD3B3E8BF7" hidden="1">#REF!</definedName>
    <definedName name="BO34B67857D1B64551BF9BDACA5CB4546F" localSheetId="7" hidden="1">#REF!</definedName>
    <definedName name="BO34B67857D1B64551BF9BDACA5CB4546F" hidden="1">#REF!</definedName>
    <definedName name="BO34CB8A38DB2B484DA67A3A744587287C" localSheetId="7" hidden="1">#REF!</definedName>
    <definedName name="BO34CB8A38DB2B484DA67A3A744587287C" hidden="1">#REF!</definedName>
    <definedName name="BO34EADA356E784BE58F1ADA76CF077F23" localSheetId="7" hidden="1">#REF!</definedName>
    <definedName name="BO34EADA356E784BE58F1ADA76CF077F23" hidden="1">#REF!</definedName>
    <definedName name="BO34F25EE6844843AB899A6F23A3D663CA" localSheetId="7" hidden="1">#REF!</definedName>
    <definedName name="BO34F25EE6844843AB899A6F23A3D663CA" hidden="1">#REF!</definedName>
    <definedName name="BO34F2A3A97BBB4B97ACD456B9FC1B13B5" localSheetId="7" hidden="1">#REF!</definedName>
    <definedName name="BO34F2A3A97BBB4B97ACD456B9FC1B13B5" hidden="1">#REF!</definedName>
    <definedName name="BO3515EA81F96E4BB18F657CC47D5AE154" localSheetId="7" hidden="1">#REF!</definedName>
    <definedName name="BO3515EA81F96E4BB18F657CC47D5AE154" hidden="1">#REF!</definedName>
    <definedName name="BO35270D39BD6345B19934C2675DAF3198" localSheetId="7" hidden="1">#REF!</definedName>
    <definedName name="BO35270D39BD6345B19934C2675DAF3198" hidden="1">#REF!</definedName>
    <definedName name="BO352CB36DDC9C4652909E32B825233443" localSheetId="7" hidden="1">#REF!</definedName>
    <definedName name="BO352CB36DDC9C4652909E32B825233443" hidden="1">#REF!</definedName>
    <definedName name="BO3532CFF36C86419BAF82ADB85EC6921D" localSheetId="7" hidden="1">#REF!</definedName>
    <definedName name="BO3532CFF36C86419BAF82ADB85EC6921D" hidden="1">#REF!</definedName>
    <definedName name="BO35494B271EA34D50B442F6C4E8195E8A" localSheetId="7" hidden="1">#REF!</definedName>
    <definedName name="BO35494B271EA34D50B442F6C4E8195E8A" hidden="1">#REF!</definedName>
    <definedName name="BO355536D7A966494E9D05AAE9DCFF0558" localSheetId="7" hidden="1">#REF!</definedName>
    <definedName name="BO355536D7A966494E9D05AAE9DCFF0558" hidden="1">#REF!</definedName>
    <definedName name="BO355C19BB008745B6BC94348BD9EC1C6F" localSheetId="7" hidden="1">#REF!</definedName>
    <definedName name="BO355C19BB008745B6BC94348BD9EC1C6F" hidden="1">#REF!</definedName>
    <definedName name="BO35710D5F365A425FAD97CE39E77DCD8B" localSheetId="7" hidden="1">#REF!</definedName>
    <definedName name="BO35710D5F365A425FAD97CE39E77DCD8B" hidden="1">#REF!</definedName>
    <definedName name="BO358C6031DAD34584A887E2D2CB257251" localSheetId="7" hidden="1">#REF!</definedName>
    <definedName name="BO358C6031DAD34584A887E2D2CB257251" hidden="1">#REF!</definedName>
    <definedName name="BO359491A0EBC741A9B64C3609285CB1B0" localSheetId="7" hidden="1">#REF!</definedName>
    <definedName name="BO359491A0EBC741A9B64C3609285CB1B0" hidden="1">#REF!</definedName>
    <definedName name="BO359A693E612945F4B855F683AE9DC6A4" localSheetId="7" hidden="1">#REF!</definedName>
    <definedName name="BO359A693E612945F4B855F683AE9DC6A4" hidden="1">#REF!</definedName>
    <definedName name="BO35AC21E3D92340AAAB8893156C49A5C6" localSheetId="7" hidden="1">#REF!</definedName>
    <definedName name="BO35AC21E3D92340AAAB8893156C49A5C6" hidden="1">#REF!</definedName>
    <definedName name="BO35E5B61442C841A98A8E7AC88E65D7BD" localSheetId="7" hidden="1">#REF!</definedName>
    <definedName name="BO35E5B61442C841A98A8E7AC88E65D7BD" hidden="1">#REF!</definedName>
    <definedName name="BO3602421C36CB4C9B92775ACC14259937" localSheetId="7" hidden="1">#REF!</definedName>
    <definedName name="BO3602421C36CB4C9B92775ACC14259937" hidden="1">#REF!</definedName>
    <definedName name="BO3607C573B43B429096398B5DCA3B515C" localSheetId="7" hidden="1">#REF!</definedName>
    <definedName name="BO3607C573B43B429096398B5DCA3B515C" hidden="1">#REF!</definedName>
    <definedName name="BO360BDE3D6EA74A239BF7446EB70E4190" localSheetId="7" hidden="1">#REF!</definedName>
    <definedName name="BO360BDE3D6EA74A239BF7446EB70E4190" hidden="1">#REF!</definedName>
    <definedName name="BO361B2450EE414D168383DD8533FCB8FC" localSheetId="7" hidden="1">#REF!</definedName>
    <definedName name="BO361B2450EE414D168383DD8533FCB8FC" hidden="1">#REF!</definedName>
    <definedName name="BO362CFF132DB4418CA409CEB9CF2EE0B3" localSheetId="7" hidden="1">#REF!</definedName>
    <definedName name="BO362CFF132DB4418CA409CEB9CF2EE0B3" hidden="1">#REF!</definedName>
    <definedName name="BO363DAB9080334D5B95DFA59E783C6D28" localSheetId="7" hidden="1">#REF!</definedName>
    <definedName name="BO363DAB9080334D5B95DFA59E783C6D28" hidden="1">#REF!</definedName>
    <definedName name="BO364701194C72498E896714D838C68F3E" localSheetId="7" hidden="1">#REF!</definedName>
    <definedName name="BO364701194C72498E896714D838C68F3E" hidden="1">#REF!</definedName>
    <definedName name="BO364FB8B7CB1345C8AED5D8ECAB63A427" localSheetId="7" hidden="1">#REF!</definedName>
    <definedName name="BO364FB8B7CB1345C8AED5D8ECAB63A427" hidden="1">#REF!</definedName>
    <definedName name="BO36611B48EEE64F6F887FE6A912EE061E" localSheetId="7" hidden="1">#REF!</definedName>
    <definedName name="BO36611B48EEE64F6F887FE6A912EE061E" hidden="1">#REF!</definedName>
    <definedName name="BO366EF562E9814DBDA8B5493919624D10" localSheetId="7" hidden="1">#REF!</definedName>
    <definedName name="BO366EF562E9814DBDA8B5493919624D10" hidden="1">#REF!</definedName>
    <definedName name="BO3686729398C64D0E86C9A99F20BFF2D2" localSheetId="7" hidden="1">#REF!</definedName>
    <definedName name="BO3686729398C64D0E86C9A99F20BFF2D2" hidden="1">#REF!</definedName>
    <definedName name="BO36CAFAE3AC8C4BD3980B41A040EAD112" localSheetId="7" hidden="1">#REF!</definedName>
    <definedName name="BO36CAFAE3AC8C4BD3980B41A040EAD112" hidden="1">#REF!</definedName>
    <definedName name="BO36DDDE0A296C4E1CB20B9FC24E0DA291" localSheetId="7" hidden="1">#REF!</definedName>
    <definedName name="BO36DDDE0A296C4E1CB20B9FC24E0DA291" hidden="1">#REF!</definedName>
    <definedName name="BO36E727471E714B0D8AE0C77403D26341" localSheetId="7" hidden="1">#REF!</definedName>
    <definedName name="BO36E727471E714B0D8AE0C77403D26341" hidden="1">#REF!</definedName>
    <definedName name="BO36E8031B42804363A3C46E8FD2EF290A" localSheetId="7" hidden="1">#REF!</definedName>
    <definedName name="BO36E8031B42804363A3C46E8FD2EF290A" hidden="1">#REF!</definedName>
    <definedName name="BO36F8E79024FD46A29943CB968DB1A9EC" localSheetId="7" hidden="1">#REF!</definedName>
    <definedName name="BO36F8E79024FD46A29943CB968DB1A9EC" hidden="1">#REF!</definedName>
    <definedName name="BO371A49EAD06644ADBF3AE30D67892CB9" localSheetId="7" hidden="1">#REF!</definedName>
    <definedName name="BO371A49EAD06644ADBF3AE30D67892CB9" hidden="1">#REF!</definedName>
    <definedName name="BO3723B5A92E5B4B99928C0CB88D0FD8A4" localSheetId="7" hidden="1">#REF!</definedName>
    <definedName name="BO3723B5A92E5B4B99928C0CB88D0FD8A4" hidden="1">#REF!</definedName>
    <definedName name="BO373467F9BF994FCEBA48581AA591B2CF" localSheetId="7" hidden="1">#REF!</definedName>
    <definedName name="BO373467F9BF994FCEBA48581AA591B2CF" hidden="1">#REF!</definedName>
    <definedName name="BO374DA4AA0A4642C6A87FB3E70FF87ACB" localSheetId="7" hidden="1">#REF!</definedName>
    <definedName name="BO374DA4AA0A4642C6A87FB3E70FF87ACB" hidden="1">#REF!</definedName>
    <definedName name="BO377019BD15D1475CB10351572819EC09" localSheetId="7" hidden="1">#REF!</definedName>
    <definedName name="BO377019BD15D1475CB10351572819EC09" hidden="1">#REF!</definedName>
    <definedName name="BO3780B9AC9B714EA3A60A2FEE764A8F89" localSheetId="7" hidden="1">#REF!</definedName>
    <definedName name="BO3780B9AC9B714EA3A60A2FEE764A8F89" hidden="1">#REF!</definedName>
    <definedName name="BO37A9ADC8092B4A82A1EA76F16FC57150" localSheetId="7" hidden="1">#REF!</definedName>
    <definedName name="BO37A9ADC8092B4A82A1EA76F16FC57150" hidden="1">#REF!</definedName>
    <definedName name="BO37B8811FE29C4747B7E3E11A79C09C90" localSheetId="7" hidden="1">#REF!</definedName>
    <definedName name="BO37B8811FE29C4747B7E3E11A79C09C90" hidden="1">#REF!</definedName>
    <definedName name="BO37BD42AB09AD441783F71B82C6731BD4" localSheetId="7" hidden="1">#REF!</definedName>
    <definedName name="BO37BD42AB09AD441783F71B82C6731BD4" hidden="1">#REF!</definedName>
    <definedName name="BO37C243B30AA44207B8D1793901B7E2BC" localSheetId="7" hidden="1">#REF!</definedName>
    <definedName name="BO37C243B30AA44207B8D1793901B7E2BC" hidden="1">#REF!</definedName>
    <definedName name="BO37D948CF26104FE984B83E2482AEED99" localSheetId="7" hidden="1">#REF!</definedName>
    <definedName name="BO37D948CF26104FE984B83E2482AEED99" hidden="1">#REF!</definedName>
    <definedName name="BO37E35AC5BE904F448628DD81D1571849" localSheetId="7" hidden="1">#REF!</definedName>
    <definedName name="BO37E35AC5BE904F448628DD81D1571849" hidden="1">#REF!</definedName>
    <definedName name="BO3820503E5A914AEEBB1D31A860A37E5B" localSheetId="7" hidden="1">#REF!</definedName>
    <definedName name="BO3820503E5A914AEEBB1D31A860A37E5B" hidden="1">#REF!</definedName>
    <definedName name="BO3820AEEB87DB40408C18AC91E259895B" localSheetId="7" hidden="1">#REF!</definedName>
    <definedName name="BO3820AEEB87DB40408C18AC91E259895B" hidden="1">#REF!</definedName>
    <definedName name="BO38264BD38E4F4ED394F5F79E544EAF52" localSheetId="7" hidden="1">#REF!</definedName>
    <definedName name="BO38264BD38E4F4ED394F5F79E544EAF52" hidden="1">#REF!</definedName>
    <definedName name="BO38269E7890A749088564AE238D4B862C" localSheetId="7" hidden="1">#REF!</definedName>
    <definedName name="BO38269E7890A749088564AE238D4B862C" hidden="1">#REF!</definedName>
    <definedName name="BO38353EFE2E8A41C9813D8F8239806B1D" localSheetId="7" hidden="1">#REF!</definedName>
    <definedName name="BO38353EFE2E8A41C9813D8F8239806B1D" hidden="1">#REF!</definedName>
    <definedName name="BO384563915CFE4E34993681C9440BC367" localSheetId="7" hidden="1">#REF!</definedName>
    <definedName name="BO384563915CFE4E34993681C9440BC367" hidden="1">#REF!</definedName>
    <definedName name="BO3876939C00BC415FAF65BE08694E39BF" localSheetId="7" hidden="1">#REF!</definedName>
    <definedName name="BO3876939C00BC415FAF65BE08694E39BF" hidden="1">#REF!</definedName>
    <definedName name="BO387F0787C3F9425E8EE08F3282D793BF" localSheetId="7" hidden="1">#REF!</definedName>
    <definedName name="BO387F0787C3F9425E8EE08F3282D793BF" hidden="1">#REF!</definedName>
    <definedName name="BO38BCCF3273ED41189C6E7209CEA83FDE" localSheetId="7" hidden="1">#REF!</definedName>
    <definedName name="BO38BCCF3273ED41189C6E7209CEA83FDE" hidden="1">#REF!</definedName>
    <definedName name="BO38CAF8683A5D41F3911A7555DCD8D0D8" localSheetId="7" hidden="1">#REF!</definedName>
    <definedName name="BO38CAF8683A5D41F3911A7555DCD8D0D8" hidden="1">#REF!</definedName>
    <definedName name="BO38CC9FADCDDB487EB5495402C16202AB" localSheetId="7" hidden="1">#REF!</definedName>
    <definedName name="BO38CC9FADCDDB487EB5495402C16202AB" hidden="1">#REF!</definedName>
    <definedName name="BO390450DD37E2499D9AB4BED86CB8EC86" localSheetId="7" hidden="1">#REF!</definedName>
    <definedName name="BO390450DD37E2499D9AB4BED86CB8EC86" hidden="1">#REF!</definedName>
    <definedName name="BO3923E2F1BB2F4A289C14AC9FF2E81613" localSheetId="7" hidden="1">#REF!</definedName>
    <definedName name="BO3923E2F1BB2F4A289C14AC9FF2E81613" hidden="1">#REF!</definedName>
    <definedName name="BO393CC7A042304442A843E68A1F5CAC86" localSheetId="7" hidden="1">#REF!</definedName>
    <definedName name="BO393CC7A042304442A843E68A1F5CAC86" hidden="1">#REF!</definedName>
    <definedName name="BO3979AEADD664488882E2EC24F17801DF" localSheetId="7" hidden="1">#REF!</definedName>
    <definedName name="BO3979AEADD664488882E2EC24F17801DF" hidden="1">#REF!</definedName>
    <definedName name="BO398AD60335B34D478CBEDE348B21FEAF" localSheetId="7" hidden="1">#REF!</definedName>
    <definedName name="BO398AD60335B34D478CBEDE348B21FEAF" hidden="1">#REF!</definedName>
    <definedName name="BO398CA85D8A8A41E8A13725180A032972" localSheetId="7" hidden="1">#REF!</definedName>
    <definedName name="BO398CA85D8A8A41E8A13725180A032972" hidden="1">#REF!</definedName>
    <definedName name="BO39938AFBD56240EEB7C23E5F12BA0128" localSheetId="7" hidden="1">#REF!</definedName>
    <definedName name="BO39938AFBD56240EEB7C23E5F12BA0128" hidden="1">#REF!</definedName>
    <definedName name="BO3994DB85F5D64138A6029B3216FA98CA" localSheetId="7" hidden="1">#REF!</definedName>
    <definedName name="BO3994DB85F5D64138A6029B3216FA98CA" hidden="1">#REF!</definedName>
    <definedName name="BO39BE4C4475A1436C805E877E2A8473C9" localSheetId="7" hidden="1">#REF!</definedName>
    <definedName name="BO39BE4C4475A1436C805E877E2A8473C9" hidden="1">#REF!</definedName>
    <definedName name="BO39C277AAB8014383B24F99744527BEB8" localSheetId="7" hidden="1">#REF!</definedName>
    <definedName name="BO39C277AAB8014383B24F99744527BEB8" hidden="1">#REF!</definedName>
    <definedName name="BO39CF2A8161064F8E8863AF1B26E13B31" localSheetId="7" hidden="1">#REF!</definedName>
    <definedName name="BO39CF2A8161064F8E8863AF1B26E13B31" hidden="1">#REF!</definedName>
    <definedName name="BO39F4FC9B9B534B48B48B181AF546D732" localSheetId="7" hidden="1">#REF!</definedName>
    <definedName name="BO39F4FC9B9B534B48B48B181AF546D732" hidden="1">#REF!</definedName>
    <definedName name="BO39F82B8C80C94F64858521196CFAB46B" localSheetId="7" hidden="1">#REF!</definedName>
    <definedName name="BO39F82B8C80C94F64858521196CFAB46B" hidden="1">#REF!</definedName>
    <definedName name="BO3A14907C86D149AFAA21092C98DE4EB6" localSheetId="7" hidden="1">#REF!</definedName>
    <definedName name="BO3A14907C86D149AFAA21092C98DE4EB6" hidden="1">#REF!</definedName>
    <definedName name="BO3A15BA472CF04D7399D1151086C70CBD" localSheetId="7" hidden="1">#REF!</definedName>
    <definedName name="BO3A15BA472CF04D7399D1151086C70CBD" hidden="1">#REF!</definedName>
    <definedName name="BO3A3289A8646D4E7492ED5C969EF67322" localSheetId="7" hidden="1">#REF!</definedName>
    <definedName name="BO3A3289A8646D4E7492ED5C969EF67322" hidden="1">#REF!</definedName>
    <definedName name="BO3A6E290041F9405EA7A6E9F5D7A1EF9B" localSheetId="7" hidden="1">#REF!</definedName>
    <definedName name="BO3A6E290041F9405EA7A6E9F5D7A1EF9B" hidden="1">#REF!</definedName>
    <definedName name="BO3A92F3D954554C60AF4FAEFC00F12E00" localSheetId="7" hidden="1">#REF!</definedName>
    <definedName name="BO3A92F3D954554C60AF4FAEFC00F12E00" hidden="1">#REF!</definedName>
    <definedName name="BO3AD68C1BDE0544DA9B9E1584E32CE2AA" localSheetId="7" hidden="1">#REF!</definedName>
    <definedName name="BO3AD68C1BDE0544DA9B9E1584E32CE2AA" hidden="1">#REF!</definedName>
    <definedName name="BO3AD6906962E04E529E6985DBBABE91EB" localSheetId="7" hidden="1">#REF!</definedName>
    <definedName name="BO3AD6906962E04E529E6985DBBABE91EB" hidden="1">#REF!</definedName>
    <definedName name="BO3B03ADB4222D4EA9B6F0B2FCEDB057C0" localSheetId="7" hidden="1">#REF!</definedName>
    <definedName name="BO3B03ADB4222D4EA9B6F0B2FCEDB057C0" hidden="1">#REF!</definedName>
    <definedName name="BO3B12CE65D88B4221B7E070EA67630688" localSheetId="7" hidden="1">#REF!</definedName>
    <definedName name="BO3B12CE65D88B4221B7E070EA67630688" hidden="1">#REF!</definedName>
    <definedName name="BO3B1B8C43AD2C4C819F2AC290B05C811E" localSheetId="7" hidden="1">#REF!</definedName>
    <definedName name="BO3B1B8C43AD2C4C819F2AC290B05C811E" hidden="1">#REF!</definedName>
    <definedName name="BO3B27865BAD6E4851893C438E2A932F6F" localSheetId="7" hidden="1">#REF!</definedName>
    <definedName name="BO3B27865BAD6E4851893C438E2A932F6F" hidden="1">#REF!</definedName>
    <definedName name="BO3B3A6A0D0B43458F817FF22AB4E31BEA" localSheetId="7" hidden="1">#REF!</definedName>
    <definedName name="BO3B3A6A0D0B43458F817FF22AB4E31BEA" hidden="1">#REF!</definedName>
    <definedName name="BO3B7A192775644A1EBBA3C8D60797234D" localSheetId="7" hidden="1">#REF!</definedName>
    <definedName name="BO3B7A192775644A1EBBA3C8D60797234D" hidden="1">#REF!</definedName>
    <definedName name="BO3B8A7E64A48D4CCD971A44E8683974A6" localSheetId="7" hidden="1">#REF!</definedName>
    <definedName name="BO3B8A7E64A48D4CCD971A44E8683974A6" hidden="1">#REF!</definedName>
    <definedName name="BO3BA067FC908842ABB8AD306992AA47DF" localSheetId="7" hidden="1">#REF!</definedName>
    <definedName name="BO3BA067FC908842ABB8AD306992AA47DF" hidden="1">#REF!</definedName>
    <definedName name="BO3C0B2285124D4B80B13690E935D7C323" localSheetId="7" hidden="1">#REF!</definedName>
    <definedName name="BO3C0B2285124D4B80B13690E935D7C323" hidden="1">#REF!</definedName>
    <definedName name="BO3C1186B8735D4EB19AEEC376B1460C65" localSheetId="7" hidden="1">#REF!</definedName>
    <definedName name="BO3C1186B8735D4EB19AEEC376B1460C65" hidden="1">#REF!</definedName>
    <definedName name="BO3C36965652504BDC860AFD2B9897D67A" localSheetId="7" hidden="1">#REF!</definedName>
    <definedName name="BO3C36965652504BDC860AFD2B9897D67A" hidden="1">#REF!</definedName>
    <definedName name="BO3C3E995585674D54AFD0F2DB5965407A" localSheetId="7" hidden="1">#REF!</definedName>
    <definedName name="BO3C3E995585674D54AFD0F2DB5965407A" hidden="1">#REF!</definedName>
    <definedName name="BO3C86FE5E81BB41DA964AAF5059B3288A" localSheetId="7" hidden="1">#REF!</definedName>
    <definedName name="BO3C86FE5E81BB41DA964AAF5059B3288A" hidden="1">#REF!</definedName>
    <definedName name="BO3C89C310C53F454C9D84EA8A15E95F55" localSheetId="7" hidden="1">#REF!</definedName>
    <definedName name="BO3C89C310C53F454C9D84EA8A15E95F55" hidden="1">#REF!</definedName>
    <definedName name="BO3CB35309948144D0B5C27E17164F043D" localSheetId="7" hidden="1">#REF!</definedName>
    <definedName name="BO3CB35309948144D0B5C27E17164F043D" hidden="1">#REF!</definedName>
    <definedName name="BO3CDD1A8C847848958F24DFC46595FF64" localSheetId="7" hidden="1">#REF!</definedName>
    <definedName name="BO3CDD1A8C847848958F24DFC46595FF64" hidden="1">#REF!</definedName>
    <definedName name="BO3CE54CA3CD4E43C48A4E5788A9CC40F3" localSheetId="7" hidden="1">#REF!</definedName>
    <definedName name="BO3CE54CA3CD4E43C48A4E5788A9CC40F3" hidden="1">#REF!</definedName>
    <definedName name="BO3CF6E54DF8804F6D88619375D2D2C897" localSheetId="7" hidden="1">#REF!</definedName>
    <definedName name="BO3CF6E54DF8804F6D88619375D2D2C897" hidden="1">#REF!</definedName>
    <definedName name="BO3CF75D156B8E426CA0D415DBA1BED769" localSheetId="7" hidden="1">#REF!</definedName>
    <definedName name="BO3CF75D156B8E426CA0D415DBA1BED769" hidden="1">#REF!</definedName>
    <definedName name="BO3D00BE5B6AC143B69595DED5C0D2C83F" localSheetId="7" hidden="1">#REF!</definedName>
    <definedName name="BO3D00BE5B6AC143B69595DED5C0D2C83F" hidden="1">#REF!</definedName>
    <definedName name="BO3D1AA55A733A4182839A9D3C696AC40E" localSheetId="7" hidden="1">#REF!</definedName>
    <definedName name="BO3D1AA55A733A4182839A9D3C696AC40E" hidden="1">#REF!</definedName>
    <definedName name="BO3D1B1D79590F4676A60AA9625B9D6D6A" localSheetId="7" hidden="1">#REF!</definedName>
    <definedName name="BO3D1B1D79590F4676A60AA9625B9D6D6A" hidden="1">#REF!</definedName>
    <definedName name="BO3D3E52551E7B44F09279A20D20F92A05" localSheetId="7" hidden="1">#REF!</definedName>
    <definedName name="BO3D3E52551E7B44F09279A20D20F92A05" hidden="1">#REF!</definedName>
    <definedName name="BO3D8CFC6E72F64D408F2E4CD223D673C6" localSheetId="7" hidden="1">#REF!</definedName>
    <definedName name="BO3D8CFC6E72F64D408F2E4CD223D673C6" hidden="1">#REF!</definedName>
    <definedName name="BO3D92A4416AE5446687DA2D8F5E76F027" localSheetId="7" hidden="1">#REF!</definedName>
    <definedName name="BO3D92A4416AE5446687DA2D8F5E76F027" hidden="1">#REF!</definedName>
    <definedName name="BO3D9566BB37664217A0156E9F4DB3330B" localSheetId="7" hidden="1">#REF!</definedName>
    <definedName name="BO3D9566BB37664217A0156E9F4DB3330B" hidden="1">#REF!</definedName>
    <definedName name="BO3D9EFC1A19244D6B957120C0FF24AA48" localSheetId="7" hidden="1">#REF!</definedName>
    <definedName name="BO3D9EFC1A19244D6B957120C0FF24AA48" hidden="1">#REF!</definedName>
    <definedName name="BO3DAFF5F26B904CCDB30FBE8846C919A6" localSheetId="7" hidden="1">#REF!</definedName>
    <definedName name="BO3DAFF5F26B904CCDB30FBE8846C919A6" hidden="1">#REF!</definedName>
    <definedName name="BO3DB203A83C8E40A5B757BFE9F516AF7A" localSheetId="7" hidden="1">#REF!</definedName>
    <definedName name="BO3DB203A83C8E40A5B757BFE9F516AF7A" hidden="1">#REF!</definedName>
    <definedName name="BO3DBEA0BF254C442B8626B09E2FBBE397" localSheetId="7" hidden="1">#REF!</definedName>
    <definedName name="BO3DBEA0BF254C442B8626B09E2FBBE397" hidden="1">#REF!</definedName>
    <definedName name="BO3DC606CEF182401089C7E51B38742C2A" localSheetId="7" hidden="1">#REF!</definedName>
    <definedName name="BO3DC606CEF182401089C7E51B38742C2A" hidden="1">#REF!</definedName>
    <definedName name="BO3DE96ECAA6E0421E9E1C0E708A4A31B7" localSheetId="7" hidden="1">#REF!</definedName>
    <definedName name="BO3DE96ECAA6E0421E9E1C0E708A4A31B7" hidden="1">#REF!</definedName>
    <definedName name="BO3E03AEE1A96A43A7BA60E6AB9ECD7B0E" localSheetId="7" hidden="1">#REF!</definedName>
    <definedName name="BO3E03AEE1A96A43A7BA60E6AB9ECD7B0E" hidden="1">#REF!</definedName>
    <definedName name="BO3E0A5C2D24A248849D994076AE395CDB" localSheetId="7" hidden="1">#REF!</definedName>
    <definedName name="BO3E0A5C2D24A248849D994076AE395CDB" hidden="1">#REF!</definedName>
    <definedName name="BO3E284F117C234DD6AE47320E04ED7C5C" localSheetId="7" hidden="1">#REF!</definedName>
    <definedName name="BO3E284F117C234DD6AE47320E04ED7C5C" hidden="1">#REF!</definedName>
    <definedName name="BO3E2C5CC47E2F41689D300E66D8C163AE" localSheetId="7" hidden="1">#REF!</definedName>
    <definedName name="BO3E2C5CC47E2F41689D300E66D8C163AE" hidden="1">#REF!</definedName>
    <definedName name="BO3E6A0AE2F947463DB8A413AC5458B805" localSheetId="7" hidden="1">#REF!</definedName>
    <definedName name="BO3E6A0AE2F947463DB8A413AC5458B805" hidden="1">#REF!</definedName>
    <definedName name="BO3E74A804F86647ADAC7F240E743D96BF" localSheetId="7" hidden="1">#REF!</definedName>
    <definedName name="BO3E74A804F86647ADAC7F240E743D96BF" hidden="1">#REF!</definedName>
    <definedName name="BO3E7A0FC436414EC2A473D9ECB952A3D6" localSheetId="7" hidden="1">#REF!</definedName>
    <definedName name="BO3E7A0FC436414EC2A473D9ECB952A3D6" hidden="1">#REF!</definedName>
    <definedName name="BO3E8637EE5C574A31BD1E6B83840DE555" localSheetId="7" hidden="1">#REF!</definedName>
    <definedName name="BO3E8637EE5C574A31BD1E6B83840DE555" hidden="1">#REF!</definedName>
    <definedName name="BO3E8ADA53EC984BDE85155A89525F71EC" localSheetId="7" hidden="1">#REF!</definedName>
    <definedName name="BO3E8ADA53EC984BDE85155A89525F71EC" hidden="1">#REF!</definedName>
    <definedName name="BO3E97014D8F104DE59FAF35EF079625D5" localSheetId="7" hidden="1">#REF!</definedName>
    <definedName name="BO3E97014D8F104DE59FAF35EF079625D5" hidden="1">#REF!</definedName>
    <definedName name="BO3E9A56AAED58441A8F4B71F733AC5670" localSheetId="7" hidden="1">#REF!</definedName>
    <definedName name="BO3E9A56AAED58441A8F4B71F733AC5670" hidden="1">#REF!</definedName>
    <definedName name="BO3ECC4DE888AE4CA0A5334D0EBBE140A9" localSheetId="7" hidden="1">#REF!</definedName>
    <definedName name="BO3ECC4DE888AE4CA0A5334D0EBBE140A9" hidden="1">#REF!</definedName>
    <definedName name="BO3EDCF184FD5A426F9D8A23097531DB28" localSheetId="7" hidden="1">#REF!</definedName>
    <definedName name="BO3EDCF184FD5A426F9D8A23097531DB28" hidden="1">#REF!</definedName>
    <definedName name="BO3EDF943D70D847778E0FFA8CD08A8F02" localSheetId="7" hidden="1">#REF!</definedName>
    <definedName name="BO3EDF943D70D847778E0FFA8CD08A8F02" hidden="1">#REF!</definedName>
    <definedName name="BO3F08414C43E749D4B092CD43F4B7B689" localSheetId="7" hidden="1">#REF!</definedName>
    <definedName name="BO3F08414C43E749D4B092CD43F4B7B689" hidden="1">#REF!</definedName>
    <definedName name="BO3F3372D6A46A4F36A79C7D13F0820A33" localSheetId="7" hidden="1">#REF!</definedName>
    <definedName name="BO3F3372D6A46A4F36A79C7D13F0820A33" hidden="1">#REF!</definedName>
    <definedName name="BO3F341FE4D3AD4F7E887A9AA8119E9DF5" localSheetId="7" hidden="1">#REF!</definedName>
    <definedName name="BO3F341FE4D3AD4F7E887A9AA8119E9DF5" hidden="1">#REF!</definedName>
    <definedName name="BO3F4219FFA94A468E8A21F8F0D16D39A0" localSheetId="7" hidden="1">#REF!</definedName>
    <definedName name="BO3F4219FFA94A468E8A21F8F0D16D39A0" hidden="1">#REF!</definedName>
    <definedName name="BO3F63264DC8E54854B0EF36368185B45D" localSheetId="7" hidden="1">#REF!</definedName>
    <definedName name="BO3F63264DC8E54854B0EF36368185B45D" hidden="1">#REF!</definedName>
    <definedName name="BO3F7050751774407FAB27DEACC4E6310E" localSheetId="7" hidden="1">#REF!</definedName>
    <definedName name="BO3F7050751774407FAB27DEACC4E6310E" hidden="1">#REF!</definedName>
    <definedName name="BO3F7D937035924DEC9896161E55D81CB5" localSheetId="7" hidden="1">#REF!</definedName>
    <definedName name="BO3F7D937035924DEC9896161E55D81CB5" hidden="1">#REF!</definedName>
    <definedName name="BO3F99DDDCF77241A3A7CA523DF9F51DBB" localSheetId="7" hidden="1">#REF!</definedName>
    <definedName name="BO3F99DDDCF77241A3A7CA523DF9F51DBB" hidden="1">#REF!</definedName>
    <definedName name="BO3FA1A2EB741C4F02BC314556BDDA21C3" localSheetId="7" hidden="1">#REF!</definedName>
    <definedName name="BO3FA1A2EB741C4F02BC314556BDDA21C3" hidden="1">#REF!</definedName>
    <definedName name="BO3FAA824E77164E96BB11AFB071F07157" localSheetId="7" hidden="1">#REF!</definedName>
    <definedName name="BO3FAA824E77164E96BB11AFB071F07157" hidden="1">#REF!</definedName>
    <definedName name="BO3FABFB210460442694B7718FAE7301CF" localSheetId="7" hidden="1">#REF!</definedName>
    <definedName name="BO3FABFB210460442694B7718FAE7301CF" hidden="1">#REF!</definedName>
    <definedName name="BO3FC2752F9440495C859EC960A4FE5F2F" localSheetId="7" hidden="1">#REF!</definedName>
    <definedName name="BO3FC2752F9440495C859EC960A4FE5F2F" hidden="1">#REF!</definedName>
    <definedName name="BO3FC540EE8AB042C889182B63BBC5D9EB" localSheetId="7" hidden="1">#REF!</definedName>
    <definedName name="BO3FC540EE8AB042C889182B63BBC5D9EB" hidden="1">#REF!</definedName>
    <definedName name="BO3FD368EBE48C442F992DB8577B076A08" localSheetId="7" hidden="1">#REF!</definedName>
    <definedName name="BO3FD368EBE48C442F992DB8577B076A08" hidden="1">#REF!</definedName>
    <definedName name="BO3FDC67E4E101445F825C614C095DB10B" localSheetId="7" hidden="1">#REF!</definedName>
    <definedName name="BO3FDC67E4E101445F825C614C095DB10B" hidden="1">#REF!</definedName>
    <definedName name="BO3FDF32B23F1245AEA0C19F4BFBAF123C" localSheetId="7" hidden="1">#REF!</definedName>
    <definedName name="BO3FDF32B23F1245AEA0C19F4BFBAF123C" hidden="1">#REF!</definedName>
    <definedName name="BO3FE8067282004735A6CD67A4C8C188F6" localSheetId="7" hidden="1">#REF!</definedName>
    <definedName name="BO3FE8067282004735A6CD67A4C8C188F6" hidden="1">#REF!</definedName>
    <definedName name="BO3FED70228E5D40C8B12DDAF7D7B1E611" localSheetId="7" hidden="1">#REF!</definedName>
    <definedName name="BO3FED70228E5D40C8B12DDAF7D7B1E611" hidden="1">#REF!</definedName>
    <definedName name="BO401886B5A2794617B0859D3353DAB896" localSheetId="7" hidden="1">#REF!</definedName>
    <definedName name="BO401886B5A2794617B0859D3353DAB896" hidden="1">#REF!</definedName>
    <definedName name="BO401DE3FE7C0E4FD59625568DC4A6847C" localSheetId="7" hidden="1">#REF!</definedName>
    <definedName name="BO401DE3FE7C0E4FD59625568DC4A6847C" hidden="1">#REF!</definedName>
    <definedName name="BO402411780D424810965A770612FEF8B2" localSheetId="7" hidden="1">#REF!</definedName>
    <definedName name="BO402411780D424810965A770612FEF8B2" hidden="1">#REF!</definedName>
    <definedName name="BO40404605F71242598CA8AC20BEABDC7C" localSheetId="7" hidden="1">#REF!</definedName>
    <definedName name="BO40404605F71242598CA8AC20BEABDC7C" hidden="1">#REF!</definedName>
    <definedName name="BO4053BB3F1ED94964ABC1E81DDEB82DDB" localSheetId="7" hidden="1">#REF!</definedName>
    <definedName name="BO4053BB3F1ED94964ABC1E81DDEB82DDB" hidden="1">#REF!</definedName>
    <definedName name="BO405E8D49722544C0A13DFB3C43AA43D5" localSheetId="7" hidden="1">#REF!</definedName>
    <definedName name="BO405E8D49722544C0A13DFB3C43AA43D5" hidden="1">#REF!</definedName>
    <definedName name="BO40961E0DC8094C5DBE35BDEAF8C4228F" localSheetId="7" hidden="1">#REF!</definedName>
    <definedName name="BO40961E0DC8094C5DBE35BDEAF8C4228F" hidden="1">#REF!</definedName>
    <definedName name="BO40A4FB71DFDA406AB28A031CD319EE21" localSheetId="7" hidden="1">#REF!</definedName>
    <definedName name="BO40A4FB71DFDA406AB28A031CD319EE21" hidden="1">#REF!</definedName>
    <definedName name="BO40BECCF6E12F4625AE15796FEBC9C44D" localSheetId="7" hidden="1">#REF!</definedName>
    <definedName name="BO40BECCF6E12F4625AE15796FEBC9C44D" hidden="1">#REF!</definedName>
    <definedName name="BO40CE6868AAEE402A8C320773063D1DAE" localSheetId="7" hidden="1">#REF!</definedName>
    <definedName name="BO40CE6868AAEE402A8C320773063D1DAE" hidden="1">#REF!</definedName>
    <definedName name="BO40CF448E4B29452BA02165DD4546FB99" localSheetId="7" hidden="1">#REF!</definedName>
    <definedName name="BO40CF448E4B29452BA02165DD4546FB99" hidden="1">#REF!</definedName>
    <definedName name="BO40D8C59903874DB4827F794565879057" localSheetId="7" hidden="1">#REF!</definedName>
    <definedName name="BO40D8C59903874DB4827F794565879057" hidden="1">#REF!</definedName>
    <definedName name="BO40E8EAD905694D638659861335C3D4CB" localSheetId="7" hidden="1">#REF!</definedName>
    <definedName name="BO40E8EAD905694D638659861335C3D4CB" hidden="1">#REF!</definedName>
    <definedName name="BO4100741D2CE34A7FAC590E12942E8B16" localSheetId="7" hidden="1">#REF!</definedName>
    <definedName name="BO4100741D2CE34A7FAC590E12942E8B16" hidden="1">#REF!</definedName>
    <definedName name="BO4101900B58584CEAB82508F5F2E5B951" localSheetId="7" hidden="1">#REF!</definedName>
    <definedName name="BO4101900B58584CEAB82508F5F2E5B951" hidden="1">#REF!</definedName>
    <definedName name="BO4110239378D240718CE14A6196A1B846" localSheetId="7" hidden="1">#REF!</definedName>
    <definedName name="BO4110239378D240718CE14A6196A1B846" hidden="1">#REF!</definedName>
    <definedName name="BO4114A40CD04C4F45A26AC04AD3D47E85" localSheetId="7" hidden="1">#REF!</definedName>
    <definedName name="BO4114A40CD04C4F45A26AC04AD3D47E85" hidden="1">#REF!</definedName>
    <definedName name="BO41494604D4EA49ACAB64B51617B81206" localSheetId="7" hidden="1">#REF!</definedName>
    <definedName name="BO41494604D4EA49ACAB64B51617B81206" hidden="1">#REF!</definedName>
    <definedName name="BO415BFD5A547340FAA57F3530E40F0CE5" localSheetId="7" hidden="1">#REF!</definedName>
    <definedName name="BO415BFD5A547340FAA57F3530E40F0CE5" hidden="1">#REF!</definedName>
    <definedName name="BO4170A3584DDC4EE9A3D1954D83F27248" localSheetId="7" hidden="1">#REF!</definedName>
    <definedName name="BO4170A3584DDC4EE9A3D1954D83F27248" hidden="1">#REF!</definedName>
    <definedName name="BO418AF72FBE644988B8ACF8416814C75F" localSheetId="7" hidden="1">#REF!</definedName>
    <definedName name="BO418AF72FBE644988B8ACF8416814C75F" hidden="1">#REF!</definedName>
    <definedName name="BO41A0896DFFB142CA8C165277C1B119D6" localSheetId="7" hidden="1">#REF!</definedName>
    <definedName name="BO41A0896DFFB142CA8C165277C1B119D6" hidden="1">#REF!</definedName>
    <definedName name="BO41C777E789544CD5B8FF145536B23072" localSheetId="7" hidden="1">#REF!</definedName>
    <definedName name="BO41C777E789544CD5B8FF145536B23072" hidden="1">#REF!</definedName>
    <definedName name="BO41D4AA1287EE4BE1B06DB12EC020A7F3" localSheetId="7" hidden="1">#REF!</definedName>
    <definedName name="BO41D4AA1287EE4BE1B06DB12EC020A7F3" hidden="1">#REF!</definedName>
    <definedName name="BO41D528CC12934345A932B8CB518F0CE5" localSheetId="7" hidden="1">#REF!</definedName>
    <definedName name="BO41D528CC12934345A932B8CB518F0CE5" hidden="1">#REF!</definedName>
    <definedName name="BO41D5888A6D8E45709126845C7A908980" localSheetId="7" hidden="1">#REF!</definedName>
    <definedName name="BO41D5888A6D8E45709126845C7A908980" hidden="1">#REF!</definedName>
    <definedName name="BO41D675F0EA194EA09A9C8FFB0ADAAD2A" localSheetId="7" hidden="1">#REF!</definedName>
    <definedName name="BO41D675F0EA194EA09A9C8FFB0ADAAD2A" hidden="1">#REF!</definedName>
    <definedName name="BO41F861E5B6BF4430B7EBD96A0F40F230" localSheetId="7" hidden="1">#REF!</definedName>
    <definedName name="BO41F861E5B6BF4430B7EBD96A0F40F230" hidden="1">#REF!</definedName>
    <definedName name="BO420207B66DA4426285C27E1CD514F729" localSheetId="7" hidden="1">#REF!</definedName>
    <definedName name="BO420207B66DA4426285C27E1CD514F729" hidden="1">#REF!</definedName>
    <definedName name="BO4245D2FB4EBB43569A1AAEBFE5FA40EF" localSheetId="7" hidden="1">#REF!</definedName>
    <definedName name="BO4245D2FB4EBB43569A1AAEBFE5FA40EF" hidden="1">#REF!</definedName>
    <definedName name="BO4253FB8AD5FA4727937556889AD82294" localSheetId="7" hidden="1">#REF!</definedName>
    <definedName name="BO4253FB8AD5FA4727937556889AD82294" hidden="1">#REF!</definedName>
    <definedName name="BO4262CBA12F964C16BCFD286A22DAD957" localSheetId="7" hidden="1">#REF!</definedName>
    <definedName name="BO4262CBA12F964C16BCFD286A22DAD957" hidden="1">#REF!</definedName>
    <definedName name="BO427373AD2D284A5FA1194350DE93244F" localSheetId="7" hidden="1">#REF!</definedName>
    <definedName name="BO427373AD2D284A5FA1194350DE93244F" hidden="1">#REF!</definedName>
    <definedName name="BO427CAC81577E4462A502B9706B028085" localSheetId="7" hidden="1">#REF!</definedName>
    <definedName name="BO427CAC81577E4462A502B9706B028085" hidden="1">#REF!</definedName>
    <definedName name="BO42813908253B4F859F8056772D3AECD9" localSheetId="7" hidden="1">#REF!</definedName>
    <definedName name="BO42813908253B4F859F8056772D3AECD9" hidden="1">#REF!</definedName>
    <definedName name="BO42C6DB5F686E4A8A97DDDB8AD1B0E902" localSheetId="7" hidden="1">#REF!</definedName>
    <definedName name="BO42C6DB5F686E4A8A97DDDB8AD1B0E902" hidden="1">#REF!</definedName>
    <definedName name="BO42C9A403C4984A74B55138A9ED452D3A" localSheetId="7" hidden="1">#REF!</definedName>
    <definedName name="BO42C9A403C4984A74B55138A9ED452D3A" hidden="1">#REF!</definedName>
    <definedName name="BO42E1F2029FBF429FBD5157D6CD84A6BF" localSheetId="7" hidden="1">#REF!</definedName>
    <definedName name="BO42E1F2029FBF429FBD5157D6CD84A6BF" hidden="1">#REF!</definedName>
    <definedName name="BO4308E73201D0452BAF7EF0C48CC7C464" localSheetId="7" hidden="1">#REF!</definedName>
    <definedName name="BO4308E73201D0452BAF7EF0C48CC7C464" hidden="1">#REF!</definedName>
    <definedName name="BO431D2511A66244FBA008C1D63A5A0C9F" localSheetId="7" hidden="1">#REF!</definedName>
    <definedName name="BO431D2511A66244FBA008C1D63A5A0C9F" hidden="1">#REF!</definedName>
    <definedName name="BO43417FBD6B3745C1A1AAA045D38AA05A" localSheetId="7" hidden="1">#REF!</definedName>
    <definedName name="BO43417FBD6B3745C1A1AAA045D38AA05A" hidden="1">#REF!</definedName>
    <definedName name="BO434B2A2676DF49E8B7FE19074A6166CE" localSheetId="7" hidden="1">#REF!</definedName>
    <definedName name="BO434B2A2676DF49E8B7FE19074A6166CE" hidden="1">#REF!</definedName>
    <definedName name="BO435411DDF7864B2491773DF70494C226" localSheetId="7" hidden="1">#REF!</definedName>
    <definedName name="BO435411DDF7864B2491773DF70494C226" hidden="1">#REF!</definedName>
    <definedName name="BO436814B3B3B84C4FAE218811D79E4CD7" localSheetId="7" hidden="1">#REF!</definedName>
    <definedName name="BO436814B3B3B84C4FAE218811D79E4CD7" hidden="1">#REF!</definedName>
    <definedName name="BO43683A930B4E434BAFB2517A6C975022" localSheetId="7" hidden="1">#REF!</definedName>
    <definedName name="BO43683A930B4E434BAFB2517A6C975022" hidden="1">#REF!</definedName>
    <definedName name="BO436C963BA924468C905212F2D887C382" localSheetId="7" hidden="1">#REF!</definedName>
    <definedName name="BO436C963BA924468C905212F2D887C382" hidden="1">#REF!</definedName>
    <definedName name="BO436F9AAAD86549678BBA4482FA509CC7" localSheetId="7" hidden="1">#REF!</definedName>
    <definedName name="BO436F9AAAD86549678BBA4482FA509CC7" hidden="1">#REF!</definedName>
    <definedName name="BO437A6899BB35412D8C5325D568B73F7E" localSheetId="7" hidden="1">#REF!</definedName>
    <definedName name="BO437A6899BB35412D8C5325D568B73F7E" hidden="1">#REF!</definedName>
    <definedName name="BO4387524FB7E944229BF89D682129555D" localSheetId="7" hidden="1">#REF!</definedName>
    <definedName name="BO4387524FB7E944229BF89D682129555D" hidden="1">#REF!</definedName>
    <definedName name="BO439D47EE12AF4EC783F4F2862899D939" localSheetId="7" hidden="1">#REF!</definedName>
    <definedName name="BO439D47EE12AF4EC783F4F2862899D939" hidden="1">#REF!</definedName>
    <definedName name="BO43AB8DF113E84ED5A8BD162CEC17C2EC" localSheetId="7" hidden="1">#REF!</definedName>
    <definedName name="BO43AB8DF113E84ED5A8BD162CEC17C2EC" hidden="1">#REF!</definedName>
    <definedName name="BO43B19C1ABA5346BD93DB2FC44304FFA2" localSheetId="7" hidden="1">#REF!</definedName>
    <definedName name="BO43B19C1ABA5346BD93DB2FC44304FFA2" hidden="1">#REF!</definedName>
    <definedName name="BO43C3502A7F9E44A8BFAB99C2D5193F8F" localSheetId="7" hidden="1">#REF!</definedName>
    <definedName name="BO43C3502A7F9E44A8BFAB99C2D5193F8F" hidden="1">#REF!</definedName>
    <definedName name="BO43EC250B90C44679A1391A15C04CB930" localSheetId="7" hidden="1">#REF!</definedName>
    <definedName name="BO43EC250B90C44679A1391A15C04CB930" hidden="1">#REF!</definedName>
    <definedName name="BO43F83C792B374E2180319F0842F6432F" localSheetId="7" hidden="1">#REF!</definedName>
    <definedName name="BO43F83C792B374E2180319F0842F6432F" hidden="1">#REF!</definedName>
    <definedName name="BO43FDDAD26D104E06A9F029F54E471A02" localSheetId="7" hidden="1">#REF!</definedName>
    <definedName name="BO43FDDAD26D104E06A9F029F54E471A02" hidden="1">#REF!</definedName>
    <definedName name="BO442D41E403484C7881FFF2D029D8AE4A" localSheetId="7" hidden="1">#REF!</definedName>
    <definedName name="BO442D41E403484C7881FFF2D029D8AE4A" hidden="1">#REF!</definedName>
    <definedName name="BO443A3DB95003485E99600E2E053E1445" localSheetId="7" hidden="1">#REF!</definedName>
    <definedName name="BO443A3DB95003485E99600E2E053E1445" hidden="1">#REF!</definedName>
    <definedName name="BO443FEFA714C14052A91331B97545C329" localSheetId="7" hidden="1">#REF!</definedName>
    <definedName name="BO443FEFA714C14052A91331B97545C329" hidden="1">#REF!</definedName>
    <definedName name="BO444232BEF637453AA2E1BE3171917893" localSheetId="7" hidden="1">#REF!</definedName>
    <definedName name="BO444232BEF637453AA2E1BE3171917893" hidden="1">#REF!</definedName>
    <definedName name="BO44532FA35A244D7893A881FC49CE671F" localSheetId="7" hidden="1">#REF!</definedName>
    <definedName name="BO44532FA35A244D7893A881FC49CE671F" hidden="1">#REF!</definedName>
    <definedName name="BO4456140D60ED49EF82CE5C2E12BA7FDF" localSheetId="7" hidden="1">#REF!</definedName>
    <definedName name="BO4456140D60ED49EF82CE5C2E12BA7FDF" hidden="1">#REF!</definedName>
    <definedName name="BO445CE765720746A2AAF5DBE300EDB930" localSheetId="7" hidden="1">#REF!</definedName>
    <definedName name="BO445CE765720746A2AAF5DBE300EDB930" hidden="1">#REF!</definedName>
    <definedName name="BO446DD9BFD2DE47F88D9CE7430FE5B5F0" localSheetId="7" hidden="1">#REF!</definedName>
    <definedName name="BO446DD9BFD2DE47F88D9CE7430FE5B5F0" hidden="1">#REF!</definedName>
    <definedName name="BO446F43019EB34B38A51A2F7F8137FF3B" localSheetId="7" hidden="1">#REF!</definedName>
    <definedName name="BO446F43019EB34B38A51A2F7F8137FF3B" hidden="1">#REF!</definedName>
    <definedName name="BO44743EFD8FEF4186AF3B799078C64013" localSheetId="7" hidden="1">#REF!</definedName>
    <definedName name="BO44743EFD8FEF4186AF3B799078C64013" hidden="1">#REF!</definedName>
    <definedName name="BO44ACB2F6A6A346F3A32AB67B4853B964" localSheetId="7" hidden="1">#REF!</definedName>
    <definedName name="BO44ACB2F6A6A346F3A32AB67B4853B964" hidden="1">#REF!</definedName>
    <definedName name="BO44B3A05C689C47E4BC419B380EAE3EF9" localSheetId="7" hidden="1">#REF!</definedName>
    <definedName name="BO44B3A05C689C47E4BC419B380EAE3EF9" hidden="1">#REF!</definedName>
    <definedName name="BO44CE67751B8A410181B8B349D8618572" localSheetId="7" hidden="1">#REF!</definedName>
    <definedName name="BO44CE67751B8A410181B8B349D8618572" hidden="1">#REF!</definedName>
    <definedName name="BO44E72C8C852B4A4885DB495C79C105C5" localSheetId="7" hidden="1">#REF!</definedName>
    <definedName name="BO44E72C8C852B4A4885DB495C79C105C5" hidden="1">#REF!</definedName>
    <definedName name="BO44E7D38AA08E4530A285648DFF00593F" localSheetId="7" hidden="1">#REF!</definedName>
    <definedName name="BO44E7D38AA08E4530A285648DFF00593F" hidden="1">#REF!</definedName>
    <definedName name="BO451F79B44CFF4D88AE3D551C4B8F978A" localSheetId="7" hidden="1">#REF!</definedName>
    <definedName name="BO451F79B44CFF4D88AE3D551C4B8F978A" hidden="1">#REF!</definedName>
    <definedName name="BO452D2130FB334955ABA7E73697994A30" localSheetId="7" hidden="1">#REF!</definedName>
    <definedName name="BO452D2130FB334955ABA7E73697994A30" hidden="1">#REF!</definedName>
    <definedName name="BO45570A12F2F74CD680AC145C7BA2BC13" localSheetId="7" hidden="1">#REF!</definedName>
    <definedName name="BO45570A12F2F74CD680AC145C7BA2BC13" hidden="1">#REF!</definedName>
    <definedName name="BO457714AEC1D84AA4BBD22FACF725EE4F" localSheetId="7" hidden="1">#REF!</definedName>
    <definedName name="BO457714AEC1D84AA4BBD22FACF725EE4F" hidden="1">#REF!</definedName>
    <definedName name="BO45A81AECD52C40B8AA4CDECF8ADDEBF4" localSheetId="7" hidden="1">#REF!</definedName>
    <definedName name="BO45A81AECD52C40B8AA4CDECF8ADDEBF4" hidden="1">#REF!</definedName>
    <definedName name="BO45AFFC481A714734A428569903300399" localSheetId="7" hidden="1">#REF!</definedName>
    <definedName name="BO45AFFC481A714734A428569903300399" hidden="1">#REF!</definedName>
    <definedName name="BO45B1F0671A8242D9BA4D22FD1D2EE7B7" localSheetId="7" hidden="1">#REF!</definedName>
    <definedName name="BO45B1F0671A8242D9BA4D22FD1D2EE7B7" hidden="1">#REF!</definedName>
    <definedName name="BO45B299A32C7344688E551A13890FAD17" localSheetId="7" hidden="1">#REF!</definedName>
    <definedName name="BO45B299A32C7344688E551A13890FAD17" hidden="1">#REF!</definedName>
    <definedName name="BO45B4463D8510419184F08846214837FF" localSheetId="7" hidden="1">#REF!</definedName>
    <definedName name="BO45B4463D8510419184F08846214837FF" hidden="1">#REF!</definedName>
    <definedName name="BO45C7DC50542545749D811AE90917FFC6" localSheetId="7" hidden="1">#REF!</definedName>
    <definedName name="BO45C7DC50542545749D811AE90917FFC6" hidden="1">#REF!</definedName>
    <definedName name="BO45DD6A526A5F4119BE40E161F33F1A52" localSheetId="7" hidden="1">#REF!</definedName>
    <definedName name="BO45DD6A526A5F4119BE40E161F33F1A52" hidden="1">#REF!</definedName>
    <definedName name="BO4674198BF6514F9DAE237862FAB6E766" localSheetId="7" hidden="1">#REF!</definedName>
    <definedName name="BO4674198BF6514F9DAE237862FAB6E766" hidden="1">#REF!</definedName>
    <definedName name="BO468B28A29D074F4488F77D76807DADE2" localSheetId="7" hidden="1">#REF!</definedName>
    <definedName name="BO468B28A29D074F4488F77D76807DADE2" hidden="1">#REF!</definedName>
    <definedName name="BO469F3981D12A45D98E8C31D552A0DCC0" localSheetId="7" hidden="1">#REF!</definedName>
    <definedName name="BO469F3981D12A45D98E8C31D552A0DCC0" hidden="1">#REF!</definedName>
    <definedName name="BO46A51179BE0C45828B997080485BA32F" localSheetId="7" hidden="1">#REF!</definedName>
    <definedName name="BO46A51179BE0C45828B997080485BA32F" hidden="1">#REF!</definedName>
    <definedName name="BO46A6D432EC344BC49FFA6C7A7BA53F0C" localSheetId="7" hidden="1">#REF!</definedName>
    <definedName name="BO46A6D432EC344BC49FFA6C7A7BA53F0C" hidden="1">#REF!</definedName>
    <definedName name="BO46B4D3FF69F5460381B6FA07C6E29442" localSheetId="7" hidden="1">#REF!</definedName>
    <definedName name="BO46B4D3FF69F5460381B6FA07C6E29442" hidden="1">#REF!</definedName>
    <definedName name="BO46C3592CCCD9496BB69148C2090028B1" localSheetId="7" hidden="1">#REF!</definedName>
    <definedName name="BO46C3592CCCD9496BB69148C2090028B1" hidden="1">#REF!</definedName>
    <definedName name="BO471050C7FFBB4BACAC4317F68FE261A8" localSheetId="7" hidden="1">#REF!</definedName>
    <definedName name="BO471050C7FFBB4BACAC4317F68FE261A8" hidden="1">#REF!</definedName>
    <definedName name="BO4717DEE3FB5C45EC915DC7AF82621FD9" localSheetId="7" hidden="1">#REF!</definedName>
    <definedName name="BO4717DEE3FB5C45EC915DC7AF82621FD9" hidden="1">#REF!</definedName>
    <definedName name="BO472D0978CF004741976B58BB28CF0964" localSheetId="7" hidden="1">#REF!</definedName>
    <definedName name="BO472D0978CF004741976B58BB28CF0964" hidden="1">#REF!</definedName>
    <definedName name="BO473F17C239BC47D9B7FB06D360F3D700" localSheetId="7" hidden="1">#REF!</definedName>
    <definedName name="BO473F17C239BC47D9B7FB06D360F3D700" hidden="1">#REF!</definedName>
    <definedName name="BO4744742E56994D3892AA919C2E329E3F" localSheetId="7" hidden="1">#REF!</definedName>
    <definedName name="BO4744742E56994D3892AA919C2E329E3F" hidden="1">#REF!</definedName>
    <definedName name="BO474D19371E584B57AF6AE215004EFAC6" localSheetId="7" hidden="1">#REF!</definedName>
    <definedName name="BO474D19371E584B57AF6AE215004EFAC6" hidden="1">#REF!</definedName>
    <definedName name="BO47633C6C583845E5AA98D79C7780320D" localSheetId="7" hidden="1">#REF!</definedName>
    <definedName name="BO47633C6C583845E5AA98D79C7780320D" hidden="1">#REF!</definedName>
    <definedName name="BO476A382006A041AE90E69C9A6AD49C93" localSheetId="7" hidden="1">#REF!</definedName>
    <definedName name="BO476A382006A041AE90E69C9A6AD49C93" hidden="1">#REF!</definedName>
    <definedName name="BO477552686D7D470589A371AA61D9C9C2" localSheetId="7" hidden="1">#REF!</definedName>
    <definedName name="BO477552686D7D470589A371AA61D9C9C2" hidden="1">#REF!</definedName>
    <definedName name="BO4782BB6DCD994297B9973545AB1BABA5" localSheetId="7" hidden="1">#REF!</definedName>
    <definedName name="BO4782BB6DCD994297B9973545AB1BABA5" hidden="1">#REF!</definedName>
    <definedName name="BO478BCC98CEE749AC809B6D6E3D2AB268" localSheetId="7" hidden="1">#REF!</definedName>
    <definedName name="BO478BCC98CEE749AC809B6D6E3D2AB268" hidden="1">#REF!</definedName>
    <definedName name="BO47A5687986734B2A9D593334D682047C" localSheetId="7" hidden="1">#REF!</definedName>
    <definedName name="BO47A5687986734B2A9D593334D682047C" hidden="1">#REF!</definedName>
    <definedName name="BO47AEC0950FEF4B37B94970C5972984B7" localSheetId="7" hidden="1">#REF!</definedName>
    <definedName name="BO47AEC0950FEF4B37B94970C5972984B7" hidden="1">#REF!</definedName>
    <definedName name="BO47B0E46F23BD45A0A2136053417D19AE" localSheetId="7" hidden="1">#REF!</definedName>
    <definedName name="BO47B0E46F23BD45A0A2136053417D19AE" hidden="1">#REF!</definedName>
    <definedName name="BO47DB9822FB7B4EE5A39F60E19A1EE233" localSheetId="7" hidden="1">#REF!</definedName>
    <definedName name="BO47DB9822FB7B4EE5A39F60E19A1EE233" hidden="1">#REF!</definedName>
    <definedName name="BO47E3ABF4A2B4471E8F10EF3BB2AE01B4" localSheetId="7" hidden="1">#REF!</definedName>
    <definedName name="BO47E3ABF4A2B4471E8F10EF3BB2AE01B4" hidden="1">#REF!</definedName>
    <definedName name="BO48121D78CEE34AE4B8FC0DA7354DB33D" localSheetId="7" hidden="1">#REF!</definedName>
    <definedName name="BO48121D78CEE34AE4B8FC0DA7354DB33D" hidden="1">#REF!</definedName>
    <definedName name="BO482BE623AF38436BB566744A20A32D9A" localSheetId="7" hidden="1">#REF!</definedName>
    <definedName name="BO482BE623AF38436BB566744A20A32D9A" hidden="1">#REF!</definedName>
    <definedName name="BO482CCB061DD442E39D1CC3307DF9F9EA" localSheetId="7" hidden="1">#REF!</definedName>
    <definedName name="BO482CCB061DD442E39D1CC3307DF9F9EA" hidden="1">#REF!</definedName>
    <definedName name="BO4832AF4D798E41F99A89D1F375DD50E8" localSheetId="7" hidden="1">#REF!</definedName>
    <definedName name="BO4832AF4D798E41F99A89D1F375DD50E8" hidden="1">#REF!</definedName>
    <definedName name="BO48513852320746D9933A0D1D2F039054" localSheetId="7" hidden="1">#REF!</definedName>
    <definedName name="BO48513852320746D9933A0D1D2F039054" hidden="1">#REF!</definedName>
    <definedName name="BO485ECA6E3CFB4AC38669CB9DDF8E105F" localSheetId="7" hidden="1">#REF!</definedName>
    <definedName name="BO485ECA6E3CFB4AC38669CB9DDF8E105F" hidden="1">#REF!</definedName>
    <definedName name="BO486DAD8D05084601B4D8CE965E321FAD" localSheetId="7" hidden="1">#REF!</definedName>
    <definedName name="BO486DAD8D05084601B4D8CE965E321FAD" hidden="1">#REF!</definedName>
    <definedName name="BO48727B5FA81147299A878C498C6C7B7B" localSheetId="7" hidden="1">#REF!</definedName>
    <definedName name="BO48727B5FA81147299A878C498C6C7B7B" hidden="1">#REF!</definedName>
    <definedName name="BO487AD92691E040B5A571A8DC1B586BBD" localSheetId="7" hidden="1">#REF!</definedName>
    <definedName name="BO487AD92691E040B5A571A8DC1B586BBD" hidden="1">#REF!</definedName>
    <definedName name="BO4880B8A0741741E891055C031865ABFA" localSheetId="7" hidden="1">#REF!</definedName>
    <definedName name="BO4880B8A0741741E891055C031865ABFA" hidden="1">#REF!</definedName>
    <definedName name="BO4891CE4E5A704AA8ADC981680A6667DC" localSheetId="7" hidden="1">#REF!</definedName>
    <definedName name="BO4891CE4E5A704AA8ADC981680A6667DC" hidden="1">#REF!</definedName>
    <definedName name="BO48A155AA2A854C0EA7A18DC6F441F00B" localSheetId="7" hidden="1">#REF!</definedName>
    <definedName name="BO48A155AA2A854C0EA7A18DC6F441F00B" hidden="1">#REF!</definedName>
    <definedName name="BO48A5C2E0C57E4885B77A827B3D8E0D0B" localSheetId="7" hidden="1">#REF!</definedName>
    <definedName name="BO48A5C2E0C57E4885B77A827B3D8E0D0B" hidden="1">#REF!</definedName>
    <definedName name="BO48AFFF4A6FB04551AE945E44A0E35206" localSheetId="7" hidden="1">#REF!</definedName>
    <definedName name="BO48AFFF4A6FB04551AE945E44A0E35206" hidden="1">#REF!</definedName>
    <definedName name="BO48B73D68F8644E8EAB2221A3859C50A9" localSheetId="7" hidden="1">#REF!</definedName>
    <definedName name="BO48B73D68F8644E8EAB2221A3859C50A9" hidden="1">#REF!</definedName>
    <definedName name="BO48B88E1732C0423FA274182C2D93CC73" localSheetId="7" hidden="1">#REF!</definedName>
    <definedName name="BO48B88E1732C0423FA274182C2D93CC73" hidden="1">#REF!</definedName>
    <definedName name="BO48BB50AF6D4643FA9B2F607AE4F4461C" localSheetId="7" hidden="1">#REF!</definedName>
    <definedName name="BO48BB50AF6D4643FA9B2F607AE4F4461C" hidden="1">#REF!</definedName>
    <definedName name="BO48BDE787AF5D46FB8279C71BD06F111C" localSheetId="7" hidden="1">#REF!</definedName>
    <definedName name="BO48BDE787AF5D46FB8279C71BD06F111C" hidden="1">#REF!</definedName>
    <definedName name="BO48C52491532C433BBE698C540CF8877F" localSheetId="7" hidden="1">#REF!</definedName>
    <definedName name="BO48C52491532C433BBE698C540CF8877F" hidden="1">#REF!</definedName>
    <definedName name="BO48D1F365BE914846A54CF9BB4353DA67" localSheetId="7" hidden="1">#REF!</definedName>
    <definedName name="BO48D1F365BE914846A54CF9BB4353DA67" hidden="1">#REF!</definedName>
    <definedName name="BO48D20E55619F40DC9ECE7251487FE19D" localSheetId="7" hidden="1">#REF!</definedName>
    <definedName name="BO48D20E55619F40DC9ECE7251487FE19D" hidden="1">#REF!</definedName>
    <definedName name="BO48DDCBF5FCAA4C488BB44B26FFF5A99D" localSheetId="7" hidden="1">#REF!</definedName>
    <definedName name="BO48DDCBF5FCAA4C488BB44B26FFF5A99D" hidden="1">#REF!</definedName>
    <definedName name="BO48F0369079484E23B77258454563BE8B" localSheetId="7" hidden="1">#REF!</definedName>
    <definedName name="BO48F0369079484E23B77258454563BE8B" hidden="1">#REF!</definedName>
    <definedName name="BO490ACD9DBF4D41C2B394542F52D3F8F2" localSheetId="7" hidden="1">#REF!</definedName>
    <definedName name="BO490ACD9DBF4D41C2B394542F52D3F8F2" hidden="1">#REF!</definedName>
    <definedName name="BO490E58146C954566826F05D82EEB1678" localSheetId="7" hidden="1">#REF!</definedName>
    <definedName name="BO490E58146C954566826F05D82EEB1678" hidden="1">#REF!</definedName>
    <definedName name="BO49131766481D4F54A71A06DC8EBB8818" localSheetId="7" hidden="1">#REF!</definedName>
    <definedName name="BO49131766481D4F54A71A06DC8EBB8818" hidden="1">#REF!</definedName>
    <definedName name="BO49296C624762473E9E00FE331DC6B664" localSheetId="7" hidden="1">#REF!</definedName>
    <definedName name="BO49296C624762473E9E00FE331DC6B664" hidden="1">#REF!</definedName>
    <definedName name="BO492AA34D008E4E64BB8E9E533319F3D9" localSheetId="7" hidden="1">#REF!</definedName>
    <definedName name="BO492AA34D008E4E64BB8E9E533319F3D9" hidden="1">#REF!</definedName>
    <definedName name="BO492C27E4787D46B098951549CEE7EC41" localSheetId="7" hidden="1">#REF!</definedName>
    <definedName name="BO492C27E4787D46B098951549CEE7EC41" hidden="1">#REF!</definedName>
    <definedName name="BO492ED4937B3D461DA097BAB44B5709E2" localSheetId="7" hidden="1">#REF!</definedName>
    <definedName name="BO492ED4937B3D461DA097BAB44B5709E2" hidden="1">#REF!</definedName>
    <definedName name="BO4970E4220ACD45F4BA1E6103A574812A" localSheetId="7" hidden="1">#REF!</definedName>
    <definedName name="BO4970E4220ACD45F4BA1E6103A574812A" hidden="1">#REF!</definedName>
    <definedName name="BO499A602069BE452693DC0B355FD16CDE" localSheetId="7" hidden="1">#REF!</definedName>
    <definedName name="BO499A602069BE452693DC0B355FD16CDE" hidden="1">#REF!</definedName>
    <definedName name="BO49AF2C703D8243DC82C6749C6DC90669" localSheetId="7" hidden="1">#REF!</definedName>
    <definedName name="BO49AF2C703D8243DC82C6749C6DC90669" hidden="1">#REF!</definedName>
    <definedName name="BO49B2C27DD5F24066A87EDFB690A4535C" localSheetId="7" hidden="1">#REF!</definedName>
    <definedName name="BO49B2C27DD5F24066A87EDFB690A4535C" hidden="1">#REF!</definedName>
    <definedName name="BO49C96C7193ED499D93B5F747324365FB" localSheetId="7" hidden="1">#REF!</definedName>
    <definedName name="BO49C96C7193ED499D93B5F747324365FB" hidden="1">#REF!</definedName>
    <definedName name="BO49CCADBFD23A4694864FC8C636F9CCB4" localSheetId="7" hidden="1">#REF!</definedName>
    <definedName name="BO49CCADBFD23A4694864FC8C636F9CCB4" hidden="1">#REF!</definedName>
    <definedName name="BO49D14FFE78474141871E8D5F118E9170" localSheetId="7" hidden="1">#REF!</definedName>
    <definedName name="BO49D14FFE78474141871E8D5F118E9170" hidden="1">#REF!</definedName>
    <definedName name="BO49E3534E46354B9C90557E91879CC1B1" localSheetId="7" hidden="1">#REF!</definedName>
    <definedName name="BO49E3534E46354B9C90557E91879CC1B1" hidden="1">#REF!</definedName>
    <definedName name="BO49F6AF7B37204C62B52702EB145C47DB" localSheetId="7" hidden="1">#REF!</definedName>
    <definedName name="BO49F6AF7B37204C62B52702EB145C47DB" hidden="1">#REF!</definedName>
    <definedName name="BO49FFF444F315477FBDFA220B6695CE59" localSheetId="7" hidden="1">#REF!</definedName>
    <definedName name="BO49FFF444F315477FBDFA220B6695CE59" hidden="1">#REF!</definedName>
    <definedName name="BO4A07DA37A97849AAA0D1DD82B86DBE0E" localSheetId="7" hidden="1">#REF!</definedName>
    <definedName name="BO4A07DA37A97849AAA0D1DD82B86DBE0E" hidden="1">#REF!</definedName>
    <definedName name="BO4A2508C655824032AB687CDF93F81A51" localSheetId="7" hidden="1">#REF!</definedName>
    <definedName name="BO4A2508C655824032AB687CDF93F81A51" hidden="1">#REF!</definedName>
    <definedName name="BO4A2B076DBB4A4FAA9A031DB776F1C74C" localSheetId="7" hidden="1">#REF!</definedName>
    <definedName name="BO4A2B076DBB4A4FAA9A031DB776F1C74C" hidden="1">#REF!</definedName>
    <definedName name="BO4A31B59F426F4F18A5771DA2EC922232" localSheetId="7" hidden="1">#REF!</definedName>
    <definedName name="BO4A31B59F426F4F18A5771DA2EC922232" hidden="1">#REF!</definedName>
    <definedName name="BO4A3CCAABFA3E48BAA657510D5AE3F528" localSheetId="7" hidden="1">#REF!</definedName>
    <definedName name="BO4A3CCAABFA3E48BAA657510D5AE3F528" hidden="1">#REF!</definedName>
    <definedName name="BO4A81DCC5A43B4F5782D9892C5C8B0E51" localSheetId="7" hidden="1">#REF!</definedName>
    <definedName name="BO4A81DCC5A43B4F5782D9892C5C8B0E51" hidden="1">#REF!</definedName>
    <definedName name="BO4A85A3B1444843C5AB02860EE73A2577" localSheetId="7" hidden="1">#REF!</definedName>
    <definedName name="BO4A85A3B1444843C5AB02860EE73A2577" hidden="1">#REF!</definedName>
    <definedName name="BO4A8C25EE41F74826991095E6F74A09B0" localSheetId="7" hidden="1">#REF!</definedName>
    <definedName name="BO4A8C25EE41F74826991095E6F74A09B0" hidden="1">#REF!</definedName>
    <definedName name="BO4A9D8B94F139421E817107FD4804B28B" localSheetId="7" hidden="1">#REF!</definedName>
    <definedName name="BO4A9D8B94F139421E817107FD4804B28B" hidden="1">#REF!</definedName>
    <definedName name="BO4AD26D860773473593E4B8032473A5A3" localSheetId="7" hidden="1">#REF!</definedName>
    <definedName name="BO4AD26D860773473593E4B8032473A5A3" hidden="1">#REF!</definedName>
    <definedName name="BO4AD3CB48709D4A95B497E7391B919AFB" localSheetId="7" hidden="1">#REF!</definedName>
    <definedName name="BO4AD3CB48709D4A95B497E7391B919AFB" hidden="1">#REF!</definedName>
    <definedName name="BO4B10F1509ABC438F81A336DF825BA0E3" localSheetId="7" hidden="1">#REF!</definedName>
    <definedName name="BO4B10F1509ABC438F81A336DF825BA0E3" hidden="1">#REF!</definedName>
    <definedName name="BO4B1DB882FECB49ECA2291D5D03A8E74B" localSheetId="7" hidden="1">#REF!</definedName>
    <definedName name="BO4B1DB882FECB49ECA2291D5D03A8E74B" hidden="1">#REF!</definedName>
    <definedName name="BO4B22715045D0461095390DC7DE7D9EE0" localSheetId="7" hidden="1">#REF!</definedName>
    <definedName name="BO4B22715045D0461095390DC7DE7D9EE0" hidden="1">#REF!</definedName>
    <definedName name="BO4B28E4EEA2A94BC48A0FE0F9897FD4F1" localSheetId="7" hidden="1">#REF!</definedName>
    <definedName name="BO4B28E4EEA2A94BC48A0FE0F9897FD4F1" hidden="1">#REF!</definedName>
    <definedName name="BO4B2B98FE724B4D33A31A31182C35D41F" localSheetId="7" hidden="1">#REF!</definedName>
    <definedName name="BO4B2B98FE724B4D33A31A31182C35D41F" hidden="1">#REF!</definedName>
    <definedName name="BO4B37E938980F449FA54AB75DBB6BE064" localSheetId="7" hidden="1">#REF!</definedName>
    <definedName name="BO4B37E938980F449FA54AB75DBB6BE064" hidden="1">#REF!</definedName>
    <definedName name="BO4B6F250D96D740DE9186B22480D6FBCA" localSheetId="7" hidden="1">#REF!</definedName>
    <definedName name="BO4B6F250D96D740DE9186B22480D6FBCA" hidden="1">#REF!</definedName>
    <definedName name="BO4B88BE49613C4959B14FA0BBCF4BA997" localSheetId="7" hidden="1">#REF!</definedName>
    <definedName name="BO4B88BE49613C4959B14FA0BBCF4BA997" hidden="1">#REF!</definedName>
    <definedName name="BO4B8FD1D546404D319CED96AB1575A1B1" localSheetId="7" hidden="1">#REF!</definedName>
    <definedName name="BO4B8FD1D546404D319CED96AB1575A1B1" hidden="1">#REF!</definedName>
    <definedName name="BO4B9A7CCE06164F1292B6B2961EC3BA0F" localSheetId="7" hidden="1">#REF!</definedName>
    <definedName name="BO4B9A7CCE06164F1292B6B2961EC3BA0F" hidden="1">#REF!</definedName>
    <definedName name="BO4BB579EB3CEC4566A9027609F9BA4352" localSheetId="7" hidden="1">#REF!</definedName>
    <definedName name="BO4BB579EB3CEC4566A9027609F9BA4352" hidden="1">#REF!</definedName>
    <definedName name="BO4BC13D48E44A4B74BCE923F16F08EA08" localSheetId="7" hidden="1">#REF!</definedName>
    <definedName name="BO4BC13D48E44A4B74BCE923F16F08EA08" hidden="1">#REF!</definedName>
    <definedName name="BO4BD3F5D2CE1B4C14A200A3E47757B9C8" localSheetId="7" hidden="1">#REF!</definedName>
    <definedName name="BO4BD3F5D2CE1B4C14A200A3E47757B9C8" hidden="1">#REF!</definedName>
    <definedName name="BO4BF988238EB3413B9CCA2A0C93C92288" localSheetId="7" hidden="1">#REF!</definedName>
    <definedName name="BO4BF988238EB3413B9CCA2A0C93C92288" hidden="1">#REF!</definedName>
    <definedName name="BO4C01A0B9D52340AB86AC2FCA6F1D2D8B" localSheetId="7" hidden="1">#REF!</definedName>
    <definedName name="BO4C01A0B9D52340AB86AC2FCA6F1D2D8B" hidden="1">#REF!</definedName>
    <definedName name="BO4C4C211F09BF40D28117DCE49E894E20" localSheetId="7" hidden="1">#REF!</definedName>
    <definedName name="BO4C4C211F09BF40D28117DCE49E894E20" hidden="1">#REF!</definedName>
    <definedName name="BO4C578602481A4266812252739A201446" localSheetId="7" hidden="1">#REF!</definedName>
    <definedName name="BO4C578602481A4266812252739A201446" hidden="1">#REF!</definedName>
    <definedName name="BO4C7B135940DD4D0FB6D035316DABB0C0" localSheetId="7" hidden="1">#REF!</definedName>
    <definedName name="BO4C7B135940DD4D0FB6D035316DABB0C0" hidden="1">#REF!</definedName>
    <definedName name="BO4C807A8F44994B939DADF3AC67FF38C6" localSheetId="7" hidden="1">#REF!</definedName>
    <definedName name="BO4C807A8F44994B939DADF3AC67FF38C6" hidden="1">#REF!</definedName>
    <definedName name="BO4C87354DD0A64542B842A2FC2FF5804D" localSheetId="7" hidden="1">#REF!</definedName>
    <definedName name="BO4C87354DD0A64542B842A2FC2FF5804D" hidden="1">#REF!</definedName>
    <definedName name="BO4C9553FE9DB94C01A1AEABBB365CF39A" localSheetId="7" hidden="1">#REF!</definedName>
    <definedName name="BO4C9553FE9DB94C01A1AEABBB365CF39A" hidden="1">#REF!</definedName>
    <definedName name="BO4CA0FE2FFBF94CF9A0795A1C2BB0690F" localSheetId="7" hidden="1">#REF!</definedName>
    <definedName name="BO4CA0FE2FFBF94CF9A0795A1C2BB0690F" hidden="1">#REF!</definedName>
    <definedName name="BO4CA2F485273A4F45965E12558A3A5C96" localSheetId="7" hidden="1">#REF!</definedName>
    <definedName name="BO4CA2F485273A4F45965E12558A3A5C96" hidden="1">#REF!</definedName>
    <definedName name="BO4CB3D2B5BC5541EAAFDB28AC2B43AB51" localSheetId="7" hidden="1">#REF!</definedName>
    <definedName name="BO4CB3D2B5BC5541EAAFDB28AC2B43AB51" hidden="1">#REF!</definedName>
    <definedName name="BO4CC91CC54C7A4930B51B51AE12756633" localSheetId="7" hidden="1">#REF!</definedName>
    <definedName name="BO4CC91CC54C7A4930B51B51AE12756633" hidden="1">#REF!</definedName>
    <definedName name="BO4CDEFC3CD4CC41179A1A0F978D78E7F5" localSheetId="7" hidden="1">#REF!</definedName>
    <definedName name="BO4CDEFC3CD4CC41179A1A0F978D78E7F5" hidden="1">#REF!</definedName>
    <definedName name="BO4CE3CA82D58A4C5F99A8815C61880EB8" localSheetId="7" hidden="1">#REF!</definedName>
    <definedName name="BO4CE3CA82D58A4C5F99A8815C61880EB8" hidden="1">#REF!</definedName>
    <definedName name="BO4D0303A6A5B0402F90EA80DDED41CE57" localSheetId="7" hidden="1">#REF!</definedName>
    <definedName name="BO4D0303A6A5B0402F90EA80DDED41CE57" hidden="1">#REF!</definedName>
    <definedName name="BO4D0C5CA4055E4C9DB85ECB4F8A9D97DD" localSheetId="7" hidden="1">#REF!</definedName>
    <definedName name="BO4D0C5CA4055E4C9DB85ECB4F8A9D97DD" hidden="1">#REF!</definedName>
    <definedName name="BO4D1C80FB302D4C2F9D81221378A0F9F7" localSheetId="7" hidden="1">#REF!</definedName>
    <definedName name="BO4D1C80FB302D4C2F9D81221378A0F9F7" hidden="1">#REF!</definedName>
    <definedName name="BO4D1FDF4F87094F1EAD5833D0F7B595C2" localSheetId="7" hidden="1">#REF!</definedName>
    <definedName name="BO4D1FDF4F87094F1EAD5833D0F7B595C2" hidden="1">#REF!</definedName>
    <definedName name="BO4D26B4549F0A4B3F9DEF1634EA34C164" localSheetId="7" hidden="1">#REF!</definedName>
    <definedName name="BO4D26B4549F0A4B3F9DEF1634EA34C164" hidden="1">#REF!</definedName>
    <definedName name="BO4D30904B09664E88B79D3E497CEB1DE2" localSheetId="7" hidden="1">#REF!</definedName>
    <definedName name="BO4D30904B09664E88B79D3E497CEB1DE2" hidden="1">#REF!</definedName>
    <definedName name="BO4D38103CEE8840A8BF8E0A6E1307AF19" localSheetId="7" hidden="1">#REF!</definedName>
    <definedName name="BO4D38103CEE8840A8BF8E0A6E1307AF19" hidden="1">#REF!</definedName>
    <definedName name="BO4D4F6B4607EB466DB9AB6AB04EA2A81D" localSheetId="7" hidden="1">#REF!</definedName>
    <definedName name="BO4D4F6B4607EB466DB9AB6AB04EA2A81D" hidden="1">#REF!</definedName>
    <definedName name="BO4D5592694B954FC193422AC6E32BFE95" localSheetId="7" hidden="1">#REF!</definedName>
    <definedName name="BO4D5592694B954FC193422AC6E32BFE95" hidden="1">#REF!</definedName>
    <definedName name="BO4D805441BB2748D79018C8CFE8F8C296" localSheetId="7" hidden="1">#REF!</definedName>
    <definedName name="BO4D805441BB2748D79018C8CFE8F8C296" hidden="1">#REF!</definedName>
    <definedName name="BO4D89E146E8D14DDD83C469417A9EAA7A" localSheetId="7" hidden="1">#REF!</definedName>
    <definedName name="BO4D89E146E8D14DDD83C469417A9EAA7A" hidden="1">#REF!</definedName>
    <definedName name="BO4DA6DF0915BA41E58F5A20833730C64A" localSheetId="7" hidden="1">#REF!</definedName>
    <definedName name="BO4DA6DF0915BA41E58F5A20833730C64A" hidden="1">#REF!</definedName>
    <definedName name="BO4DDADCF83614423F8F5F37A661D0FAC8" localSheetId="7" hidden="1">#REF!</definedName>
    <definedName name="BO4DDADCF83614423F8F5F37A661D0FAC8" hidden="1">#REF!</definedName>
    <definedName name="BO4E0DC83BAAED4F8684B057D307DD8812" localSheetId="7" hidden="1">#REF!</definedName>
    <definedName name="BO4E0DC83BAAED4F8684B057D307DD8812" hidden="1">#REF!</definedName>
    <definedName name="BO4E248B19CA13489C874AAB31EC210DA7" localSheetId="7" hidden="1">#REF!</definedName>
    <definedName name="BO4E248B19CA13489C874AAB31EC210DA7" hidden="1">#REF!</definedName>
    <definedName name="BO4E50304E45E84B33886639FECAB6DEF8" localSheetId="7" hidden="1">#REF!</definedName>
    <definedName name="BO4E50304E45E84B33886639FECAB6DEF8" hidden="1">#REF!</definedName>
    <definedName name="BO4E6C9AB9A2D4485CAE37FB52F54BF687" localSheetId="7" hidden="1">#REF!</definedName>
    <definedName name="BO4E6C9AB9A2D4485CAE37FB52F54BF687" hidden="1">#REF!</definedName>
    <definedName name="BO4E72DD76A8E941D28F55446B4BB43627" localSheetId="7" hidden="1">#REF!</definedName>
    <definedName name="BO4E72DD76A8E941D28F55446B4BB43627" hidden="1">#REF!</definedName>
    <definedName name="BO4E74D8D400B3437D94868C211BF59822" localSheetId="7" hidden="1">#REF!</definedName>
    <definedName name="BO4E74D8D400B3437D94868C211BF59822" hidden="1">#REF!</definedName>
    <definedName name="BO4E7B95FED0E640C4BEAC07A6618F5B97" localSheetId="7" hidden="1">#REF!</definedName>
    <definedName name="BO4E7B95FED0E640C4BEAC07A6618F5B97" hidden="1">#REF!</definedName>
    <definedName name="BO4E7DFD08514746D0B468B3524B3092C3" localSheetId="7" hidden="1">#REF!</definedName>
    <definedName name="BO4E7DFD08514746D0B468B3524B3092C3" hidden="1">#REF!</definedName>
    <definedName name="BO4E87482D1B134CE58EC5D4215431BC9F" localSheetId="7" hidden="1">#REF!</definedName>
    <definedName name="BO4E87482D1B134CE58EC5D4215431BC9F" hidden="1">#REF!</definedName>
    <definedName name="BO4E8AB3F0E09446FF8B8B87260733FC51" localSheetId="7" hidden="1">#REF!</definedName>
    <definedName name="BO4E8AB3F0E09446FF8B8B87260733FC51" hidden="1">#REF!</definedName>
    <definedName name="BO4E8D9DB2E03A4D898BEF1268AC34C557" localSheetId="7" hidden="1">#REF!</definedName>
    <definedName name="BO4E8D9DB2E03A4D898BEF1268AC34C557" hidden="1">#REF!</definedName>
    <definedName name="BO4F0534B95EC5493885471C092526D524" localSheetId="7" hidden="1">#REF!</definedName>
    <definedName name="BO4F0534B95EC5493885471C092526D524" hidden="1">#REF!</definedName>
    <definedName name="BO4F055691794A4082BD8C098E0ADC138F" localSheetId="7" hidden="1">#REF!</definedName>
    <definedName name="BO4F055691794A4082BD8C098E0ADC138F" hidden="1">#REF!</definedName>
    <definedName name="BO4F118756A1B844BC86A28CB5395671C0" localSheetId="7" hidden="1">#REF!</definedName>
    <definedName name="BO4F118756A1B844BC86A28CB5395671C0" hidden="1">#REF!</definedName>
    <definedName name="BO4F4C91640D7A4A9B85F024D39E56B3E9" localSheetId="7" hidden="1">#REF!</definedName>
    <definedName name="BO4F4C91640D7A4A9B85F024D39E56B3E9" hidden="1">#REF!</definedName>
    <definedName name="BO4F70E4CC37394E3C831A66C58204022C" localSheetId="7" hidden="1">#REF!</definedName>
    <definedName name="BO4F70E4CC37394E3C831A66C58204022C" hidden="1">#REF!</definedName>
    <definedName name="BO4F9DFCB21F0E4596886C599DA648B6E6" localSheetId="7" hidden="1">#REF!</definedName>
    <definedName name="BO4F9DFCB21F0E4596886C599DA648B6E6" hidden="1">#REF!</definedName>
    <definedName name="BO4FA8B03B806146A8B302B71928919C57" localSheetId="7" hidden="1">#REF!</definedName>
    <definedName name="BO4FA8B03B806146A8B302B71928919C57" hidden="1">#REF!</definedName>
    <definedName name="BO4FB5ABFAEF9B436983B78532229CA9CC" localSheetId="7" hidden="1">#REF!</definedName>
    <definedName name="BO4FB5ABFAEF9B436983B78532229CA9CC" hidden="1">#REF!</definedName>
    <definedName name="BO4FB9E9E0984D48DAB42970D3AC0F105C" localSheetId="7" hidden="1">#REF!</definedName>
    <definedName name="BO4FB9E9E0984D48DAB42970D3AC0F105C" hidden="1">#REF!</definedName>
    <definedName name="BO4FC79F8740174F639EE9B4093B49B0A2" localSheetId="7" hidden="1">#REF!</definedName>
    <definedName name="BO4FC79F8740174F639EE9B4093B49B0A2" hidden="1">#REF!</definedName>
    <definedName name="BO4FC97322F4584E8DB94814C604821F1B" localSheetId="7" hidden="1">#REF!</definedName>
    <definedName name="BO4FC97322F4584E8DB94814C604821F1B" hidden="1">#REF!</definedName>
    <definedName name="BO4FD3A50A9CA04B218E1FD8135DF6A520" localSheetId="7" hidden="1">#REF!</definedName>
    <definedName name="BO4FD3A50A9CA04B218E1FD8135DF6A520" hidden="1">#REF!</definedName>
    <definedName name="BO4FEB8310CB3847779B10E216C7D4EEE4" localSheetId="7" hidden="1">#REF!</definedName>
    <definedName name="BO4FEB8310CB3847779B10E216C7D4EEE4" hidden="1">#REF!</definedName>
    <definedName name="BO4FF541CE823A4C4E92CBB33F7822DD91" localSheetId="7" hidden="1">#REF!</definedName>
    <definedName name="BO4FF541CE823A4C4E92CBB33F7822DD91" hidden="1">#REF!</definedName>
    <definedName name="BO500857F640D247068E9F791B3916F5E8" localSheetId="7" hidden="1">#REF!</definedName>
    <definedName name="BO500857F640D247068E9F791B3916F5E8" hidden="1">#REF!</definedName>
    <definedName name="BO500AADB4F953483B9470D8B60E18C9D4" localSheetId="7" hidden="1">#REF!</definedName>
    <definedName name="BO500AADB4F953483B9470D8B60E18C9D4" hidden="1">#REF!</definedName>
    <definedName name="BO501C70F912AD47FC8B1E2AC637B14E44" localSheetId="7" hidden="1">#REF!</definedName>
    <definedName name="BO501C70F912AD47FC8B1E2AC637B14E44" hidden="1">#REF!</definedName>
    <definedName name="BO50205180452B44EF87F6749422D9A610" localSheetId="7" hidden="1">#REF!</definedName>
    <definedName name="BO50205180452B44EF87F6749422D9A610" hidden="1">#REF!</definedName>
    <definedName name="BO503700BFAD8C49B0A7E0B914FC8016C4" localSheetId="7" hidden="1">#REF!</definedName>
    <definedName name="BO503700BFAD8C49B0A7E0B914FC8016C4" hidden="1">#REF!</definedName>
    <definedName name="BO5054688974774497902F24C0B4AB6088" localSheetId="7" hidden="1">#REF!</definedName>
    <definedName name="BO5054688974774497902F24C0B4AB6088" hidden="1">#REF!</definedName>
    <definedName name="BO505845372954444AA3D91C03A66AC034" localSheetId="7" hidden="1">#REF!</definedName>
    <definedName name="BO505845372954444AA3D91C03A66AC034" hidden="1">#REF!</definedName>
    <definedName name="BO505FD739C30E425C809919AC55209784" localSheetId="7" hidden="1">#REF!</definedName>
    <definedName name="BO505FD739C30E425C809919AC55209784" hidden="1">#REF!</definedName>
    <definedName name="BO506533968F7B47838952A20A9A48F4FD" localSheetId="7" hidden="1">#REF!</definedName>
    <definedName name="BO506533968F7B47838952A20A9A48F4FD" hidden="1">#REF!</definedName>
    <definedName name="BO506611841F3340A580D14FC65F0808C2" localSheetId="7" hidden="1">#REF!</definedName>
    <definedName name="BO506611841F3340A580D14FC65F0808C2" hidden="1">#REF!</definedName>
    <definedName name="BO5075869F635F45F9BF25DE4F517C11CB" localSheetId="7" hidden="1">#REF!</definedName>
    <definedName name="BO5075869F635F45F9BF25DE4F517C11CB" hidden="1">#REF!</definedName>
    <definedName name="BO507B95A2DC0D47E3B9E7FD19175A9AD1" localSheetId="7" hidden="1">#REF!</definedName>
    <definedName name="BO507B95A2DC0D47E3B9E7FD19175A9AD1" hidden="1">#REF!</definedName>
    <definedName name="BO508E84B9CB4D444FB0874509F1999DFA" localSheetId="7" hidden="1">#REF!</definedName>
    <definedName name="BO508E84B9CB4D444FB0874509F1999DFA" hidden="1">#REF!</definedName>
    <definedName name="BO50BAF4C5A7414AC9B5D878563FB4EA5E" localSheetId="7" hidden="1">#REF!</definedName>
    <definedName name="BO50BAF4C5A7414AC9B5D878563FB4EA5E" hidden="1">#REF!</definedName>
    <definedName name="BO50C77AD21F0649CFB8A43B7EE50ECC2F" localSheetId="7" hidden="1">#REF!</definedName>
    <definedName name="BO50C77AD21F0649CFB8A43B7EE50ECC2F" hidden="1">#REF!</definedName>
    <definedName name="BO50CC4B5A61624A7FAA9A7258A5A966B6" localSheetId="7" hidden="1">#REF!</definedName>
    <definedName name="BO50CC4B5A61624A7FAA9A7258A5A966B6" hidden="1">#REF!</definedName>
    <definedName name="BO50ED205FB15F451A9EF236660A84E0F8" localSheetId="7" hidden="1">#REF!</definedName>
    <definedName name="BO50ED205FB15F451A9EF236660A84E0F8" hidden="1">#REF!</definedName>
    <definedName name="BO50EEB148FE754E06B8106CBAA9832672" localSheetId="7" hidden="1">#REF!</definedName>
    <definedName name="BO50EEB148FE754E06B8106CBAA9832672" hidden="1">#REF!</definedName>
    <definedName name="BO51022228D93D4FEDAF3BDE4A1396ED6E" localSheetId="7" hidden="1">#REF!</definedName>
    <definedName name="BO51022228D93D4FEDAF3BDE4A1396ED6E" hidden="1">#REF!</definedName>
    <definedName name="BO510C71D1BF7E4303849F9052695E8D66" localSheetId="7" hidden="1">#REF!</definedName>
    <definedName name="BO510C71D1BF7E4303849F9052695E8D66" hidden="1">#REF!</definedName>
    <definedName name="BO513CF47FCE334020A010393FDDE62B1E" localSheetId="7" hidden="1">#REF!</definedName>
    <definedName name="BO513CF47FCE334020A010393FDDE62B1E" hidden="1">#REF!</definedName>
    <definedName name="BO5140F8C96A1F4EA1AD2FCC630676F3D7" localSheetId="7" hidden="1">#REF!</definedName>
    <definedName name="BO5140F8C96A1F4EA1AD2FCC630676F3D7" hidden="1">#REF!</definedName>
    <definedName name="BO514561C379BD47D39D3580FD6A0AE504" localSheetId="7" hidden="1">#REF!</definedName>
    <definedName name="BO514561C379BD47D39D3580FD6A0AE504" hidden="1">#REF!</definedName>
    <definedName name="BO514F41CA3A62442C9C1A5546D49D3105" localSheetId="7" hidden="1">#REF!</definedName>
    <definedName name="BO514F41CA3A62442C9C1A5546D49D3105" hidden="1">#REF!</definedName>
    <definedName name="BO5154F471200340139F62161181046092" localSheetId="7" hidden="1">#REF!</definedName>
    <definedName name="BO5154F471200340139F62161181046092" hidden="1">#REF!</definedName>
    <definedName name="BO515D33820DAC4B70B8A5D3717CC9C341" localSheetId="7" hidden="1">#REF!</definedName>
    <definedName name="BO515D33820DAC4B70B8A5D3717CC9C341" hidden="1">#REF!</definedName>
    <definedName name="BO516783DAE9B64FEE8C0728ED667BF627" localSheetId="7" hidden="1">#REF!</definedName>
    <definedName name="BO516783DAE9B64FEE8C0728ED667BF627" hidden="1">#REF!</definedName>
    <definedName name="BO516868582B0E4725B65FCC916FDCA604" localSheetId="7" hidden="1">#REF!</definedName>
    <definedName name="BO516868582B0E4725B65FCC916FDCA604" hidden="1">#REF!</definedName>
    <definedName name="BO51782BBB39EC4BA98B6172FC99E120E7" localSheetId="7" hidden="1">#REF!</definedName>
    <definedName name="BO51782BBB39EC4BA98B6172FC99E120E7" hidden="1">#REF!</definedName>
    <definedName name="BO517E5D460B1C4B5B8E49FD356F98CDAB" localSheetId="7" hidden="1">#REF!</definedName>
    <definedName name="BO517E5D460B1C4B5B8E49FD356F98CDAB" hidden="1">#REF!</definedName>
    <definedName name="BO518134893E53485696280AEACAD14E2B" localSheetId="7" hidden="1">#REF!</definedName>
    <definedName name="BO518134893E53485696280AEACAD14E2B" hidden="1">#REF!</definedName>
    <definedName name="BO51919CAF50DA4DE8B264A4B7C8FCE01E" localSheetId="7" hidden="1">#REF!</definedName>
    <definedName name="BO51919CAF50DA4DE8B264A4B7C8FCE01E" hidden="1">#REF!</definedName>
    <definedName name="BO519AD2CD335E48A397445937E0F0B9FB" localSheetId="7" hidden="1">#REF!</definedName>
    <definedName name="BO519AD2CD335E48A397445937E0F0B9FB" hidden="1">#REF!</definedName>
    <definedName name="BO51A362F97AE04312BE18B023DECBD9D2" localSheetId="7" hidden="1">#REF!</definedName>
    <definedName name="BO51A362F97AE04312BE18B023DECBD9D2" hidden="1">#REF!</definedName>
    <definedName name="BO51A769AA71B149879EA36E3071AB20BE" localSheetId="7" hidden="1">#REF!</definedName>
    <definedName name="BO51A769AA71B149879EA36E3071AB20BE" hidden="1">#REF!</definedName>
    <definedName name="BO51ADF0360D914A7CB059F00936E02775" localSheetId="7" hidden="1">#REF!</definedName>
    <definedName name="BO51ADF0360D914A7CB059F00936E02775" hidden="1">#REF!</definedName>
    <definedName name="BO51B02C85F5344825AA90913D8EB49F83" localSheetId="7" hidden="1">#REF!</definedName>
    <definedName name="BO51B02C85F5344825AA90913D8EB49F83" hidden="1">#REF!</definedName>
    <definedName name="BO51B04B987B89494E822301EA3CB084B3" localSheetId="7" hidden="1">#REF!</definedName>
    <definedName name="BO51B04B987B89494E822301EA3CB084B3" hidden="1">#REF!</definedName>
    <definedName name="BO51C3D253D7BD48158BA9B1DC6341BC8E" localSheetId="7" hidden="1">#REF!</definedName>
    <definedName name="BO51C3D253D7BD48158BA9B1DC6341BC8E" hidden="1">#REF!</definedName>
    <definedName name="BO51E855D648AD400BA0E725939BB4E211" localSheetId="7" hidden="1">#REF!</definedName>
    <definedName name="BO51E855D648AD400BA0E725939BB4E211" hidden="1">#REF!</definedName>
    <definedName name="BO51F5EF48B54D486D881C7A934456D61C" localSheetId="7" hidden="1">#REF!</definedName>
    <definedName name="BO51F5EF48B54D486D881C7A934456D61C" hidden="1">#REF!</definedName>
    <definedName name="BO5201E5AA8469437FA432E1BC2991BE11" localSheetId="7" hidden="1">#REF!</definedName>
    <definedName name="BO5201E5AA8469437FA432E1BC2991BE11" hidden="1">#REF!</definedName>
    <definedName name="BO5208E01828BF4D1AB9013437E3B5D605" localSheetId="7" hidden="1">#REF!</definedName>
    <definedName name="BO5208E01828BF4D1AB9013437E3B5D605" hidden="1">#REF!</definedName>
    <definedName name="BO521DADE9F3AA446FBC8687BE7D0BFB21" localSheetId="7" hidden="1">#REF!</definedName>
    <definedName name="BO521DADE9F3AA446FBC8687BE7D0BFB21" hidden="1">#REF!</definedName>
    <definedName name="BO5240FAA871E84B788B28337E43BC806D" localSheetId="7" hidden="1">#REF!</definedName>
    <definedName name="BO5240FAA871E84B788B28337E43BC806D" hidden="1">#REF!</definedName>
    <definedName name="BO5245431348D546D3B3945E8A54D5B55A" localSheetId="7" hidden="1">#REF!</definedName>
    <definedName name="BO5245431348D546D3B3945E8A54D5B55A" hidden="1">#REF!</definedName>
    <definedName name="BO526A2C6C3C33436EB264F56C2B2CBF54" localSheetId="7" hidden="1">#REF!</definedName>
    <definedName name="BO526A2C6C3C33436EB264F56C2B2CBF54" hidden="1">#REF!</definedName>
    <definedName name="BO527825DCD5A64568B8FC76762A81E81A" localSheetId="7" hidden="1">#REF!</definedName>
    <definedName name="BO527825DCD5A64568B8FC76762A81E81A" hidden="1">#REF!</definedName>
    <definedName name="BO527BBFFB8EA048E9B7DBB004715D8530" localSheetId="7" hidden="1">#REF!</definedName>
    <definedName name="BO527BBFFB8EA048E9B7DBB004715D8530" hidden="1">#REF!</definedName>
    <definedName name="BO529D2E4ED67C42269C1AC6D4F4C9865B" localSheetId="7" hidden="1">#REF!</definedName>
    <definedName name="BO529D2E4ED67C42269C1AC6D4F4C9865B" hidden="1">#REF!</definedName>
    <definedName name="BO52B4496CBB1244B1A61431AB31BF473A" localSheetId="7" hidden="1">#REF!</definedName>
    <definedName name="BO52B4496CBB1244B1A61431AB31BF473A" hidden="1">#REF!</definedName>
    <definedName name="BO52CA7D08993E4464B323C43107539529" localSheetId="7" hidden="1">#REF!</definedName>
    <definedName name="BO52CA7D08993E4464B323C43107539529" hidden="1">#REF!</definedName>
    <definedName name="BO52CE7AC8CAA8408AB46FAAA3E309B697" localSheetId="7" hidden="1">#REF!</definedName>
    <definedName name="BO52CE7AC8CAA8408AB46FAAA3E309B697" hidden="1">#REF!</definedName>
    <definedName name="BO52CFC5B516F24C33ADE9C4433C46B0A0" localSheetId="7" hidden="1">#REF!</definedName>
    <definedName name="BO52CFC5B516F24C33ADE9C4433C46B0A0" hidden="1">#REF!</definedName>
    <definedName name="BO52DAD25039AA4C9A996E42BC4A7F5211" localSheetId="7" hidden="1">#REF!</definedName>
    <definedName name="BO52DAD25039AA4C9A996E42BC4A7F5211" hidden="1">#REF!</definedName>
    <definedName name="BO52DB49AA028A475092D15B90FA1870A3" localSheetId="7" hidden="1">#REF!</definedName>
    <definedName name="BO52DB49AA028A475092D15B90FA1870A3" hidden="1">#REF!</definedName>
    <definedName name="BO52E4A6C85B8242D1A9DCA6D7FAAE7F6E" localSheetId="7" hidden="1">#REF!</definedName>
    <definedName name="BO52E4A6C85B8242D1A9DCA6D7FAAE7F6E" hidden="1">#REF!</definedName>
    <definedName name="BO52E7C6F33BF049E0A121EA77C21C81E9" localSheetId="7" hidden="1">#REF!</definedName>
    <definedName name="BO52E7C6F33BF049E0A121EA77C21C81E9" hidden="1">#REF!</definedName>
    <definedName name="BO52F3FCB270EE4F47B62D69BF0815870B" localSheetId="7" hidden="1">#REF!</definedName>
    <definedName name="BO52F3FCB270EE4F47B62D69BF0815870B" hidden="1">#REF!</definedName>
    <definedName name="BO5300224AD05D49DBBE4D8506ADB7D1CB" localSheetId="7" hidden="1">#REF!</definedName>
    <definedName name="BO5300224AD05D49DBBE4D8506ADB7D1CB" hidden="1">#REF!</definedName>
    <definedName name="BO5315E165A7604EBAB23C1A7882A6B76B" localSheetId="7" hidden="1">#REF!</definedName>
    <definedName name="BO5315E165A7604EBAB23C1A7882A6B76B" hidden="1">#REF!</definedName>
    <definedName name="BO5334C9DC336B4C7EA4A5B74C8CBCFEE0" localSheetId="7" hidden="1">#REF!</definedName>
    <definedName name="BO5334C9DC336B4C7EA4A5B74C8CBCFEE0" hidden="1">#REF!</definedName>
    <definedName name="BO5342F1F5303D47ADA1402A0F3A39C69D" localSheetId="7" hidden="1">#REF!</definedName>
    <definedName name="BO5342F1F5303D47ADA1402A0F3A39C69D" hidden="1">#REF!</definedName>
    <definedName name="BO5359FDBA082640EFBE9E070A38AA2BF1" localSheetId="7" hidden="1">#REF!</definedName>
    <definedName name="BO5359FDBA082640EFBE9E070A38AA2BF1" hidden="1">#REF!</definedName>
    <definedName name="BO53656B3A05BC419BA69040E193C7DFCC" localSheetId="7" hidden="1">#REF!</definedName>
    <definedName name="BO53656B3A05BC419BA69040E193C7DFCC" hidden="1">#REF!</definedName>
    <definedName name="BO53773F3C5560457C88707832CDFC3A68" localSheetId="7" hidden="1">#REF!</definedName>
    <definedName name="BO53773F3C5560457C88707832CDFC3A68" hidden="1">#REF!</definedName>
    <definedName name="BO53956134D2C9414EA16BD899F1E61A91" localSheetId="7" hidden="1">#REF!</definedName>
    <definedName name="BO53956134D2C9414EA16BD899F1E61A91" hidden="1">#REF!</definedName>
    <definedName name="BO53A2A7127FA24E229C5E8D819A4BC28E" localSheetId="7" hidden="1">#REF!</definedName>
    <definedName name="BO53A2A7127FA24E229C5E8D819A4BC28E" hidden="1">#REF!</definedName>
    <definedName name="BO53ACEECE596142E3A8822003B25CA242" localSheetId="7" hidden="1">#REF!</definedName>
    <definedName name="BO53ACEECE596142E3A8822003B25CA242" hidden="1">#REF!</definedName>
    <definedName name="BO53D98870F865488B98DA078A4B060382" localSheetId="7" hidden="1">#REF!</definedName>
    <definedName name="BO53D98870F865488B98DA078A4B060382" hidden="1">#REF!</definedName>
    <definedName name="BO53DF0CE77CA447D18CB1B90DBB78D5B9" localSheetId="7" hidden="1">#REF!</definedName>
    <definedName name="BO53DF0CE77CA447D18CB1B90DBB78D5B9" hidden="1">#REF!</definedName>
    <definedName name="BO540AB6AEBC3B4C25975BD672BBEDF65D" localSheetId="7" hidden="1">#REF!</definedName>
    <definedName name="BO540AB6AEBC3B4C25975BD672BBEDF65D" hidden="1">#REF!</definedName>
    <definedName name="BO5418D83157AC4E20B1B15A1965459098" localSheetId="7" hidden="1">#REF!</definedName>
    <definedName name="BO5418D83157AC4E20B1B15A1965459098" hidden="1">#REF!</definedName>
    <definedName name="BO5426B0E0AA794153A0C6A75A4AB16B46" localSheetId="7" hidden="1">#REF!</definedName>
    <definedName name="BO5426B0E0AA794153A0C6A75A4AB16B46" hidden="1">#REF!</definedName>
    <definedName name="BO54298E045FB0472097D2AA92FF010D3F" localSheetId="7" hidden="1">#REF!</definedName>
    <definedName name="BO54298E045FB0472097D2AA92FF010D3F" hidden="1">#REF!</definedName>
    <definedName name="BO548574AC0B314E7CB8665CC9215948A8" localSheetId="7" hidden="1">#REF!</definedName>
    <definedName name="BO548574AC0B314E7CB8665CC9215948A8" hidden="1">#REF!</definedName>
    <definedName name="BO54933F928B244CE5B665FC1E0486BAC4" localSheetId="7" hidden="1">#REF!</definedName>
    <definedName name="BO54933F928B244CE5B665FC1E0486BAC4" hidden="1">#REF!</definedName>
    <definedName name="BO549A2912D20D4549BDFE43BB6808E1CD" localSheetId="7" hidden="1">#REF!</definedName>
    <definedName name="BO549A2912D20D4549BDFE43BB6808E1CD" hidden="1">#REF!</definedName>
    <definedName name="BO54BFC70932C5417F97959307F0A2BB0F" localSheetId="7" hidden="1">#REF!</definedName>
    <definedName name="BO54BFC70932C5417F97959307F0A2BB0F" hidden="1">#REF!</definedName>
    <definedName name="BO54CC696DA87F4D8B9B92B156E51FF1F2" localSheetId="7" hidden="1">#REF!</definedName>
    <definedName name="BO54CC696DA87F4D8B9B92B156E51FF1F2" hidden="1">#REF!</definedName>
    <definedName name="BO54D896EDB98E4602B7FC47ECEAA78548" localSheetId="7" hidden="1">#REF!</definedName>
    <definedName name="BO54D896EDB98E4602B7FC47ECEAA78548" hidden="1">#REF!</definedName>
    <definedName name="BO54DB1A168296400894181B54AF79592C" localSheetId="7" hidden="1">#REF!</definedName>
    <definedName name="BO54DB1A168296400894181B54AF79592C" hidden="1">#REF!</definedName>
    <definedName name="BO550EA86697414D4F91E4FC5E148B299A" localSheetId="7" hidden="1">#REF!</definedName>
    <definedName name="BO550EA86697414D4F91E4FC5E148B299A" hidden="1">#REF!</definedName>
    <definedName name="BO55131074BA2D41F6A64FEAF173B42F5F" localSheetId="7" hidden="1">#REF!</definedName>
    <definedName name="BO55131074BA2D41F6A64FEAF173B42F5F" hidden="1">#REF!</definedName>
    <definedName name="BO551DAF5B8F3D412E89861AFC5B6D3207" localSheetId="7" hidden="1">#REF!</definedName>
    <definedName name="BO551DAF5B8F3D412E89861AFC5B6D3207" hidden="1">#REF!</definedName>
    <definedName name="BO5538244252754572AF86481A428E048B" localSheetId="7" hidden="1">#REF!</definedName>
    <definedName name="BO5538244252754572AF86481A428E048B" hidden="1">#REF!</definedName>
    <definedName name="BO553EC8674AA64001946ED5B8D6122736" localSheetId="7" hidden="1">#REF!</definedName>
    <definedName name="BO553EC8674AA64001946ED5B8D6122736" hidden="1">#REF!</definedName>
    <definedName name="BO55487D25A02E41429B55DED291B1C97A" localSheetId="7" hidden="1">#REF!</definedName>
    <definedName name="BO55487D25A02E41429B55DED291B1C97A" hidden="1">#REF!</definedName>
    <definedName name="BO5567F20F0B734740AD4C506C38DD4BB4" localSheetId="7" hidden="1">#REF!</definedName>
    <definedName name="BO5567F20F0B734740AD4C506C38DD4BB4" hidden="1">#REF!</definedName>
    <definedName name="BO556A989CABED4488863482B883E17AA4" localSheetId="7" hidden="1">#REF!</definedName>
    <definedName name="BO556A989CABED4488863482B883E17AA4" hidden="1">#REF!</definedName>
    <definedName name="BO55720EFBD28944EBAB50006F14883916" localSheetId="7" hidden="1">#REF!</definedName>
    <definedName name="BO55720EFBD28944EBAB50006F14883916" hidden="1">#REF!</definedName>
    <definedName name="BO5583DD626C894BF19767B4692B9BA71D" localSheetId="7" hidden="1">#REF!</definedName>
    <definedName name="BO5583DD626C894BF19767B4692B9BA71D" hidden="1">#REF!</definedName>
    <definedName name="BO55A74229896B40BD822CE5643B6AACDD" localSheetId="7" hidden="1">#REF!</definedName>
    <definedName name="BO55A74229896B40BD822CE5643B6AACDD" hidden="1">#REF!</definedName>
    <definedName name="BO55B12889B27A4B2892F4832802B3CE5A" localSheetId="7" hidden="1">#REF!</definedName>
    <definedName name="BO55B12889B27A4B2892F4832802B3CE5A" hidden="1">#REF!</definedName>
    <definedName name="BO55B8D55E1B414ED492819CC616F2295F" localSheetId="7" hidden="1">#REF!</definedName>
    <definedName name="BO55B8D55E1B414ED492819CC616F2295F" hidden="1">#REF!</definedName>
    <definedName name="BO55D7CA15C81A4701A748969E17F6C5E6" localSheetId="7" hidden="1">#REF!</definedName>
    <definedName name="BO55D7CA15C81A4701A748969E17F6C5E6" hidden="1">#REF!</definedName>
    <definedName name="BO561ED28D5B424B03A9F46A400C4C4950" localSheetId="7" hidden="1">#REF!</definedName>
    <definedName name="BO561ED28D5B424B03A9F46A400C4C4950" hidden="1">#REF!</definedName>
    <definedName name="BO5625CB4DD554421BAB120E6917139431" localSheetId="7" hidden="1">#REF!</definedName>
    <definedName name="BO5625CB4DD554421BAB120E6917139431" hidden="1">#REF!</definedName>
    <definedName name="BO566BDA2FF3264BFA867B4E5BC19D1FE8" localSheetId="7" hidden="1">#REF!</definedName>
    <definedName name="BO566BDA2FF3264BFA867B4E5BC19D1FE8" hidden="1">#REF!</definedName>
    <definedName name="BO56BCCB7525144785B1A43691A9E8F083" localSheetId="7" hidden="1">#REF!</definedName>
    <definedName name="BO56BCCB7525144785B1A43691A9E8F083" hidden="1">#REF!</definedName>
    <definedName name="BO56C72108D62F4D0A8CB82CD4C7A4F901" localSheetId="7" hidden="1">#REF!</definedName>
    <definedName name="BO56C72108D62F4D0A8CB82CD4C7A4F901" hidden="1">#REF!</definedName>
    <definedName name="BO56CF55BF8C374B51A8AE194968F3C58A" localSheetId="7" hidden="1">#REF!</definedName>
    <definedName name="BO56CF55BF8C374B51A8AE194968F3C58A" hidden="1">#REF!</definedName>
    <definedName name="BO56E195B7007640BA96BB133064B850DA" localSheetId="7" hidden="1">#REF!</definedName>
    <definedName name="BO56E195B7007640BA96BB133064B850DA" hidden="1">#REF!</definedName>
    <definedName name="BO56E87FCA2B854EA19B59B3EB5DBDFA3E" localSheetId="7" hidden="1">#REF!</definedName>
    <definedName name="BO56E87FCA2B854EA19B59B3EB5DBDFA3E" hidden="1">#REF!</definedName>
    <definedName name="BO56F1BD0D03B2404B9066B26ED5D3855A" localSheetId="7" hidden="1">#REF!</definedName>
    <definedName name="BO56F1BD0D03B2404B9066B26ED5D3855A" hidden="1">#REF!</definedName>
    <definedName name="BO56F7491560AB463F957D05628F7E1B89" localSheetId="7" hidden="1">#REF!</definedName>
    <definedName name="BO56F7491560AB463F957D05628F7E1B89" hidden="1">#REF!</definedName>
    <definedName name="BO56F8F59E62B14A9B921EC2DF8CE529AE" localSheetId="7" hidden="1">#REF!</definedName>
    <definedName name="BO56F8F59E62B14A9B921EC2DF8CE529AE" hidden="1">#REF!</definedName>
    <definedName name="BO56F9D79591B84A1FB9664340C57B85D2" localSheetId="7" hidden="1">#REF!</definedName>
    <definedName name="BO56F9D79591B84A1FB9664340C57B85D2" hidden="1">#REF!</definedName>
    <definedName name="BO5712FCC70BE142DBBD40789AA41CDB2B" localSheetId="7" hidden="1">#REF!</definedName>
    <definedName name="BO5712FCC70BE142DBBD40789AA41CDB2B" hidden="1">#REF!</definedName>
    <definedName name="BO57141240FE6F41BEBB69A2EDDD5BB550" localSheetId="7" hidden="1">#REF!</definedName>
    <definedName name="BO57141240FE6F41BEBB69A2EDDD5BB550" hidden="1">#REF!</definedName>
    <definedName name="BO571C890DD1E94F88ABFD73B70837F3F1" localSheetId="7" hidden="1">#REF!</definedName>
    <definedName name="BO571C890DD1E94F88ABFD73B70837F3F1" hidden="1">#REF!</definedName>
    <definedName name="BO571CF5FDCF414C9B97EE83816EA9F06D" localSheetId="7" hidden="1">#REF!</definedName>
    <definedName name="BO571CF5FDCF414C9B97EE83816EA9F06D" hidden="1">#REF!</definedName>
    <definedName name="BO57402C3EBBCB45CAAEBC50CADD79CA6D" localSheetId="7" hidden="1">#REF!</definedName>
    <definedName name="BO57402C3EBBCB45CAAEBC50CADD79CA6D" hidden="1">#REF!</definedName>
    <definedName name="BO5742AC93BE5E460B81DE279D1E231FA2" localSheetId="7" hidden="1">#REF!</definedName>
    <definedName name="BO5742AC93BE5E460B81DE279D1E231FA2" hidden="1">#REF!</definedName>
    <definedName name="BO57456852E39D43A492AF434463475BEB" localSheetId="7" hidden="1">#REF!</definedName>
    <definedName name="BO57456852E39D43A492AF434463475BEB" hidden="1">#REF!</definedName>
    <definedName name="BO574B4579CC82445AA6E5416011211611" localSheetId="7" hidden="1">#REF!</definedName>
    <definedName name="BO574B4579CC82445AA6E5416011211611" hidden="1">#REF!</definedName>
    <definedName name="BO577DA39928194FA7A0684AAE59092C29" localSheetId="7" hidden="1">#REF!</definedName>
    <definedName name="BO577DA39928194FA7A0684AAE59092C29" hidden="1">#REF!</definedName>
    <definedName name="BO577E3F13CB3442AC9AE65CBE2A0F31CE" localSheetId="7" hidden="1">#REF!</definedName>
    <definedName name="BO577E3F13CB3442AC9AE65CBE2A0F31CE" hidden="1">#REF!</definedName>
    <definedName name="BO5784CB53DE0C433AAB125AD216CF170F" localSheetId="7" hidden="1">#REF!</definedName>
    <definedName name="BO5784CB53DE0C433AAB125AD216CF170F" hidden="1">#REF!</definedName>
    <definedName name="BO5796C270F1AA4AD18E30F087C0B61F15" localSheetId="7" hidden="1">#REF!</definedName>
    <definedName name="BO5796C270F1AA4AD18E30F087C0B61F15" hidden="1">#REF!</definedName>
    <definedName name="BO57A46EC642F244B38D7D1EFCB096EB71" localSheetId="7" hidden="1">#REF!</definedName>
    <definedName name="BO57A46EC642F244B38D7D1EFCB096EB71" hidden="1">#REF!</definedName>
    <definedName name="BO57A66A252D6E4E88BB1BF5E13A7A3BFD" localSheetId="7" hidden="1">#REF!</definedName>
    <definedName name="BO57A66A252D6E4E88BB1BF5E13A7A3BFD" hidden="1">#REF!</definedName>
    <definedName name="BO57C2D89C303948A9A4002A7AC76EBC61" localSheetId="7" hidden="1">#REF!</definedName>
    <definedName name="BO57C2D89C303948A9A4002A7AC76EBC61" hidden="1">#REF!</definedName>
    <definedName name="BO57CE3ECBA9A341F7A40365B0E8E39984" localSheetId="7" hidden="1">#REF!</definedName>
    <definedName name="BO57CE3ECBA9A341F7A40365B0E8E39984" hidden="1">#REF!</definedName>
    <definedName name="BO57CFF94F25034D66A8CDA733F14ED05F" localSheetId="7" hidden="1">#REF!</definedName>
    <definedName name="BO57CFF94F25034D66A8CDA733F14ED05F" hidden="1">#REF!</definedName>
    <definedName name="BO57D29DC65D4A4B63BF883AF858510E75" localSheetId="7" hidden="1">#REF!</definedName>
    <definedName name="BO57D29DC65D4A4B63BF883AF858510E75" hidden="1">#REF!</definedName>
    <definedName name="BO57D34224C7724B738FA983F4B52ABBD3" localSheetId="7" hidden="1">#REF!</definedName>
    <definedName name="BO57D34224C7724B738FA983F4B52ABBD3" hidden="1">#REF!</definedName>
    <definedName name="BO5801A306AB1B4031BD107552C160B8D4" localSheetId="7" hidden="1">#REF!</definedName>
    <definedName name="BO5801A306AB1B4031BD107552C160B8D4" hidden="1">#REF!</definedName>
    <definedName name="BO58145F61BCF74C0CB59F574ED0680EE2" localSheetId="7" hidden="1">#REF!</definedName>
    <definedName name="BO58145F61BCF74C0CB59F574ED0680EE2" hidden="1">#REF!</definedName>
    <definedName name="BO581A7D7DF87845F9B6D38CA5A7AE9654" localSheetId="7" hidden="1">#REF!</definedName>
    <definedName name="BO581A7D7DF87845F9B6D38CA5A7AE9654" hidden="1">#REF!</definedName>
    <definedName name="BO5827A2EA8F944838B63BED92EA05D1F6" localSheetId="7" hidden="1">#REF!</definedName>
    <definedName name="BO5827A2EA8F944838B63BED92EA05D1F6" hidden="1">#REF!</definedName>
    <definedName name="BO583931B790464A2AB7B46ED61CF292AA" localSheetId="7" hidden="1">#REF!</definedName>
    <definedName name="BO583931B790464A2AB7B46ED61CF292AA" hidden="1">#REF!</definedName>
    <definedName name="BO584E1036090644AEA845FD4C76897147" localSheetId="7" hidden="1">#REF!</definedName>
    <definedName name="BO584E1036090644AEA845FD4C76897147" hidden="1">#REF!</definedName>
    <definedName name="BO5860895BD73F4865AE392F9F6E01DE6E" localSheetId="7" hidden="1">#REF!</definedName>
    <definedName name="BO5860895BD73F4865AE392F9F6E01DE6E" hidden="1">#REF!</definedName>
    <definedName name="BO587F4579FDED4FD69AE84EDE99BC96E8" localSheetId="7" hidden="1">#REF!</definedName>
    <definedName name="BO587F4579FDED4FD69AE84EDE99BC96E8" hidden="1">#REF!</definedName>
    <definedName name="BO588182899E2F4DDF95232BD30975C6FE" localSheetId="7" hidden="1">#REF!</definedName>
    <definedName name="BO588182899E2F4DDF95232BD30975C6FE" hidden="1">#REF!</definedName>
    <definedName name="BO589B8AC3AFE447F39004C49965EE4DE0" localSheetId="7" hidden="1">#REF!</definedName>
    <definedName name="BO589B8AC3AFE447F39004C49965EE4DE0" hidden="1">#REF!</definedName>
    <definedName name="BO58A4C813E8494F639A99F50F89BD29C3" localSheetId="7" hidden="1">#REF!</definedName>
    <definedName name="BO58A4C813E8494F639A99F50F89BD29C3" hidden="1">#REF!</definedName>
    <definedName name="BO58AF467C652E45DD99586AE94DC439C7" localSheetId="7" hidden="1">#REF!</definedName>
    <definedName name="BO58AF467C652E45DD99586AE94DC439C7" hidden="1">#REF!</definedName>
    <definedName name="BO58B38EFB09C44CC5B6C37975BF6D4F2C" localSheetId="7" hidden="1">#REF!</definedName>
    <definedName name="BO58B38EFB09C44CC5B6C37975BF6D4F2C" hidden="1">#REF!</definedName>
    <definedName name="BO58B7D96C53B747759CE23B4448C525E2" localSheetId="7" hidden="1">#REF!</definedName>
    <definedName name="BO58B7D96C53B747759CE23B4448C525E2" hidden="1">#REF!</definedName>
    <definedName name="BO58C1E7DDBC7A4097A389F58CA3CF21CB" localSheetId="7" hidden="1">#REF!</definedName>
    <definedName name="BO58C1E7DDBC7A4097A389F58CA3CF21CB" hidden="1">#REF!</definedName>
    <definedName name="BO58F542437AE34B019E9B1AFB8BFE3AC0" localSheetId="7" hidden="1">#REF!</definedName>
    <definedName name="BO58F542437AE34B019E9B1AFB8BFE3AC0" hidden="1">#REF!</definedName>
    <definedName name="BO58FC93A0839149D19776FB1D01CC8388" localSheetId="7" hidden="1">#REF!</definedName>
    <definedName name="BO58FC93A0839149D19776FB1D01CC8388" hidden="1">#REF!</definedName>
    <definedName name="BO5905DD8674D744F49322CB353355803A" localSheetId="7" hidden="1">#REF!</definedName>
    <definedName name="BO5905DD8674D744F49322CB353355803A" hidden="1">#REF!</definedName>
    <definedName name="BO590DCE3D84BF467B8298FB3258CECD20" localSheetId="7" hidden="1">#REF!</definedName>
    <definedName name="BO590DCE3D84BF467B8298FB3258CECD20" hidden="1">#REF!</definedName>
    <definedName name="BO5923736975864235A8101810C3C76D10" localSheetId="7" hidden="1">#REF!</definedName>
    <definedName name="BO5923736975864235A8101810C3C76D10" hidden="1">#REF!</definedName>
    <definedName name="BO592D58AB9C344C3F9F6BE1133E514A73" localSheetId="7" hidden="1">#REF!</definedName>
    <definedName name="BO592D58AB9C344C3F9F6BE1133E514A73" hidden="1">#REF!</definedName>
    <definedName name="BO594517FED3884C2E8E2470A484A3B45F" localSheetId="7" hidden="1">#REF!</definedName>
    <definedName name="BO594517FED3884C2E8E2470A484A3B45F" hidden="1">#REF!</definedName>
    <definedName name="BO5949B67CD5F5463C8F393E508DE47A16" localSheetId="7" hidden="1">#REF!</definedName>
    <definedName name="BO5949B67CD5F5463C8F393E508DE47A16" hidden="1">#REF!</definedName>
    <definedName name="BO595E9BEA2B9C4E6BBB897536CAF20EAE" localSheetId="7" hidden="1">#REF!</definedName>
    <definedName name="BO595E9BEA2B9C4E6BBB897536CAF20EAE" hidden="1">#REF!</definedName>
    <definedName name="BO59705BB84B9342519CB134B14CE4E1FE" localSheetId="7" hidden="1">#REF!</definedName>
    <definedName name="BO59705BB84B9342519CB134B14CE4E1FE" hidden="1">#REF!</definedName>
    <definedName name="BO59AAD5E650654AD2873285089A7940CC" localSheetId="7" hidden="1">#REF!</definedName>
    <definedName name="BO59AAD5E650654AD2873285089A7940CC" hidden="1">#REF!</definedName>
    <definedName name="BO59BD21BAE9B04F2DA67D0B3A9F5DE166" localSheetId="7" hidden="1">#REF!</definedName>
    <definedName name="BO59BD21BAE9B04F2DA67D0B3A9F5DE166" hidden="1">#REF!</definedName>
    <definedName name="BO59CAFE02563E48D7A51173B7B9B09A6E" localSheetId="7" hidden="1">#REF!</definedName>
    <definedName name="BO59CAFE02563E48D7A51173B7B9B09A6E" hidden="1">#REF!</definedName>
    <definedName name="BO59D3B49218044CD399966F6B0A7B8560" localSheetId="7" hidden="1">#REF!</definedName>
    <definedName name="BO59D3B49218044CD399966F6B0A7B8560" hidden="1">#REF!</definedName>
    <definedName name="BO59E76FB1FA7E4EED9C5ADD088AA3E587" localSheetId="7" hidden="1">#REF!</definedName>
    <definedName name="BO59E76FB1FA7E4EED9C5ADD088AA3E587" hidden="1">#REF!</definedName>
    <definedName name="BO5A18A47791FB475B8589FCF55BD388FD" localSheetId="7" hidden="1">#REF!</definedName>
    <definedName name="BO5A18A47791FB475B8589FCF55BD388FD" hidden="1">#REF!</definedName>
    <definedName name="BO5A2772EE9C5C4A27A28CFC839E8720B4" localSheetId="7" hidden="1">#REF!</definedName>
    <definedName name="BO5A2772EE9C5C4A27A28CFC839E8720B4" hidden="1">#REF!</definedName>
    <definedName name="BO5A2A39AAC0C54BB5931C049565E4BC01" localSheetId="7" hidden="1">#REF!</definedName>
    <definedName name="BO5A2A39AAC0C54BB5931C049565E4BC01" hidden="1">#REF!</definedName>
    <definedName name="BO5A3CBD7BA7E144F4BA3FF75462F431CB" localSheetId="7" hidden="1">#REF!</definedName>
    <definedName name="BO5A3CBD7BA7E144F4BA3FF75462F431CB" hidden="1">#REF!</definedName>
    <definedName name="BO5A3FF2927F4E439791A4DAF0FFDD23D8" localSheetId="7" hidden="1">#REF!</definedName>
    <definedName name="BO5A3FF2927F4E439791A4DAF0FFDD23D8" hidden="1">#REF!</definedName>
    <definedName name="BO5A5699197DB54BB28BD13E2DA0F14289" localSheetId="7" hidden="1">#REF!</definedName>
    <definedName name="BO5A5699197DB54BB28BD13E2DA0F14289" hidden="1">#REF!</definedName>
    <definedName name="BO5A706CD8D97445C7807B783C818A98CA" localSheetId="7" hidden="1">#REF!</definedName>
    <definedName name="BO5A706CD8D97445C7807B783C818A98CA" hidden="1">#REF!</definedName>
    <definedName name="BO5A9E6F886C654BE1AFAAE9A93CDB756E" localSheetId="7" hidden="1">#REF!</definedName>
    <definedName name="BO5A9E6F886C654BE1AFAAE9A93CDB756E" hidden="1">#REF!</definedName>
    <definedName name="BO5AE3F737EA2C480A9261283272BE4929" localSheetId="7" hidden="1">#REF!</definedName>
    <definedName name="BO5AE3F737EA2C480A9261283272BE4929" hidden="1">#REF!</definedName>
    <definedName name="BO5AE5EC4963EF406592C931598F90382C" localSheetId="7" hidden="1">#REF!</definedName>
    <definedName name="BO5AE5EC4963EF406592C931598F90382C" hidden="1">#REF!</definedName>
    <definedName name="BO5AE6DD908BD84D58B369A9AE8ACADB4D" localSheetId="7" hidden="1">#REF!</definedName>
    <definedName name="BO5AE6DD908BD84D58B369A9AE8ACADB4D" hidden="1">#REF!</definedName>
    <definedName name="BO5AF364DCA05D4CFC84C43D9642D525B8" localSheetId="7" hidden="1">#REF!</definedName>
    <definedName name="BO5AF364DCA05D4CFC84C43D9642D525B8" hidden="1">#REF!</definedName>
    <definedName name="BO5B0C867760C1450BB7CB91E03EA62AC1" localSheetId="7" hidden="1">#REF!</definedName>
    <definedName name="BO5B0C867760C1450BB7CB91E03EA62AC1" hidden="1">#REF!</definedName>
    <definedName name="BO5B0D6AC4B74246388227757C07B07EF2" localSheetId="7" hidden="1">#REF!</definedName>
    <definedName name="BO5B0D6AC4B74246388227757C07B07EF2" hidden="1">#REF!</definedName>
    <definedName name="BO5B1B16E3FDAB4A538044A1BC39541BDF" localSheetId="7" hidden="1">#REF!</definedName>
    <definedName name="BO5B1B16E3FDAB4A538044A1BC39541BDF" hidden="1">#REF!</definedName>
    <definedName name="BO5B26E96430B1457F96A93D747455FB0B" localSheetId="7" hidden="1">#REF!</definedName>
    <definedName name="BO5B26E96430B1457F96A93D747455FB0B" hidden="1">#REF!</definedName>
    <definedName name="BO5B30FEF2B440479BB9374A0E89B701F1" localSheetId="7" hidden="1">#REF!</definedName>
    <definedName name="BO5B30FEF2B440479BB9374A0E89B701F1" hidden="1">#REF!</definedName>
    <definedName name="BO5B4CBC82C57C4DF38B3D4636391BCBC0" localSheetId="7" hidden="1">#REF!</definedName>
    <definedName name="BO5B4CBC82C57C4DF38B3D4636391BCBC0" hidden="1">#REF!</definedName>
    <definedName name="BO5B55983316FD4997A5390EABE82FACA0" localSheetId="7" hidden="1">#REF!</definedName>
    <definedName name="BO5B55983316FD4997A5390EABE82FACA0" hidden="1">#REF!</definedName>
    <definedName name="BO5B73EA200C46464AA17140D600781B82" localSheetId="7" hidden="1">#REF!</definedName>
    <definedName name="BO5B73EA200C46464AA17140D600781B82" hidden="1">#REF!</definedName>
    <definedName name="BO5B890E7A7A394C4FB32E98C044973005" localSheetId="7" hidden="1">#REF!</definedName>
    <definedName name="BO5B890E7A7A394C4FB32E98C044973005" hidden="1">#REF!</definedName>
    <definedName name="BO5B9BE16B9C944CEE8ABC721FFED7A5C8" localSheetId="7" hidden="1">#REF!</definedName>
    <definedName name="BO5B9BE16B9C944CEE8ABC721FFED7A5C8" hidden="1">#REF!</definedName>
    <definedName name="BO5BC41B04DB3A4F7AAB04F0D3A364090B" localSheetId="7" hidden="1">#REF!</definedName>
    <definedName name="BO5BC41B04DB3A4F7AAB04F0D3A364090B" hidden="1">#REF!</definedName>
    <definedName name="BO5BC6AC86BAD14310B7C4A0B0DBD2438F" localSheetId="7" hidden="1">#REF!</definedName>
    <definedName name="BO5BC6AC86BAD14310B7C4A0B0DBD2438F" hidden="1">#REF!</definedName>
    <definedName name="BO5BE28132775F48F09EAF39FF2464A796" localSheetId="7" hidden="1">#REF!</definedName>
    <definedName name="BO5BE28132775F48F09EAF39FF2464A796" hidden="1">#REF!</definedName>
    <definedName name="BO5BE6BE4752574A869950F4922B287AD1" localSheetId="7" hidden="1">#REF!</definedName>
    <definedName name="BO5BE6BE4752574A869950F4922B287AD1" hidden="1">#REF!</definedName>
    <definedName name="BO5BED13D020E64CC18B7FBB7849E86CEA" localSheetId="7" hidden="1">#REF!</definedName>
    <definedName name="BO5BED13D020E64CC18B7FBB7849E86CEA" hidden="1">#REF!</definedName>
    <definedName name="BO5BF34D548CB2442EAA13A5585920AC49" localSheetId="7" hidden="1">#REF!</definedName>
    <definedName name="BO5BF34D548CB2442EAA13A5585920AC49" hidden="1">#REF!</definedName>
    <definedName name="BO5C410EF9ADE54C499D60AB4F79C88E60" localSheetId="7" hidden="1">#REF!</definedName>
    <definedName name="BO5C410EF9ADE54C499D60AB4F79C88E60" hidden="1">#REF!</definedName>
    <definedName name="BO5C4F2ADAA7BF423F8D1309EFA2CC7825" localSheetId="7" hidden="1">#REF!</definedName>
    <definedName name="BO5C4F2ADAA7BF423F8D1309EFA2CC7825" hidden="1">#REF!</definedName>
    <definedName name="BO5C4FBE110B314346821C01EAD33716F1" localSheetId="7" hidden="1">#REF!</definedName>
    <definedName name="BO5C4FBE110B314346821C01EAD33716F1" hidden="1">#REF!</definedName>
    <definedName name="BO5C66A8B151944F65AB28E53B237A7C1D" localSheetId="7" hidden="1">#REF!</definedName>
    <definedName name="BO5C66A8B151944F65AB28E53B237A7C1D" hidden="1">#REF!</definedName>
    <definedName name="BO5C76A4C7A5F14A99B6FBD381C934D6A8" localSheetId="7" hidden="1">#REF!</definedName>
    <definedName name="BO5C76A4C7A5F14A99B6FBD381C934D6A8" hidden="1">#REF!</definedName>
    <definedName name="BO5C7732C6D2744317880FC2DA819D1DBC" localSheetId="7" hidden="1">#REF!</definedName>
    <definedName name="BO5C7732C6D2744317880FC2DA819D1DBC" hidden="1">#REF!</definedName>
    <definedName name="BO5C8AC98121B6498C98B9D7A8C2F255D2" localSheetId="7" hidden="1">#REF!</definedName>
    <definedName name="BO5C8AC98121B6498C98B9D7A8C2F255D2" hidden="1">#REF!</definedName>
    <definedName name="BO5C8C430986E14573B9FED4E21073793F" localSheetId="7" hidden="1">#REF!</definedName>
    <definedName name="BO5C8C430986E14573B9FED4E21073793F" hidden="1">#REF!</definedName>
    <definedName name="BO5C8C458147B945F598C0F7125F33CE63" localSheetId="7" hidden="1">#REF!</definedName>
    <definedName name="BO5C8C458147B945F598C0F7125F33CE63" hidden="1">#REF!</definedName>
    <definedName name="BO5CA1C946A6964914A06D1CC5FF9013FC" localSheetId="7" hidden="1">#REF!</definedName>
    <definedName name="BO5CA1C946A6964914A06D1CC5FF9013FC" hidden="1">#REF!</definedName>
    <definedName name="BO5CAF34A4E20C4F67BF4C23D54FD60ADF" localSheetId="7" hidden="1">#REF!</definedName>
    <definedName name="BO5CAF34A4E20C4F67BF4C23D54FD60ADF" hidden="1">#REF!</definedName>
    <definedName name="BO5CD7C0FC1E184FE8BC7B13FBF7488F8D" localSheetId="7" hidden="1">#REF!</definedName>
    <definedName name="BO5CD7C0FC1E184FE8BC7B13FBF7488F8D" hidden="1">#REF!</definedName>
    <definedName name="BO5CDB3A3364BB49D0930024890994C092" localSheetId="7" hidden="1">#REF!</definedName>
    <definedName name="BO5CDB3A3364BB49D0930024890994C092" hidden="1">#REF!</definedName>
    <definedName name="BO5CF19C5574E748E2BD8647C2467D59DF" localSheetId="7" hidden="1">#REF!</definedName>
    <definedName name="BO5CF19C5574E748E2BD8647C2467D59DF" hidden="1">#REF!</definedName>
    <definedName name="BO5CFA81DD13324D26A5868892CECFA7F4" localSheetId="7" hidden="1">#REF!</definedName>
    <definedName name="BO5CFA81DD13324D26A5868892CECFA7F4" hidden="1">#REF!</definedName>
    <definedName name="BO5D0BDFA915874594A5D52949E0897195" localSheetId="7" hidden="1">#REF!</definedName>
    <definedName name="BO5D0BDFA915874594A5D52949E0897195" hidden="1">#REF!</definedName>
    <definedName name="BO5D16DE9951774B4E8AA54E68C9DF2CDC" localSheetId="7" hidden="1">#REF!</definedName>
    <definedName name="BO5D16DE9951774B4E8AA54E68C9DF2CDC" hidden="1">#REF!</definedName>
    <definedName name="BO5D352616070F413EA920398547F2C17B" localSheetId="7" hidden="1">#REF!</definedName>
    <definedName name="BO5D352616070F413EA920398547F2C17B" hidden="1">#REF!</definedName>
    <definedName name="BO5D48FCB0BFDC4A729C0DE5154D17DB27" localSheetId="7" hidden="1">#REF!</definedName>
    <definedName name="BO5D48FCB0BFDC4A729C0DE5154D17DB27" hidden="1">#REF!</definedName>
    <definedName name="BO5D6FE3FC6B684728918A29DBEBF14718" localSheetId="7" hidden="1">#REF!</definedName>
    <definedName name="BO5D6FE3FC6B684728918A29DBEBF14718" hidden="1">#REF!</definedName>
    <definedName name="BO5D719FD4B5B64A3EA423A46D7B556DF7" localSheetId="7" hidden="1">#REF!</definedName>
    <definedName name="BO5D719FD4B5B64A3EA423A46D7B556DF7" hidden="1">#REF!</definedName>
    <definedName name="BO5D7A29161A484691AF37C79A2DFCCD89" localSheetId="7" hidden="1">#REF!</definedName>
    <definedName name="BO5D7A29161A484691AF37C79A2DFCCD89" hidden="1">#REF!</definedName>
    <definedName name="BO5D7CA76736014C5493CB18C3AFAB50A5" localSheetId="7" hidden="1">#REF!</definedName>
    <definedName name="BO5D7CA76736014C5493CB18C3AFAB50A5" hidden="1">#REF!</definedName>
    <definedName name="BO5D91754040204262917E7C8DDBAB76D9" localSheetId="7" hidden="1">#REF!</definedName>
    <definedName name="BO5D91754040204262917E7C8DDBAB76D9" hidden="1">#REF!</definedName>
    <definedName name="BO5D97944BC46A4BAE8997B782FAE00652" localSheetId="7" hidden="1">#REF!</definedName>
    <definedName name="BO5D97944BC46A4BAE8997B782FAE00652" hidden="1">#REF!</definedName>
    <definedName name="BO5D9CF10C9A504419B71759803B414F58" localSheetId="7" hidden="1">#REF!</definedName>
    <definedName name="BO5D9CF10C9A504419B71759803B414F58" hidden="1">#REF!</definedName>
    <definedName name="BO5E1A3C71E08A4432AFD3C85D82C59F61" localSheetId="7" hidden="1">#REF!</definedName>
    <definedName name="BO5E1A3C71E08A4432AFD3C85D82C59F61" hidden="1">#REF!</definedName>
    <definedName name="BO5E1C1D16D4244782924B5FDD2F61A7E6" localSheetId="7" hidden="1">#REF!</definedName>
    <definedName name="BO5E1C1D16D4244782924B5FDD2F61A7E6" hidden="1">#REF!</definedName>
    <definedName name="BO5E4F941E8FF24B73ADD5550440270CD5" localSheetId="7" hidden="1">#REF!</definedName>
    <definedName name="BO5E4F941E8FF24B73ADD5550440270CD5" hidden="1">#REF!</definedName>
    <definedName name="BO5E77D00ED79F4230ACB52D88F9773E5D" localSheetId="7" hidden="1">#REF!</definedName>
    <definedName name="BO5E77D00ED79F4230ACB52D88F9773E5D" hidden="1">#REF!</definedName>
    <definedName name="BO5E78BD5DA0A24E4CB11E1AE6522431CD" localSheetId="7" hidden="1">#REF!</definedName>
    <definedName name="BO5E78BD5DA0A24E4CB11E1AE6522431CD" hidden="1">#REF!</definedName>
    <definedName name="BO5E81E74C69CC4AA2A15DA913FB9D340E" localSheetId="7" hidden="1">#REF!</definedName>
    <definedName name="BO5E81E74C69CC4AA2A15DA913FB9D340E" hidden="1">#REF!</definedName>
    <definedName name="BO5E893C5684FF4867953B91DE9CE9659B" localSheetId="7" hidden="1">#REF!</definedName>
    <definedName name="BO5E893C5684FF4867953B91DE9CE9659B" hidden="1">#REF!</definedName>
    <definedName name="BO5E8BB4E37B7A49588BEF6C53B3191ADB" localSheetId="7" hidden="1">#REF!</definedName>
    <definedName name="BO5E8BB4E37B7A49588BEF6C53B3191ADB" hidden="1">#REF!</definedName>
    <definedName name="BO5EA4E6E0102E4AD4962954E85022D459" localSheetId="7" hidden="1">#REF!</definedName>
    <definedName name="BO5EA4E6E0102E4AD4962954E85022D459" hidden="1">#REF!</definedName>
    <definedName name="BO5EB236BA5C074629BE18246F499988E0" localSheetId="7" hidden="1">#REF!</definedName>
    <definedName name="BO5EB236BA5C074629BE18246F499988E0" hidden="1">#REF!</definedName>
    <definedName name="BO5EB59729C05D46BBB8A733403BA13403" localSheetId="7" hidden="1">#REF!</definedName>
    <definedName name="BO5EB59729C05D46BBB8A733403BA13403" hidden="1">#REF!</definedName>
    <definedName name="BO5EBFDD08DC6142B4B0F4E57611C74769" localSheetId="7" hidden="1">#REF!</definedName>
    <definedName name="BO5EBFDD08DC6142B4B0F4E57611C74769" hidden="1">#REF!</definedName>
    <definedName name="BO5EDD1A28F8084BA38D8BC5BD6796D581" localSheetId="7" hidden="1">#REF!</definedName>
    <definedName name="BO5EDD1A28F8084BA38D8BC5BD6796D581" hidden="1">#REF!</definedName>
    <definedName name="BO5EF30C3A04064F529C6A5CC5605C0BE6" localSheetId="7" hidden="1">#REF!</definedName>
    <definedName name="BO5EF30C3A04064F529C6A5CC5605C0BE6" hidden="1">#REF!</definedName>
    <definedName name="BO5EF9B1D8162D4A8B84BA0CCBDD69A8C2" localSheetId="7" hidden="1">#REF!</definedName>
    <definedName name="BO5EF9B1D8162D4A8B84BA0CCBDD69A8C2" hidden="1">#REF!</definedName>
    <definedName name="BO5F02B7CC7B014BFA882D14E937D0DE82" localSheetId="7" hidden="1">#REF!</definedName>
    <definedName name="BO5F02B7CC7B014BFA882D14E937D0DE82" hidden="1">#REF!</definedName>
    <definedName name="BO5F16BA7A8D7B4978B726211CFC6490C2" localSheetId="7" hidden="1">#REF!</definedName>
    <definedName name="BO5F16BA7A8D7B4978B726211CFC6490C2" hidden="1">#REF!</definedName>
    <definedName name="BO5F29320C55404EBE86D806F5697B65CD" localSheetId="7" hidden="1">#REF!</definedName>
    <definedName name="BO5F29320C55404EBE86D806F5697B65CD" hidden="1">#REF!</definedName>
    <definedName name="BO5F3306704F5948B79D93991526586910" localSheetId="7" hidden="1">#REF!</definedName>
    <definedName name="BO5F3306704F5948B79D93991526586910" hidden="1">#REF!</definedName>
    <definedName name="BO5F36C84F0264419DAE1A2B3B0FE5FC2A" localSheetId="7" hidden="1">#REF!</definedName>
    <definedName name="BO5F36C84F0264419DAE1A2B3B0FE5FC2A" hidden="1">#REF!</definedName>
    <definedName name="BO5F36E2F8B25E40BC9F5D455845F7A59C" localSheetId="7" hidden="1">#REF!</definedName>
    <definedName name="BO5F36E2F8B25E40BC9F5D455845F7A59C" hidden="1">#REF!</definedName>
    <definedName name="BO5F3C2987153C4C0D81A2196F03EEF5E0" localSheetId="7" hidden="1">#REF!</definedName>
    <definedName name="BO5F3C2987153C4C0D81A2196F03EEF5E0" hidden="1">#REF!</definedName>
    <definedName name="BO5F40E6BE50BD40C580626FDFACB3D724" localSheetId="7" hidden="1">#REF!</definedName>
    <definedName name="BO5F40E6BE50BD40C580626FDFACB3D724" hidden="1">#REF!</definedName>
    <definedName name="BO5F6C14E0953C478B875BB01CC0B9A978" localSheetId="7" hidden="1">#REF!</definedName>
    <definedName name="BO5F6C14E0953C478B875BB01CC0B9A978" hidden="1">#REF!</definedName>
    <definedName name="BO5F864693830143DD8632DA42748F18C5" localSheetId="7" hidden="1">#REF!</definedName>
    <definedName name="BO5F864693830143DD8632DA42748F18C5" hidden="1">#REF!</definedName>
    <definedName name="BO5F8695D9FC9546298B92ABC3122E6A4C" localSheetId="7" hidden="1">#REF!</definedName>
    <definedName name="BO5F8695D9FC9546298B92ABC3122E6A4C" hidden="1">#REF!</definedName>
    <definedName name="BO5F8C236AB5BD4D8F9C19477E8A7A2103" localSheetId="7" hidden="1">#REF!</definedName>
    <definedName name="BO5F8C236AB5BD4D8F9C19477E8A7A2103" hidden="1">#REF!</definedName>
    <definedName name="BO5FA0A8A9E451432CBCC9DA55E604F926" localSheetId="7" hidden="1">#REF!</definedName>
    <definedName name="BO5FA0A8A9E451432CBCC9DA55E604F926" hidden="1">#REF!</definedName>
    <definedName name="BO5FAA36E28B93423FB78A317689A5C149" localSheetId="7" hidden="1">#REF!</definedName>
    <definedName name="BO5FAA36E28B93423FB78A317689A5C149" hidden="1">#REF!</definedName>
    <definedName name="BO5FAB12C6485B41C2B2C0503A3A659FA3" localSheetId="7" hidden="1">#REF!</definedName>
    <definedName name="BO5FAB12C6485B41C2B2C0503A3A659FA3" hidden="1">#REF!</definedName>
    <definedName name="BO5FC166DF38B54B3F8B77020F12829CDF" localSheetId="7" hidden="1">#REF!</definedName>
    <definedName name="BO5FC166DF38B54B3F8B77020F12829CDF" hidden="1">#REF!</definedName>
    <definedName name="BO5FD0C44B9E1D42A6AF6132F9B01ACF07" localSheetId="7" hidden="1">#REF!</definedName>
    <definedName name="BO5FD0C44B9E1D42A6AF6132F9B01ACF07" hidden="1">#REF!</definedName>
    <definedName name="BO5FDCC1A1207E46FDA5E2C7C6F65045CE" localSheetId="7" hidden="1">#REF!</definedName>
    <definedName name="BO5FDCC1A1207E46FDA5E2C7C6F65045CE" hidden="1">#REF!</definedName>
    <definedName name="BO5FEDB9ACF4F44978813C2FAA6C2C4BB4" localSheetId="7" hidden="1">#REF!</definedName>
    <definedName name="BO5FEDB9ACF4F44978813C2FAA6C2C4BB4" hidden="1">#REF!</definedName>
    <definedName name="BO5FFB919CB0A34181B238D7C6EB335B58" localSheetId="7" hidden="1">#REF!</definedName>
    <definedName name="BO5FFB919CB0A34181B238D7C6EB335B58" hidden="1">#REF!</definedName>
    <definedName name="BO60044DD83FA3409BA97775313D228066" localSheetId="7" hidden="1">#REF!</definedName>
    <definedName name="BO60044DD83FA3409BA97775313D228066" hidden="1">#REF!</definedName>
    <definedName name="BO601446E8C4B24B28B6DA3FE30E342205" localSheetId="7" hidden="1">#REF!</definedName>
    <definedName name="BO601446E8C4B24B28B6DA3FE30E342205" hidden="1">#REF!</definedName>
    <definedName name="BO601CF28E081A4889972C5B127E8103AC" localSheetId="7" hidden="1">#REF!</definedName>
    <definedName name="BO601CF28E081A4889972C5B127E8103AC" hidden="1">#REF!</definedName>
    <definedName name="BO60353A8EA14D4B25A4E98BAB75E329E4" localSheetId="7" hidden="1">#REF!</definedName>
    <definedName name="BO60353A8EA14D4B25A4E98BAB75E329E4" hidden="1">#REF!</definedName>
    <definedName name="BO6046432006DB4FFAA5158DCE96708398" localSheetId="7" hidden="1">#REF!</definedName>
    <definedName name="BO6046432006DB4FFAA5158DCE96708398" hidden="1">#REF!</definedName>
    <definedName name="BO60520A853416471F8475DDF14BADEA0F" localSheetId="7" hidden="1">#REF!</definedName>
    <definedName name="BO60520A853416471F8475DDF14BADEA0F" hidden="1">#REF!</definedName>
    <definedName name="BO6065307DF44045A19ED8C61978DBE961" localSheetId="7" hidden="1">#REF!</definedName>
    <definedName name="BO6065307DF44045A19ED8C61978DBE961" hidden="1">#REF!</definedName>
    <definedName name="BO606550F0FA744222BB890A6C3EF2B4E8" localSheetId="7" hidden="1">#REF!</definedName>
    <definedName name="BO606550F0FA744222BB890A6C3EF2B4E8" hidden="1">#REF!</definedName>
    <definedName name="BO60893BCBEEFF47F3942C181D1A43851D" localSheetId="7" hidden="1">#REF!</definedName>
    <definedName name="BO60893BCBEEFF47F3942C181D1A43851D" hidden="1">#REF!</definedName>
    <definedName name="BO608D2834FA8B45A3AA5D36E2F6B9DF46" localSheetId="7" hidden="1">#REF!</definedName>
    <definedName name="BO608D2834FA8B45A3AA5D36E2F6B9DF46" hidden="1">#REF!</definedName>
    <definedName name="BO6095E16626E74C78B8D3A54F252AACC5" localSheetId="7" hidden="1">#REF!</definedName>
    <definedName name="BO6095E16626E74C78B8D3A54F252AACC5" hidden="1">#REF!</definedName>
    <definedName name="BO60970BFA70EE4B678BA0FAA56B914E18" localSheetId="7" hidden="1">#REF!</definedName>
    <definedName name="BO60970BFA70EE4B678BA0FAA56B914E18" hidden="1">#REF!</definedName>
    <definedName name="BO60A15A2995AB4FFD94F1B62A7ED2B3BC" localSheetId="7" hidden="1">#REF!</definedName>
    <definedName name="BO60A15A2995AB4FFD94F1B62A7ED2B3BC" hidden="1">#REF!</definedName>
    <definedName name="BO60ACE7F5A8D04E2CA0580BAE23C0B5A6" localSheetId="7" hidden="1">#REF!</definedName>
    <definedName name="BO60ACE7F5A8D04E2CA0580BAE23C0B5A6" hidden="1">#REF!</definedName>
    <definedName name="BO60B5177F89954778BEA5B66182132233" localSheetId="7" hidden="1">#REF!</definedName>
    <definedName name="BO60B5177F89954778BEA5B66182132233" hidden="1">#REF!</definedName>
    <definedName name="BO60D01053C01F45E599B579FDFF15C0FC" localSheetId="7" hidden="1">#REF!</definedName>
    <definedName name="BO60D01053C01F45E599B579FDFF15C0FC" hidden="1">#REF!</definedName>
    <definedName name="BO60E8EBC2310A4CC3919BEA5D171FE927" localSheetId="7" hidden="1">#REF!</definedName>
    <definedName name="BO60E8EBC2310A4CC3919BEA5D171FE927" hidden="1">#REF!</definedName>
    <definedName name="BO60F286F7DD5D40DFAA6B6A6E09520F73" localSheetId="7" hidden="1">#REF!</definedName>
    <definedName name="BO60F286F7DD5D40DFAA6B6A6E09520F73" hidden="1">#REF!</definedName>
    <definedName name="BO60FDA892FAE34D50999E9CCC5361B04F" localSheetId="7" hidden="1">#REF!</definedName>
    <definedName name="BO60FDA892FAE34D50999E9CCC5361B04F" hidden="1">#REF!</definedName>
    <definedName name="BO610CCD2BBF764CB6A9399D1CAB484816" localSheetId="7" hidden="1">#REF!</definedName>
    <definedName name="BO610CCD2BBF764CB6A9399D1CAB484816" hidden="1">#REF!</definedName>
    <definedName name="BO6114752CE0A94235B5D6BE292497BA2C" localSheetId="7" hidden="1">#REF!</definedName>
    <definedName name="BO6114752CE0A94235B5D6BE292497BA2C" hidden="1">#REF!</definedName>
    <definedName name="BO611DBC8663604A28ADF3996C2E409701" localSheetId="7" hidden="1">#REF!</definedName>
    <definedName name="BO611DBC8663604A28ADF3996C2E409701" hidden="1">#REF!</definedName>
    <definedName name="BO6124A545A20C4CA8B7C8A8A3C7084D5B" localSheetId="7" hidden="1">#REF!</definedName>
    <definedName name="BO6124A545A20C4CA8B7C8A8A3C7084D5B" hidden="1">#REF!</definedName>
    <definedName name="BO612837FB7B7F41C8B611FAC90AA13F9B" localSheetId="7" hidden="1">#REF!</definedName>
    <definedName name="BO612837FB7B7F41C8B611FAC90AA13F9B" hidden="1">#REF!</definedName>
    <definedName name="BO613B0697DBB0455BAFAB8CD63765CFCC" localSheetId="7" hidden="1">#REF!</definedName>
    <definedName name="BO613B0697DBB0455BAFAB8CD63765CFCC" hidden="1">#REF!</definedName>
    <definedName name="BO6144093064404789BEA6DD99E8F22255" localSheetId="7" hidden="1">#REF!</definedName>
    <definedName name="BO6144093064404789BEA6DD99E8F22255" hidden="1">#REF!</definedName>
    <definedName name="BO61614506D9AB4BC1B852BB461A88E443" localSheetId="7" hidden="1">#REF!</definedName>
    <definedName name="BO61614506D9AB4BC1B852BB461A88E443" hidden="1">#REF!</definedName>
    <definedName name="BO617C1D2D52DF45D4B53C16CB8F280AF3" localSheetId="7" hidden="1">#REF!</definedName>
    <definedName name="BO617C1D2D52DF45D4B53C16CB8F280AF3" hidden="1">#REF!</definedName>
    <definedName name="BO61982CB164024D418E6497E9CFFA9856" localSheetId="7" hidden="1">#REF!</definedName>
    <definedName name="BO61982CB164024D418E6497E9CFFA9856" hidden="1">#REF!</definedName>
    <definedName name="BO61ADCCC47C0B4877965EFD4F839237F5" localSheetId="7" hidden="1">#REF!</definedName>
    <definedName name="BO61ADCCC47C0B4877965EFD4F839237F5" hidden="1">#REF!</definedName>
    <definedName name="BO61B78A7A820B4204A98C516939D4568D" localSheetId="7" hidden="1">#REF!</definedName>
    <definedName name="BO61B78A7A820B4204A98C516939D4568D" hidden="1">#REF!</definedName>
    <definedName name="BO61D7903BB524467682BDE8196FFB4E09" localSheetId="7" hidden="1">#REF!</definedName>
    <definedName name="BO61D7903BB524467682BDE8196FFB4E09" hidden="1">#REF!</definedName>
    <definedName name="BO61DF72AF544D4BDBB3D7BCAA10E1C8B9" localSheetId="7" hidden="1">#REF!</definedName>
    <definedName name="BO61DF72AF544D4BDBB3D7BCAA10E1C8B9" hidden="1">#REF!</definedName>
    <definedName name="BO61E98BF4D1A6443AB2C06335F4A4B54B" localSheetId="7" hidden="1">#REF!</definedName>
    <definedName name="BO61E98BF4D1A6443AB2C06335F4A4B54B" hidden="1">#REF!</definedName>
    <definedName name="BO6205453AD9D64BC184DA60BF4BD1E531" localSheetId="7" hidden="1">#REF!</definedName>
    <definedName name="BO6205453AD9D64BC184DA60BF4BD1E531" hidden="1">#REF!</definedName>
    <definedName name="BO621205E8DD394967AF7CBFF41647BFBA" localSheetId="7" hidden="1">#REF!</definedName>
    <definedName name="BO621205E8DD394967AF7CBFF41647BFBA" hidden="1">#REF!</definedName>
    <definedName name="BO6223913AFBE34AD48E07E1462A5D1A11" localSheetId="7" hidden="1">#REF!</definedName>
    <definedName name="BO6223913AFBE34AD48E07E1462A5D1A11" hidden="1">#REF!</definedName>
    <definedName name="BO6237E5AC3E174F47991C6D0C77C0D722" localSheetId="7" hidden="1">#REF!</definedName>
    <definedName name="BO6237E5AC3E174F47991C6D0C77C0D722" hidden="1">#REF!</definedName>
    <definedName name="BO624579310A404D28BB54A6B64A5D00B3" localSheetId="7" hidden="1">#REF!</definedName>
    <definedName name="BO624579310A404D28BB54A6B64A5D00B3" hidden="1">#REF!</definedName>
    <definedName name="BO625D7DE5F9884ED986015AA9C3445B3A" localSheetId="7" hidden="1">#REF!</definedName>
    <definedName name="BO625D7DE5F9884ED986015AA9C3445B3A" hidden="1">#REF!</definedName>
    <definedName name="BO6260E3807FFE49E7BAF3D4438F216E12" localSheetId="7" hidden="1">#REF!</definedName>
    <definedName name="BO6260E3807FFE49E7BAF3D4438F216E12" hidden="1">#REF!</definedName>
    <definedName name="BO6283E91E21BB471F82E7E5F94FE25FCD" localSheetId="7" hidden="1">#REF!</definedName>
    <definedName name="BO6283E91E21BB471F82E7E5F94FE25FCD" hidden="1">#REF!</definedName>
    <definedName name="BO6293E3D0F2D44EB39CDA1E213CE13082" localSheetId="7" hidden="1">#REF!</definedName>
    <definedName name="BO6293E3D0F2D44EB39CDA1E213CE13082" hidden="1">#REF!</definedName>
    <definedName name="BO62A43B895EA44E4787731262E90FD3D8" localSheetId="7" hidden="1">#REF!</definedName>
    <definedName name="BO62A43B895EA44E4787731262E90FD3D8" hidden="1">#REF!</definedName>
    <definedName name="BO62BC768057DB4CCF9C36237CE02B1912" localSheetId="7" hidden="1">#REF!</definedName>
    <definedName name="BO62BC768057DB4CCF9C36237CE02B1912" hidden="1">#REF!</definedName>
    <definedName name="BO62BFFA5FE2354FA296AAA95F80896C12" localSheetId="7" hidden="1">#REF!</definedName>
    <definedName name="BO62BFFA5FE2354FA296AAA95F80896C12" hidden="1">#REF!</definedName>
    <definedName name="BO62D839E7D874451E9DEC4C9225071DE5" localSheetId="7" hidden="1">#REF!</definedName>
    <definedName name="BO62D839E7D874451E9DEC4C9225071DE5" hidden="1">#REF!</definedName>
    <definedName name="BO62D85CC626914D8AB9BA48835D16CB88" localSheetId="7" hidden="1">#REF!</definedName>
    <definedName name="BO62D85CC626914D8AB9BA48835D16CB88" hidden="1">#REF!</definedName>
    <definedName name="BO62DA44DDE03A4CD98FB95A1FBDDFDA3E" localSheetId="7" hidden="1">#REF!</definedName>
    <definedName name="BO62DA44DDE03A4CD98FB95A1FBDDFDA3E" hidden="1">#REF!</definedName>
    <definedName name="BO62E08495393D4BDD935116B4A36C5411" localSheetId="7" hidden="1">#REF!</definedName>
    <definedName name="BO62E08495393D4BDD935116B4A36C5411" hidden="1">#REF!</definedName>
    <definedName name="BO62E852C046D140A091C6EE77761F4BE0" localSheetId="7" hidden="1">#REF!</definedName>
    <definedName name="BO62E852C046D140A091C6EE77761F4BE0" hidden="1">#REF!</definedName>
    <definedName name="BO63277A5AF48A41338A04303CF70A47D3" localSheetId="7" hidden="1">#REF!</definedName>
    <definedName name="BO63277A5AF48A41338A04303CF70A47D3" hidden="1">#REF!</definedName>
    <definedName name="BO63405B000BA54F929D20F11710FA77F4" localSheetId="7" hidden="1">#REF!</definedName>
    <definedName name="BO63405B000BA54F929D20F11710FA77F4" hidden="1">#REF!</definedName>
    <definedName name="BO63411CAE7A0D4577B11D37CC8E124AD3" localSheetId="7" hidden="1">#REF!</definedName>
    <definedName name="BO63411CAE7A0D4577B11D37CC8E124AD3" hidden="1">#REF!</definedName>
    <definedName name="BO6360986F6AE34261B63B69EC37DAE5B2" localSheetId="7" hidden="1">#REF!</definedName>
    <definedName name="BO6360986F6AE34261B63B69EC37DAE5B2" hidden="1">#REF!</definedName>
    <definedName name="BO638026751BA74DF89254151EFBF025CB" localSheetId="7" hidden="1">#REF!</definedName>
    <definedName name="BO638026751BA74DF89254151EFBF025CB" hidden="1">#REF!</definedName>
    <definedName name="BO63905246F9754055A411DDC05C37D4D1" localSheetId="7" hidden="1">#REF!</definedName>
    <definedName name="BO63905246F9754055A411DDC05C37D4D1" hidden="1">#REF!</definedName>
    <definedName name="BO63A26C37B5A94698B770360775D37447" localSheetId="7" hidden="1">#REF!</definedName>
    <definedName name="BO63A26C37B5A94698B770360775D37447" hidden="1">#REF!</definedName>
    <definedName name="BO63B41F119EE34D5FB52F5498013E44A4" localSheetId="7" hidden="1">#REF!</definedName>
    <definedName name="BO63B41F119EE34D5FB52F5498013E44A4" hidden="1">#REF!</definedName>
    <definedName name="BO63B5CFE1B0D14D2FBBDDF30CC11A9E00" localSheetId="7" hidden="1">#REF!</definedName>
    <definedName name="BO63B5CFE1B0D14D2FBBDDF30CC11A9E00" hidden="1">#REF!</definedName>
    <definedName name="BO63FB2E94ED354DA6AFCBB30BFA8A1744" localSheetId="7" hidden="1">#REF!</definedName>
    <definedName name="BO63FB2E94ED354DA6AFCBB30BFA8A1744" hidden="1">#REF!</definedName>
    <definedName name="BO641AE7545EAD479CA244E9997C64A25C" localSheetId="7" hidden="1">#REF!</definedName>
    <definedName name="BO641AE7545EAD479CA244E9997C64A25C" hidden="1">#REF!</definedName>
    <definedName name="BO643C44F344DE4970BB0A0A2A52011D05" localSheetId="7" hidden="1">#REF!</definedName>
    <definedName name="BO643C44F344DE4970BB0A0A2A52011D05" hidden="1">#REF!</definedName>
    <definedName name="BO64450FCB3CF7494A914E129D55138CBA" localSheetId="7" hidden="1">#REF!</definedName>
    <definedName name="BO64450FCB3CF7494A914E129D55138CBA" hidden="1">#REF!</definedName>
    <definedName name="BO6448FC94491240E1A0DAC8A32C4E25E6" localSheetId="7" hidden="1">#REF!</definedName>
    <definedName name="BO6448FC94491240E1A0DAC8A32C4E25E6" hidden="1">#REF!</definedName>
    <definedName name="BO644FB408B2B643E8857B817B67F9E6C4" localSheetId="7" hidden="1">#REF!</definedName>
    <definedName name="BO644FB408B2B643E8857B817B67F9E6C4" hidden="1">#REF!</definedName>
    <definedName name="BO647877E8656E45BEAB329C19B0246F67" localSheetId="7" hidden="1">#REF!</definedName>
    <definedName name="BO647877E8656E45BEAB329C19B0246F67" hidden="1">#REF!</definedName>
    <definedName name="BO647B5757405F40138536B4A751E9A379" localSheetId="7" hidden="1">#REF!</definedName>
    <definedName name="BO647B5757405F40138536B4A751E9A379" hidden="1">#REF!</definedName>
    <definedName name="BO647D0B6DD1BE4EF8815954DC1875E125" localSheetId="7" hidden="1">#REF!</definedName>
    <definedName name="BO647D0B6DD1BE4EF8815954DC1875E125" hidden="1">#REF!</definedName>
    <definedName name="BO6483D63BFB1341F5B58BA5420599A9DD" localSheetId="7" hidden="1">#REF!</definedName>
    <definedName name="BO6483D63BFB1341F5B58BA5420599A9DD" hidden="1">#REF!</definedName>
    <definedName name="BO6487C5981ADD41E784314C458D251E92" localSheetId="7" hidden="1">#REF!</definedName>
    <definedName name="BO6487C5981ADD41E784314C458D251E92" hidden="1">#REF!</definedName>
    <definedName name="BO6488301384374FBA989FC47A5DD73B0A" localSheetId="7" hidden="1">#REF!</definedName>
    <definedName name="BO6488301384374FBA989FC47A5DD73B0A" hidden="1">#REF!</definedName>
    <definedName name="BO6491829054BB41C5A175FBBE28B60F89" localSheetId="7" hidden="1">#REF!</definedName>
    <definedName name="BO6491829054BB41C5A175FBBE28B60F89" hidden="1">#REF!</definedName>
    <definedName name="BO6492B00CE33344EAB52B14A7D0ABAAE5" localSheetId="7" hidden="1">#REF!</definedName>
    <definedName name="BO6492B00CE33344EAB52B14A7D0ABAAE5" hidden="1">#REF!</definedName>
    <definedName name="BO649CF24C6D76473683FD0645A49A3683" localSheetId="7" hidden="1">#REF!</definedName>
    <definedName name="BO649CF24C6D76473683FD0645A49A3683" hidden="1">#REF!</definedName>
    <definedName name="BO649CF3DD69294EA1BC6C07E45B77B542" localSheetId="7" hidden="1">#REF!</definedName>
    <definedName name="BO649CF3DD69294EA1BC6C07E45B77B542" hidden="1">#REF!</definedName>
    <definedName name="BO64B47F96DD334BCBA440A40B952DF6B9" localSheetId="7" hidden="1">#REF!</definedName>
    <definedName name="BO64B47F96DD334BCBA440A40B952DF6B9" hidden="1">#REF!</definedName>
    <definedName name="BO64C13E93551840969F81907BFFAF6F31" localSheetId="7" hidden="1">#REF!</definedName>
    <definedName name="BO64C13E93551840969F81907BFFAF6F31" hidden="1">#REF!</definedName>
    <definedName name="BO64CCAE1A5B334AEA96E2A2EDE7CE1676" localSheetId="7" hidden="1">#REF!</definedName>
    <definedName name="BO64CCAE1A5B334AEA96E2A2EDE7CE1676" hidden="1">#REF!</definedName>
    <definedName name="BO64D1C996CE8E4A6AB1F44BE66E3CB61A" localSheetId="7" hidden="1">#REF!</definedName>
    <definedName name="BO64D1C996CE8E4A6AB1F44BE66E3CB61A" hidden="1">#REF!</definedName>
    <definedName name="BO64DA1904A66C46E8BA2B7D555DAD3A12" localSheetId="7" hidden="1">#REF!</definedName>
    <definedName name="BO64DA1904A66C46E8BA2B7D555DAD3A12" hidden="1">#REF!</definedName>
    <definedName name="BO64F9566E07B8466EBDD25A2C2954828F" localSheetId="7" hidden="1">#REF!</definedName>
    <definedName name="BO64F9566E07B8466EBDD25A2C2954828F" hidden="1">#REF!</definedName>
    <definedName name="BO65014B574C7143389118F91DDD639198" localSheetId="7" hidden="1">#REF!</definedName>
    <definedName name="BO65014B574C7143389118F91DDD639198" hidden="1">#REF!</definedName>
    <definedName name="BO650208517A314E1AB541E191C8A82BD1" localSheetId="7" hidden="1">#REF!</definedName>
    <definedName name="BO650208517A314E1AB541E191C8A82BD1" hidden="1">#REF!</definedName>
    <definedName name="BO6510026C845D4B33BDF030149FED7E21" localSheetId="7" hidden="1">#REF!</definedName>
    <definedName name="BO6510026C845D4B33BDF030149FED7E21" hidden="1">#REF!</definedName>
    <definedName name="BO6517BA9D39C0499CAD276EF5CA53393B" localSheetId="7" hidden="1">#REF!</definedName>
    <definedName name="BO6517BA9D39C0499CAD276EF5CA53393B" hidden="1">#REF!</definedName>
    <definedName name="BO652411AD32C84A2DBADA90C08E7D93B8" localSheetId="7" hidden="1">#REF!</definedName>
    <definedName name="BO652411AD32C84A2DBADA90C08E7D93B8" hidden="1">#REF!</definedName>
    <definedName name="BO652919DD136C4C7584A8CE67558C3559" localSheetId="7" hidden="1">#REF!</definedName>
    <definedName name="BO652919DD136C4C7584A8CE67558C3559" hidden="1">#REF!</definedName>
    <definedName name="BO656DD70D43C1485E884805592F37DE87" localSheetId="7" hidden="1">#REF!</definedName>
    <definedName name="BO656DD70D43C1485E884805592F37DE87" hidden="1">#REF!</definedName>
    <definedName name="BO6579AD19A7E14A739CF68FB525B517E3" localSheetId="7" hidden="1">#REF!</definedName>
    <definedName name="BO6579AD19A7E14A739CF68FB525B517E3" hidden="1">#REF!</definedName>
    <definedName name="BO657E306AA5C2440C93E602A513C41133" localSheetId="7" hidden="1">#REF!</definedName>
    <definedName name="BO657E306AA5C2440C93E602A513C41133" hidden="1">#REF!</definedName>
    <definedName name="BO6584C20187CE4E5D8E94D12EF3CC4CE6" localSheetId="7" hidden="1">#REF!</definedName>
    <definedName name="BO6584C20187CE4E5D8E94D12EF3CC4CE6" hidden="1">#REF!</definedName>
    <definedName name="BO659915CA3F6F4CAF845ED5E5D466AF6E" localSheetId="7" hidden="1">#REF!</definedName>
    <definedName name="BO659915CA3F6F4CAF845ED5E5D466AF6E" hidden="1">#REF!</definedName>
    <definedName name="BO65BF2169F91F4084996CC7B510E3E719" localSheetId="7" hidden="1">#REF!</definedName>
    <definedName name="BO65BF2169F91F4084996CC7B510E3E719" hidden="1">#REF!</definedName>
    <definedName name="BO65D72B4AD8F54A08BC816C64AFA2F075" localSheetId="7" hidden="1">#REF!</definedName>
    <definedName name="BO65D72B4AD8F54A08BC816C64AFA2F075" hidden="1">#REF!</definedName>
    <definedName name="BO65E40F7908E04DBF954692C111F0DD71" localSheetId="7" hidden="1">#REF!</definedName>
    <definedName name="BO65E40F7908E04DBF954692C111F0DD71" hidden="1">#REF!</definedName>
    <definedName name="BO65F59F4054B64909960A3C9B156A3A5A" localSheetId="7" hidden="1">#REF!</definedName>
    <definedName name="BO65F59F4054B64909960A3C9B156A3A5A" hidden="1">#REF!</definedName>
    <definedName name="BO660043660E7E4E27A2B3040C0F0D70BE" localSheetId="7" hidden="1">#REF!</definedName>
    <definedName name="BO660043660E7E4E27A2B3040C0F0D70BE" hidden="1">#REF!</definedName>
    <definedName name="BO6605745BEA794F2E8BC1F185C3742408" localSheetId="7" hidden="1">#REF!</definedName>
    <definedName name="BO6605745BEA794F2E8BC1F185C3742408" hidden="1">#REF!</definedName>
    <definedName name="BO663D9135A18D47D4A77484884C66A11D" localSheetId="7" hidden="1">#REF!</definedName>
    <definedName name="BO663D9135A18D47D4A77484884C66A11D" hidden="1">#REF!</definedName>
    <definedName name="BO663F8E840A2C4E44A6BBAB9E0B1B1F02" localSheetId="7" hidden="1">#REF!</definedName>
    <definedName name="BO663F8E840A2C4E44A6BBAB9E0B1B1F02" hidden="1">#REF!</definedName>
    <definedName name="BO664AA7BD73B44596B1ED1C55A55AAADC" localSheetId="7" hidden="1">#REF!</definedName>
    <definedName name="BO664AA7BD73B44596B1ED1C55A55AAADC" hidden="1">#REF!</definedName>
    <definedName name="BO66524F6B85C445E999D987DE416A74E1" localSheetId="7" hidden="1">#REF!</definedName>
    <definedName name="BO66524F6B85C445E999D987DE416A74E1" hidden="1">#REF!</definedName>
    <definedName name="BO6659539EE7C94BC8BCEFAD509480525F" localSheetId="7" hidden="1">#REF!</definedName>
    <definedName name="BO6659539EE7C94BC8BCEFAD509480525F" hidden="1">#REF!</definedName>
    <definedName name="BO6669F59927A546F987A9A210AB699525" localSheetId="7" hidden="1">#REF!</definedName>
    <definedName name="BO6669F59927A546F987A9A210AB699525" hidden="1">#REF!</definedName>
    <definedName name="BO666B7A28D54D4886AB0899DAEA3D430B" localSheetId="7" hidden="1">#REF!</definedName>
    <definedName name="BO666B7A28D54D4886AB0899DAEA3D430B" hidden="1">#REF!</definedName>
    <definedName name="BO66837EF516694035A71AC0063ADC610B" localSheetId="7" hidden="1">#REF!</definedName>
    <definedName name="BO66837EF516694035A71AC0063ADC610B" hidden="1">#REF!</definedName>
    <definedName name="BO66AFE23856DA431A8C37D2DC4AC30584" localSheetId="7" hidden="1">#REF!</definedName>
    <definedName name="BO66AFE23856DA431A8C37D2DC4AC30584" hidden="1">#REF!</definedName>
    <definedName name="BO66C86A34BC8C406AAB9E17D07629B894" localSheetId="7" hidden="1">#REF!</definedName>
    <definedName name="BO66C86A34BC8C406AAB9E17D07629B894" hidden="1">#REF!</definedName>
    <definedName name="BO66DBEC4237DF4CC4AA00E4335DB91826" localSheetId="7" hidden="1">#REF!</definedName>
    <definedName name="BO66DBEC4237DF4CC4AA00E4335DB91826" hidden="1">#REF!</definedName>
    <definedName name="BO66E03F46057540479613FA291A52F420" localSheetId="7" hidden="1">#REF!</definedName>
    <definedName name="BO66E03F46057540479613FA291A52F420" hidden="1">#REF!</definedName>
    <definedName name="BO66EE0E9A909E48348A6AAA78C6FE5374" localSheetId="7" hidden="1">#REF!</definedName>
    <definedName name="BO66EE0E9A909E48348A6AAA78C6FE5374" hidden="1">#REF!</definedName>
    <definedName name="BO6709CD7A0CC743C39BF801D768CFB3F0" localSheetId="7" hidden="1">#REF!</definedName>
    <definedName name="BO6709CD7A0CC743C39BF801D768CFB3F0" hidden="1">#REF!</definedName>
    <definedName name="BO6741D9904F3546F08DAE9DE779A4BB09" localSheetId="7" hidden="1">#REF!</definedName>
    <definedName name="BO6741D9904F3546F08DAE9DE779A4BB09" hidden="1">#REF!</definedName>
    <definedName name="BO676B3633B8C94DC391272CACF7925412" localSheetId="7" hidden="1">#REF!</definedName>
    <definedName name="BO676B3633B8C94DC391272CACF7925412" hidden="1">#REF!</definedName>
    <definedName name="BO67712D36319E4D6FB8390EA83D96CE14" localSheetId="7" hidden="1">#REF!</definedName>
    <definedName name="BO67712D36319E4D6FB8390EA83D96CE14" hidden="1">#REF!</definedName>
    <definedName name="BO67788E49AB404804938F8F619C88C679" localSheetId="7" hidden="1">#REF!</definedName>
    <definedName name="BO67788E49AB404804938F8F619C88C679" hidden="1">#REF!</definedName>
    <definedName name="BO678C5F8E062A472587502049A34694AC" localSheetId="7" hidden="1">#REF!</definedName>
    <definedName name="BO678C5F8E062A472587502049A34694AC" hidden="1">#REF!</definedName>
    <definedName name="BO67A18F9CBB5B41C8A732D4ED760C6CE4" localSheetId="7" hidden="1">#REF!</definedName>
    <definedName name="BO67A18F9CBB5B41C8A732D4ED760C6CE4" hidden="1">#REF!</definedName>
    <definedName name="BO67A6FE5130E448CBB26E87BFBD70E57B" localSheetId="7" hidden="1">#REF!</definedName>
    <definedName name="BO67A6FE5130E448CBB26E87BFBD70E57B" hidden="1">#REF!</definedName>
    <definedName name="BO67AEB52047B4490694F11A2C48FB75A2" localSheetId="7" hidden="1">#REF!</definedName>
    <definedName name="BO67AEB52047B4490694F11A2C48FB75A2" hidden="1">#REF!</definedName>
    <definedName name="BO67BC1A8D591A4DE79197EA4304DBBE28" localSheetId="7" hidden="1">#REF!</definedName>
    <definedName name="BO67BC1A8D591A4DE79197EA4304DBBE28" hidden="1">#REF!</definedName>
    <definedName name="BO67C0E8229E02413F91ADDA5D287E5D29" localSheetId="7" hidden="1">#REF!</definedName>
    <definedName name="BO67C0E8229E02413F91ADDA5D287E5D29" hidden="1">#REF!</definedName>
    <definedName name="BO67C55DDB32284B989109DB5B7ACAAD52" localSheetId="7" hidden="1">#REF!</definedName>
    <definedName name="BO67C55DDB32284B989109DB5B7ACAAD52" hidden="1">#REF!</definedName>
    <definedName name="BO67E3510B62174A389AB1C2EC50C9E194" localSheetId="7" hidden="1">#REF!</definedName>
    <definedName name="BO67E3510B62174A389AB1C2EC50C9E194" hidden="1">#REF!</definedName>
    <definedName name="BO67F5C3ED7417403585197EDDD43B137A" localSheetId="7" hidden="1">#REF!</definedName>
    <definedName name="BO67F5C3ED7417403585197EDDD43B137A" hidden="1">#REF!</definedName>
    <definedName name="BO67FA55FB9F6A469D9BF2476DDC0FD2F3" localSheetId="7" hidden="1">#REF!</definedName>
    <definedName name="BO67FA55FB9F6A469D9BF2476DDC0FD2F3" hidden="1">#REF!</definedName>
    <definedName name="BO680205CF15E04EA0A716F1FB50B8C51D" localSheetId="7" hidden="1">#REF!</definedName>
    <definedName name="BO680205CF15E04EA0A716F1FB50B8C51D" hidden="1">#REF!</definedName>
    <definedName name="BO6821E259AC4C449E8B7E6A560F7AAB55" localSheetId="7" hidden="1">#REF!</definedName>
    <definedName name="BO6821E259AC4C449E8B7E6A560F7AAB55" hidden="1">#REF!</definedName>
    <definedName name="BO683ED732E4814627A9B54EFA56A601DE" localSheetId="7" hidden="1">#REF!</definedName>
    <definedName name="BO683ED732E4814627A9B54EFA56A601DE" hidden="1">#REF!</definedName>
    <definedName name="BO68580028A0434709A47C0825F817A1B7" localSheetId="7" hidden="1">#REF!</definedName>
    <definedName name="BO68580028A0434709A47C0825F817A1B7" hidden="1">#REF!</definedName>
    <definedName name="BO685DD2AAEAB1400290D421A87BC0C15A" localSheetId="7" hidden="1">#REF!</definedName>
    <definedName name="BO685DD2AAEAB1400290D421A87BC0C15A" hidden="1">#REF!</definedName>
    <definedName name="BO686C06414AF54EFC91AB83972A3298A1" localSheetId="7" hidden="1">#REF!</definedName>
    <definedName name="BO686C06414AF54EFC91AB83972A3298A1" hidden="1">#REF!</definedName>
    <definedName name="BO686F855C43A049AAA28DC809B4338CED" localSheetId="7" hidden="1">#REF!</definedName>
    <definedName name="BO686F855C43A049AAA28DC809B4338CED" hidden="1">#REF!</definedName>
    <definedName name="BO687DDB129D4D4198950BB8B00E64E8DE" localSheetId="7" hidden="1">#REF!</definedName>
    <definedName name="BO687DDB129D4D4198950BB8B00E64E8DE" hidden="1">#REF!</definedName>
    <definedName name="BO6888A1F38E0446B98428ED3446A4A4B0" localSheetId="7" hidden="1">#REF!</definedName>
    <definedName name="BO6888A1F38E0446B98428ED3446A4A4B0" hidden="1">#REF!</definedName>
    <definedName name="BO689BCBDB8024401DA076090A83963D75" localSheetId="7" hidden="1">#REF!</definedName>
    <definedName name="BO689BCBDB8024401DA076090A83963D75" hidden="1">#REF!</definedName>
    <definedName name="BO68AAB6DFB610470D831B83ABA48246EA" localSheetId="7" hidden="1">#REF!</definedName>
    <definedName name="BO68AAB6DFB610470D831B83ABA48246EA" hidden="1">#REF!</definedName>
    <definedName name="BO68BCDF88D42A4E16B72478FDED2C1533" localSheetId="7" hidden="1">#REF!</definedName>
    <definedName name="BO68BCDF88D42A4E16B72478FDED2C1533" hidden="1">#REF!</definedName>
    <definedName name="BO68C71AC29C694224B7602D3D46FC4219" localSheetId="7" hidden="1">#REF!</definedName>
    <definedName name="BO68C71AC29C694224B7602D3D46FC4219" hidden="1">#REF!</definedName>
    <definedName name="BO68C7756163834284B2EB138F07D58AD6" localSheetId="7" hidden="1">#REF!</definedName>
    <definedName name="BO68C7756163834284B2EB138F07D58AD6" hidden="1">#REF!</definedName>
    <definedName name="BO68E4490912CC45A0947CCA4CE0DF0E5A" localSheetId="7" hidden="1">#REF!</definedName>
    <definedName name="BO68E4490912CC45A0947CCA4CE0DF0E5A" hidden="1">#REF!</definedName>
    <definedName name="BO68E7D7A2A2E64C42A56150D7CA1BBC00" localSheetId="7" hidden="1">#REF!</definedName>
    <definedName name="BO68E7D7A2A2E64C42A56150D7CA1BBC00" hidden="1">#REF!</definedName>
    <definedName name="BO68EC9B46600847309B72602EC1DC6746" localSheetId="7" hidden="1">#REF!</definedName>
    <definedName name="BO68EC9B46600847309B72602EC1DC6746" hidden="1">#REF!</definedName>
    <definedName name="BO69022AE5F01C43B0BBEBD400EE6FCBDF" localSheetId="7" hidden="1">#REF!</definedName>
    <definedName name="BO69022AE5F01C43B0BBEBD400EE6FCBDF" hidden="1">#REF!</definedName>
    <definedName name="BO690B5CE9347D40CA8E7455D7D563DFC5" localSheetId="7" hidden="1">#REF!</definedName>
    <definedName name="BO690B5CE9347D40CA8E7455D7D563DFC5" hidden="1">#REF!</definedName>
    <definedName name="BO6916EE552AEB4B4F8588FD55EF6CF5EE" localSheetId="7" hidden="1">#REF!</definedName>
    <definedName name="BO6916EE552AEB4B4F8588FD55EF6CF5EE" hidden="1">#REF!</definedName>
    <definedName name="BO6927F2309B9540DC877F5B8AF84756A0" localSheetId="7" hidden="1">#REF!</definedName>
    <definedName name="BO6927F2309B9540DC877F5B8AF84756A0" hidden="1">#REF!</definedName>
    <definedName name="BO699E3E2A590241098AC66C5097786077" localSheetId="7" hidden="1">#REF!</definedName>
    <definedName name="BO699E3E2A590241098AC66C5097786077" hidden="1">#REF!</definedName>
    <definedName name="BO69C6650B082348F5B159DA83A556C80C" localSheetId="7" hidden="1">#REF!</definedName>
    <definedName name="BO69C6650B082348F5B159DA83A556C80C" hidden="1">#REF!</definedName>
    <definedName name="BO69E652F693204360A18B70AB189F10E5" localSheetId="7" hidden="1">#REF!</definedName>
    <definedName name="BO69E652F693204360A18B70AB189F10E5" hidden="1">#REF!</definedName>
    <definedName name="BO69E6B457D4134757A2B107E6E51FAFE7" localSheetId="7" hidden="1">#REF!</definedName>
    <definedName name="BO69E6B457D4134757A2B107E6E51FAFE7" hidden="1">#REF!</definedName>
    <definedName name="BO69F4A5651F5C45BEB371791F9055995D" localSheetId="7" hidden="1">#REF!</definedName>
    <definedName name="BO69F4A5651F5C45BEB371791F9055995D" hidden="1">#REF!</definedName>
    <definedName name="BO69F6ABD146764772994D8E6A48DB88BA" localSheetId="7" hidden="1">#REF!</definedName>
    <definedName name="BO69F6ABD146764772994D8E6A48DB88BA" hidden="1">#REF!</definedName>
    <definedName name="BO6A092DC21DA94719A099CFA77364A903" localSheetId="7" hidden="1">#REF!</definedName>
    <definedName name="BO6A092DC21DA94719A099CFA77364A903" hidden="1">#REF!</definedName>
    <definedName name="BO6A38695AA0434C6581017F777F541C38" localSheetId="7" hidden="1">#REF!</definedName>
    <definedName name="BO6A38695AA0434C6581017F777F541C38" hidden="1">#REF!</definedName>
    <definedName name="BO6A4E126D1438445EBAFB8EF44955284F" localSheetId="7" hidden="1">#REF!</definedName>
    <definedName name="BO6A4E126D1438445EBAFB8EF44955284F" hidden="1">#REF!</definedName>
    <definedName name="BO6A6BE8497EF94DA7847130B3B2CB6C12" localSheetId="7" hidden="1">#REF!</definedName>
    <definedName name="BO6A6BE8497EF94DA7847130B3B2CB6C12" hidden="1">#REF!</definedName>
    <definedName name="BO6ACFF818EBE145F3B306731D565CA20F" localSheetId="7" hidden="1">#REF!</definedName>
    <definedName name="BO6ACFF818EBE145F3B306731D565CA20F" hidden="1">#REF!</definedName>
    <definedName name="BO6ADEE93E0C9748A7801BD41BD6DC7265" localSheetId="7" hidden="1">#REF!</definedName>
    <definedName name="BO6ADEE93E0C9748A7801BD41BD6DC7265" hidden="1">#REF!</definedName>
    <definedName name="BO6AE555A6028847BBB5CACA31B446D28A" localSheetId="7" hidden="1">#REF!</definedName>
    <definedName name="BO6AE555A6028847BBB5CACA31B446D28A" hidden="1">#REF!</definedName>
    <definedName name="BO6AF2C66E9EC1456EA5FB36D0B04A768A" localSheetId="7" hidden="1">#REF!</definedName>
    <definedName name="BO6AF2C66E9EC1456EA5FB36D0B04A768A" hidden="1">#REF!</definedName>
    <definedName name="BO6AFC6FBF4928481788519EA310864F80" localSheetId="7" hidden="1">#REF!</definedName>
    <definedName name="BO6AFC6FBF4928481788519EA310864F80" hidden="1">#REF!</definedName>
    <definedName name="BO6B18E1F5D64D4112A062E2ABE6407D32" localSheetId="7" hidden="1">#REF!</definedName>
    <definedName name="BO6B18E1F5D64D4112A062E2ABE6407D32" hidden="1">#REF!</definedName>
    <definedName name="BO6B1BFC1293034E5193AFF22B6B019070" localSheetId="7" hidden="1">#REF!</definedName>
    <definedName name="BO6B1BFC1293034E5193AFF22B6B019070" hidden="1">#REF!</definedName>
    <definedName name="BO6B1D04B8E5E749C5B27FF0FDF085C4C1" localSheetId="7" hidden="1">#REF!</definedName>
    <definedName name="BO6B1D04B8E5E749C5B27FF0FDF085C4C1" hidden="1">#REF!</definedName>
    <definedName name="BO6B5A31EC5B9042689EB3A4A7D39E24B6" localSheetId="7" hidden="1">#REF!</definedName>
    <definedName name="BO6B5A31EC5B9042689EB3A4A7D39E24B6" hidden="1">#REF!</definedName>
    <definedName name="BO6B5AA144B6A241CA9FEAE81384936078" localSheetId="7" hidden="1">#REF!</definedName>
    <definedName name="BO6B5AA144B6A241CA9FEAE81384936078" hidden="1">#REF!</definedName>
    <definedName name="BO6B6F14F122644D22A0E8C93A986B65A8" localSheetId="7" hidden="1">#REF!</definedName>
    <definedName name="BO6B6F14F122644D22A0E8C93A986B65A8" hidden="1">#REF!</definedName>
    <definedName name="BO6B85236A40A049D3A0C7DE5A0E5CF74A" localSheetId="7" hidden="1">#REF!</definedName>
    <definedName name="BO6B85236A40A049D3A0C7DE5A0E5CF74A" hidden="1">#REF!</definedName>
    <definedName name="BO6B85D9CC934A42CBBE5167A0D0C61BF4" localSheetId="7" hidden="1">#REF!</definedName>
    <definedName name="BO6B85D9CC934A42CBBE5167A0D0C61BF4" hidden="1">#REF!</definedName>
    <definedName name="BO6B8A145430DF4ABFA3270B8E6D684B6D" localSheetId="7" hidden="1">#REF!</definedName>
    <definedName name="BO6B8A145430DF4ABFA3270B8E6D684B6D" hidden="1">#REF!</definedName>
    <definedName name="BO6BA54EF3B001419BBA2F1907633EB54D" localSheetId="7" hidden="1">#REF!</definedName>
    <definedName name="BO6BA54EF3B001419BBA2F1907633EB54D" hidden="1">#REF!</definedName>
    <definedName name="BO6BAE1A9811D94A0189A4E97B62B8D686" localSheetId="7" hidden="1">#REF!</definedName>
    <definedName name="BO6BAE1A9811D94A0189A4E97B62B8D686" hidden="1">#REF!</definedName>
    <definedName name="BO6BDA17D555AD4A3F9910A403FD3D6BD2" localSheetId="7" hidden="1">#REF!</definedName>
    <definedName name="BO6BDA17D555AD4A3F9910A403FD3D6BD2" hidden="1">#REF!</definedName>
    <definedName name="BO6BF3C9B1774A462B85CB31A9DB2B9F31" localSheetId="7" hidden="1">#REF!</definedName>
    <definedName name="BO6BF3C9B1774A462B85CB31A9DB2B9F31" hidden="1">#REF!</definedName>
    <definedName name="BO6BF60DC236D44E1CBFBC8777F9C5E82F" localSheetId="7" hidden="1">#REF!</definedName>
    <definedName name="BO6BF60DC236D44E1CBFBC8777F9C5E82F" hidden="1">#REF!</definedName>
    <definedName name="BO6C0ABE544CBA47C5870B7078BA1F9A0F" localSheetId="7" hidden="1">#REF!</definedName>
    <definedName name="BO6C0ABE544CBA47C5870B7078BA1F9A0F" hidden="1">#REF!</definedName>
    <definedName name="BO6C1B0FD9D20F473DA2B34972837850B6" localSheetId="7" hidden="1">#REF!</definedName>
    <definedName name="BO6C1B0FD9D20F473DA2B34972837850B6" hidden="1">#REF!</definedName>
    <definedName name="BO6C275C8A82D94B2184E270D7C29E46E5" localSheetId="7" hidden="1">#REF!</definedName>
    <definedName name="BO6C275C8A82D94B2184E270D7C29E46E5" hidden="1">#REF!</definedName>
    <definedName name="BO6C42A27CED4B42DC9FD33144FF9DC096" localSheetId="7" hidden="1">#REF!</definedName>
    <definedName name="BO6C42A27CED4B42DC9FD33144FF9DC096" hidden="1">#REF!</definedName>
    <definedName name="BO6C5AF033A5E142C1BD7037EA05C27C71" localSheetId="7" hidden="1">#REF!</definedName>
    <definedName name="BO6C5AF033A5E142C1BD7037EA05C27C71" hidden="1">#REF!</definedName>
    <definedName name="BO6C6AFE5213BC4159A431D7AA329E0B5D" localSheetId="7" hidden="1">#REF!</definedName>
    <definedName name="BO6C6AFE5213BC4159A431D7AA329E0B5D" hidden="1">#REF!</definedName>
    <definedName name="BO6C8C2F0E3695469D8888D89B81960D05" localSheetId="7" hidden="1">#REF!</definedName>
    <definedName name="BO6C8C2F0E3695469D8888D89B81960D05" hidden="1">#REF!</definedName>
    <definedName name="BO6CB2D66D2C4F402EA61726E5A5F64CD7" localSheetId="7" hidden="1">#REF!</definedName>
    <definedName name="BO6CB2D66D2C4F402EA61726E5A5F64CD7" hidden="1">#REF!</definedName>
    <definedName name="BO6CB3FBB5249A495FA20C857B392ACD91" localSheetId="7" hidden="1">#REF!</definedName>
    <definedName name="BO6CB3FBB5249A495FA20C857B392ACD91" hidden="1">#REF!</definedName>
    <definedName name="BO6CB91292B0674467B22E3992F37F47A2" localSheetId="7" hidden="1">#REF!</definedName>
    <definedName name="BO6CB91292B0674467B22E3992F37F47A2" hidden="1">#REF!</definedName>
    <definedName name="BO6CEE75FE9BCD48F3B3A78C6CEF27226E" localSheetId="7" hidden="1">#REF!</definedName>
    <definedName name="BO6CEE75FE9BCD48F3B3A78C6CEF27226E" hidden="1">#REF!</definedName>
    <definedName name="BO6CF954BC9F914A76962BABB1700D33EF" localSheetId="7" hidden="1">#REF!</definedName>
    <definedName name="BO6CF954BC9F914A76962BABB1700D33EF" hidden="1">#REF!</definedName>
    <definedName name="BO6D0BAA65D1934BD697D5124A608888EB" localSheetId="7" hidden="1">#REF!</definedName>
    <definedName name="BO6D0BAA65D1934BD697D5124A608888EB" hidden="1">#REF!</definedName>
    <definedName name="BO6D175EB37A9345F593FC73E7AD59F901" localSheetId="7" hidden="1">#REF!</definedName>
    <definedName name="BO6D175EB37A9345F593FC73E7AD59F901" hidden="1">#REF!</definedName>
    <definedName name="BO6D30C5B0471A4BB1BEC96EB111F366AB" localSheetId="7" hidden="1">#REF!</definedName>
    <definedName name="BO6D30C5B0471A4BB1BEC96EB111F366AB" hidden="1">#REF!</definedName>
    <definedName name="BO6D6200D0D09B4DBCA1562D616EB8292B" localSheetId="7" hidden="1">#REF!</definedName>
    <definedName name="BO6D6200D0D09B4DBCA1562D616EB8292B" hidden="1">#REF!</definedName>
    <definedName name="BO6DD22FF446BF42D09C98C66BA79CA75D" localSheetId="7" hidden="1">#REF!</definedName>
    <definedName name="BO6DD22FF446BF42D09C98C66BA79CA75D" hidden="1">#REF!</definedName>
    <definedName name="BO6DF28C4C459D41BFA7026E6B004CC7EB" localSheetId="7" hidden="1">#REF!</definedName>
    <definedName name="BO6DF28C4C459D41BFA7026E6B004CC7EB" hidden="1">#REF!</definedName>
    <definedName name="BO6DF3A9C5CFF5470E866C7BC6DDD4058A" localSheetId="7" hidden="1">#REF!</definedName>
    <definedName name="BO6DF3A9C5CFF5470E866C7BC6DDD4058A" hidden="1">#REF!</definedName>
    <definedName name="BO6E0967A67FCC40D294405B683A52BA88" localSheetId="7" hidden="1">#REF!</definedName>
    <definedName name="BO6E0967A67FCC40D294405B683A52BA88" hidden="1">#REF!</definedName>
    <definedName name="BO6E0D4C6CB34444A19A01C17933C751BD" localSheetId="7" hidden="1">#REF!</definedName>
    <definedName name="BO6E0D4C6CB34444A19A01C17933C751BD" hidden="1">#REF!</definedName>
    <definedName name="BO6E3AA19F126B49379D559833E3951B08" localSheetId="7" hidden="1">#REF!</definedName>
    <definedName name="BO6E3AA19F126B49379D559833E3951B08" hidden="1">#REF!</definedName>
    <definedName name="BO6E3DC25440304C09A13B23605D1AB3D7" localSheetId="7" hidden="1">#REF!</definedName>
    <definedName name="BO6E3DC25440304C09A13B23605D1AB3D7" hidden="1">#REF!</definedName>
    <definedName name="BO6E3F70969A444A3A8CF6D9979617ED96" localSheetId="7" hidden="1">#REF!</definedName>
    <definedName name="BO6E3F70969A444A3A8CF6D9979617ED96" hidden="1">#REF!</definedName>
    <definedName name="BO6E4C46D8222D42829F5778F1F782583F" localSheetId="7" hidden="1">#REF!</definedName>
    <definedName name="BO6E4C46D8222D42829F5778F1F782583F" hidden="1">#REF!</definedName>
    <definedName name="BO6E732E3A3D3E4171A5C913362330FDC0" localSheetId="7" hidden="1">#REF!</definedName>
    <definedName name="BO6E732E3A3D3E4171A5C913362330FDC0" hidden="1">#REF!</definedName>
    <definedName name="BO6E9AF8FB9B28498D910304D95660BC81" localSheetId="7" hidden="1">#REF!</definedName>
    <definedName name="BO6E9AF8FB9B28498D910304D95660BC81" hidden="1">#REF!</definedName>
    <definedName name="BO6EA2D3D68A334181AC0A9EE033DD2928" localSheetId="7" hidden="1">#REF!</definedName>
    <definedName name="BO6EA2D3D68A334181AC0A9EE033DD2928" hidden="1">#REF!</definedName>
    <definedName name="BO6EA2F2F7F5F64A22B0C80FEB05EE2C30" localSheetId="7" hidden="1">#REF!</definedName>
    <definedName name="BO6EA2F2F7F5F64A22B0C80FEB05EE2C30" hidden="1">#REF!</definedName>
    <definedName name="BO6ECB0A01B588454FB803075E6EE80A1C" localSheetId="7" hidden="1">#REF!</definedName>
    <definedName name="BO6ECB0A01B588454FB803075E6EE80A1C" hidden="1">#REF!</definedName>
    <definedName name="BO6ED0E1AA86CB40BF83D74218B91C8316" localSheetId="7" hidden="1">#REF!</definedName>
    <definedName name="BO6ED0E1AA86CB40BF83D74218B91C8316" hidden="1">#REF!</definedName>
    <definedName name="BO6EECC689F9B7499A9532762AFCBABF12" localSheetId="7" hidden="1">#REF!</definedName>
    <definedName name="BO6EECC689F9B7499A9532762AFCBABF12" hidden="1">#REF!</definedName>
    <definedName name="BO6F0D8461DB004FB79C97A139DC55A77C" localSheetId="7" hidden="1">#REF!</definedName>
    <definedName name="BO6F0D8461DB004FB79C97A139DC55A77C" hidden="1">#REF!</definedName>
    <definedName name="BO6F108F6AC00D44BFB37C1EF751329064" localSheetId="7" hidden="1">#REF!</definedName>
    <definedName name="BO6F108F6AC00D44BFB37C1EF751329064" hidden="1">#REF!</definedName>
    <definedName name="BO6F1592756ABC4F0AB5C21A1990B3BD1D" localSheetId="7" hidden="1">#REF!</definedName>
    <definedName name="BO6F1592756ABC4F0AB5C21A1990B3BD1D" hidden="1">#REF!</definedName>
    <definedName name="BO6F18D4B6C13F4AC1A76B5188965693E0" localSheetId="7" hidden="1">#REF!</definedName>
    <definedName name="BO6F18D4B6C13F4AC1A76B5188965693E0" hidden="1">#REF!</definedName>
    <definedName name="BO6F499E292C93465586D882C8B53AE773" localSheetId="7" hidden="1">#REF!</definedName>
    <definedName name="BO6F499E292C93465586D882C8B53AE773" hidden="1">#REF!</definedName>
    <definedName name="BO6F6BBB973E364F858BCEF076775A4203" localSheetId="7" hidden="1">#REF!</definedName>
    <definedName name="BO6F6BBB973E364F858BCEF076775A4203" hidden="1">#REF!</definedName>
    <definedName name="BO6F74DDC3DF594317AB49239B5B4F4468" localSheetId="7" hidden="1">#REF!</definedName>
    <definedName name="BO6F74DDC3DF594317AB49239B5B4F4468" hidden="1">#REF!</definedName>
    <definedName name="BO6F94408C1BA740978A2CB1630690904D" localSheetId="7" hidden="1">#REF!</definedName>
    <definedName name="BO6F94408C1BA740978A2CB1630690904D" hidden="1">#REF!</definedName>
    <definedName name="BO6F98533AC081411EAF8306EED7A73251" localSheetId="7" hidden="1">#REF!</definedName>
    <definedName name="BO6F98533AC081411EAF8306EED7A73251" hidden="1">#REF!</definedName>
    <definedName name="BO6FA53D3916924243BA44CEF968E0B83A" localSheetId="7" hidden="1">#REF!</definedName>
    <definedName name="BO6FA53D3916924243BA44CEF968E0B83A" hidden="1">#REF!</definedName>
    <definedName name="BO6FABBA2127554B5898AF1483D4346DD4" localSheetId="7" hidden="1">#REF!</definedName>
    <definedName name="BO6FABBA2127554B5898AF1483D4346DD4" hidden="1">#REF!</definedName>
    <definedName name="BO6FB05E95639A45FE8718DB7E4827B1FF" localSheetId="7" hidden="1">#REF!</definedName>
    <definedName name="BO6FB05E95639A45FE8718DB7E4827B1FF" hidden="1">#REF!</definedName>
    <definedName name="BO6FB1C8B3895946378775EA8315E2454D" localSheetId="7" hidden="1">#REF!</definedName>
    <definedName name="BO6FB1C8B3895946378775EA8315E2454D" hidden="1">#REF!</definedName>
    <definedName name="BO6FE1404ECCB14A028DC384CD6F8DC15B" localSheetId="7" hidden="1">#REF!</definedName>
    <definedName name="BO6FE1404ECCB14A028DC384CD6F8DC15B" hidden="1">#REF!</definedName>
    <definedName name="BO700B5C464B7C48B9A398EE86FB1F70C3" localSheetId="7" hidden="1">#REF!</definedName>
    <definedName name="BO700B5C464B7C48B9A398EE86FB1F70C3" hidden="1">#REF!</definedName>
    <definedName name="BO700C1E7D76E74F9B803BB380703B5E92" localSheetId="7" hidden="1">#REF!</definedName>
    <definedName name="BO700C1E7D76E74F9B803BB380703B5E92" hidden="1">#REF!</definedName>
    <definedName name="BO701A237DACC948A8A59C68AED1E88977" localSheetId="7" hidden="1">#REF!</definedName>
    <definedName name="BO701A237DACC948A8A59C68AED1E88977" hidden="1">#REF!</definedName>
    <definedName name="BO706EF8B81CC8448BA9F03133DDA0258E" localSheetId="7" hidden="1">#REF!</definedName>
    <definedName name="BO706EF8B81CC8448BA9F03133DDA0258E" hidden="1">#REF!</definedName>
    <definedName name="BO707CEBD98FBB47A4BBB0E8084FF6513C" localSheetId="7" hidden="1">#REF!</definedName>
    <definedName name="BO707CEBD98FBB47A4BBB0E8084FF6513C" hidden="1">#REF!</definedName>
    <definedName name="BO7081719DC7224A288564EE9A3FDBAE54" localSheetId="7" hidden="1">#REF!</definedName>
    <definedName name="BO7081719DC7224A288564EE9A3FDBAE54" hidden="1">#REF!</definedName>
    <definedName name="BO708967AA7C264F2CB822F8D9AE80E35B" localSheetId="7" hidden="1">#REF!</definedName>
    <definedName name="BO708967AA7C264F2CB822F8D9AE80E35B" hidden="1">#REF!</definedName>
    <definedName name="BO709D1EDA9ECB430B9959D17CA58A450A" localSheetId="7" hidden="1">#REF!</definedName>
    <definedName name="BO709D1EDA9ECB430B9959D17CA58A450A" hidden="1">#REF!</definedName>
    <definedName name="BO70A121FD12824004A329C8A9394F89F0" localSheetId="7" hidden="1">#REF!</definedName>
    <definedName name="BO70A121FD12824004A329C8A9394F89F0" hidden="1">#REF!</definedName>
    <definedName name="BO70A39366E4354E3EB07D81ED3829D065" localSheetId="7" hidden="1">#REF!</definedName>
    <definedName name="BO70A39366E4354E3EB07D81ED3829D065" hidden="1">#REF!</definedName>
    <definedName name="BO70AA02CCBEB34C5988BD79A83F52101F" localSheetId="7" hidden="1">#REF!</definedName>
    <definedName name="BO70AA02CCBEB34C5988BD79A83F52101F" hidden="1">#REF!</definedName>
    <definedName name="BO70BB661E81EC4AE99FF6B8256FCE8C66" localSheetId="7" hidden="1">#REF!</definedName>
    <definedName name="BO70BB661E81EC4AE99FF6B8256FCE8C66" hidden="1">#REF!</definedName>
    <definedName name="BO70DB86F2FAFF4D5887B64C9E901C88DF" localSheetId="7" hidden="1">#REF!</definedName>
    <definedName name="BO70DB86F2FAFF4D5887B64C9E901C88DF" hidden="1">#REF!</definedName>
    <definedName name="BO70EEFA4AE85948E3AC8930EA0FE42971" localSheetId="7" hidden="1">#REF!</definedName>
    <definedName name="BO70EEFA4AE85948E3AC8930EA0FE42971" hidden="1">#REF!</definedName>
    <definedName name="BO710EC0C541AF47199D66F1C75CAFF8D6" localSheetId="7" hidden="1">#REF!</definedName>
    <definedName name="BO710EC0C541AF47199D66F1C75CAFF8D6" hidden="1">#REF!</definedName>
    <definedName name="BO710EDE021F8243588830423BBED1D251" localSheetId="7" hidden="1">#REF!</definedName>
    <definedName name="BO710EDE021F8243588830423BBED1D251" hidden="1">#REF!</definedName>
    <definedName name="BO711015C5BE3F48E3BECCEABF5936FDF6" localSheetId="7" hidden="1">#REF!</definedName>
    <definedName name="BO711015C5BE3F48E3BECCEABF5936FDF6" hidden="1">#REF!</definedName>
    <definedName name="BO7136C80A144242718DE2B2B4DEE5EE74" localSheetId="7" hidden="1">#REF!</definedName>
    <definedName name="BO7136C80A144242718DE2B2B4DEE5EE74" hidden="1">#REF!</definedName>
    <definedName name="BO7144D238C6AB49E494CD60BE560F4E36" localSheetId="7" hidden="1">#REF!</definedName>
    <definedName name="BO7144D238C6AB49E494CD60BE560F4E36" hidden="1">#REF!</definedName>
    <definedName name="BO715EE8F15D1B41568919172E83C37531" localSheetId="7" hidden="1">#REF!</definedName>
    <definedName name="BO715EE8F15D1B41568919172E83C37531" hidden="1">#REF!</definedName>
    <definedName name="BO71799C82D7EE427D815873A0FAB1A5AC" localSheetId="7" hidden="1">#REF!</definedName>
    <definedName name="BO71799C82D7EE427D815873A0FAB1A5AC" hidden="1">#REF!</definedName>
    <definedName name="BO719F17FA2A8B4321991EBB68C22976A1" localSheetId="7" hidden="1">#REF!</definedName>
    <definedName name="BO719F17FA2A8B4321991EBB68C22976A1" hidden="1">#REF!</definedName>
    <definedName name="BO71BB28F9E34340D3858E9673269528CA" localSheetId="7" hidden="1">#REF!</definedName>
    <definedName name="BO71BB28F9E34340D3858E9673269528CA" hidden="1">#REF!</definedName>
    <definedName name="BO71BF8535C42541948F98E896786E846C" localSheetId="7" hidden="1">#REF!</definedName>
    <definedName name="BO71BF8535C42541948F98E896786E846C" hidden="1">#REF!</definedName>
    <definedName name="BO71CE540163BA4401BBBF365DA3ABBEC2" localSheetId="7" hidden="1">#REF!</definedName>
    <definedName name="BO71CE540163BA4401BBBF365DA3ABBEC2" hidden="1">#REF!</definedName>
    <definedName name="BO71CEAFDE88E54E47B07E03E81C926F4F" localSheetId="7" hidden="1">#REF!</definedName>
    <definedName name="BO71CEAFDE88E54E47B07E03E81C926F4F" hidden="1">#REF!</definedName>
    <definedName name="BO71D863CD59564DC6B1DFFB13FDE2BB92" localSheetId="7" hidden="1">#REF!</definedName>
    <definedName name="BO71D863CD59564DC6B1DFFB13FDE2BB92" hidden="1">#REF!</definedName>
    <definedName name="BO71DF60A03B6845A79B429E71868D11AD" localSheetId="7" hidden="1">#REF!</definedName>
    <definedName name="BO71DF60A03B6845A79B429E71868D11AD" hidden="1">#REF!</definedName>
    <definedName name="BO71E3D5ABB9374ACF984A1E178456CF35" localSheetId="7" hidden="1">#REF!</definedName>
    <definedName name="BO71E3D5ABB9374ACF984A1E178456CF35" hidden="1">#REF!</definedName>
    <definedName name="BO71FD92BFAB384C73A71123EAD9BE486C" localSheetId="7" hidden="1">#REF!</definedName>
    <definedName name="BO71FD92BFAB384C73A71123EAD9BE486C" hidden="1">#REF!</definedName>
    <definedName name="BO7204EB917E41449489E0A775A42C1AFD" localSheetId="7" hidden="1">#REF!</definedName>
    <definedName name="BO7204EB917E41449489E0A775A42C1AFD" hidden="1">#REF!</definedName>
    <definedName name="BO720F0C780F424C5BB6C7EB33BF7BA019" localSheetId="7" hidden="1">#REF!</definedName>
    <definedName name="BO720F0C780F424C5BB6C7EB33BF7BA019" hidden="1">#REF!</definedName>
    <definedName name="BO722D67D39BA74A768A9835C1A2FC6654" localSheetId="7" hidden="1">#REF!</definedName>
    <definedName name="BO722D67D39BA74A768A9835C1A2FC6654" hidden="1">#REF!</definedName>
    <definedName name="BO726845BAD8614504AB425951FF3429A7" localSheetId="7" hidden="1">#REF!</definedName>
    <definedName name="BO726845BAD8614504AB425951FF3429A7" hidden="1">#REF!</definedName>
    <definedName name="BO7277E637044E454D93D3F8D4160078CA" localSheetId="7" hidden="1">#REF!</definedName>
    <definedName name="BO7277E637044E454D93D3F8D4160078CA" hidden="1">#REF!</definedName>
    <definedName name="BO728985E61F62495F9C990785ED3C701F" localSheetId="7" hidden="1">#REF!</definedName>
    <definedName name="BO728985E61F62495F9C990785ED3C701F" hidden="1">#REF!</definedName>
    <definedName name="BO72A4118D1DD44AB2B5FCB57FD3398E83" localSheetId="7" hidden="1">#REF!</definedName>
    <definedName name="BO72A4118D1DD44AB2B5FCB57FD3398E83" hidden="1">#REF!</definedName>
    <definedName name="BO72B968C139E74102BE398D60EE771F74" localSheetId="7" hidden="1">#REF!</definedName>
    <definedName name="BO72B968C139E74102BE398D60EE771F74" hidden="1">#REF!</definedName>
    <definedName name="BO72BE7ABFAA8C46A89E206EB33EF95824" localSheetId="7" hidden="1">#REF!</definedName>
    <definedName name="BO72BE7ABFAA8C46A89E206EB33EF95824" hidden="1">#REF!</definedName>
    <definedName name="BO72C33CB4DBCB48C282A3575873D42ACB" localSheetId="7" hidden="1">#REF!</definedName>
    <definedName name="BO72C33CB4DBCB48C282A3575873D42ACB" hidden="1">#REF!</definedName>
    <definedName name="BO72EA9E6CF30C4E8BA21F950CFC297E89" localSheetId="7" hidden="1">#REF!</definedName>
    <definedName name="BO72EA9E6CF30C4E8BA21F950CFC297E89" hidden="1">#REF!</definedName>
    <definedName name="BO72FDA8141BCC40828C0C13D980995BCD" localSheetId="7" hidden="1">#REF!</definedName>
    <definedName name="BO72FDA8141BCC40828C0C13D980995BCD" hidden="1">#REF!</definedName>
    <definedName name="BO7303AF306CF24EECBAAEA3B88384668B" localSheetId="7" hidden="1">#REF!</definedName>
    <definedName name="BO7303AF306CF24EECBAAEA3B88384668B" hidden="1">#REF!</definedName>
    <definedName name="BO7309CDBCE9EC46FD9B4F05EC6380B684" localSheetId="7" hidden="1">#REF!</definedName>
    <definedName name="BO7309CDBCE9EC46FD9B4F05EC6380B684" hidden="1">#REF!</definedName>
    <definedName name="BO732CE831C7A647C48833E7CE2B0A5727" localSheetId="7" hidden="1">#REF!</definedName>
    <definedName name="BO732CE831C7A647C48833E7CE2B0A5727" hidden="1">#REF!</definedName>
    <definedName name="BO7335325E04E041108709E2E5E8F4EC1C" localSheetId="7" hidden="1">#REF!</definedName>
    <definedName name="BO7335325E04E041108709E2E5E8F4EC1C" hidden="1">#REF!</definedName>
    <definedName name="BO733D5831580F4BC19DFF2009DAC80B18" localSheetId="7" hidden="1">#REF!</definedName>
    <definedName name="BO733D5831580F4BC19DFF2009DAC80B18" hidden="1">#REF!</definedName>
    <definedName name="BO7365B9FC57484E308F4C7B780A50246E" localSheetId="7" hidden="1">#REF!</definedName>
    <definedName name="BO7365B9FC57484E308F4C7B780A50246E" hidden="1">#REF!</definedName>
    <definedName name="BO737B8CA3CF2945D79142A33BE7FD56B9" localSheetId="7" hidden="1">#REF!</definedName>
    <definedName name="BO737B8CA3CF2945D79142A33BE7FD56B9" hidden="1">#REF!</definedName>
    <definedName name="BO7387B9DB53494FD6AD5513C6D93752AD" localSheetId="7" hidden="1">#REF!</definedName>
    <definedName name="BO7387B9DB53494FD6AD5513C6D93752AD" hidden="1">#REF!</definedName>
    <definedName name="BO738C614AC6274F509365174031902EDB" localSheetId="7" hidden="1">#REF!</definedName>
    <definedName name="BO738C614AC6274F509365174031902EDB" hidden="1">#REF!</definedName>
    <definedName name="BO739DD8288E044E36A3FBB38511E5FCC1" localSheetId="7" hidden="1">#REF!</definedName>
    <definedName name="BO739DD8288E044E36A3FBB38511E5FCC1" hidden="1">#REF!</definedName>
    <definedName name="BO73AA4438B19A4E809F3F2A2ACD86946C" localSheetId="7" hidden="1">#REF!</definedName>
    <definedName name="BO73AA4438B19A4E809F3F2A2ACD86946C" hidden="1">#REF!</definedName>
    <definedName name="BO73C1D3B9E0834DEAA231C656AFFC472C" localSheetId="7" hidden="1">#REF!</definedName>
    <definedName name="BO73C1D3B9E0834DEAA231C656AFFC472C" hidden="1">#REF!</definedName>
    <definedName name="BO73C7D793406B4B66B47CAA5B738DD56D" localSheetId="7" hidden="1">#REF!</definedName>
    <definedName name="BO73C7D793406B4B66B47CAA5B738DD56D" hidden="1">#REF!</definedName>
    <definedName name="BO73DFE31E7EF345C3BE2C7FBB17E82E35" localSheetId="7" hidden="1">#REF!</definedName>
    <definedName name="BO73DFE31E7EF345C3BE2C7FBB17E82E35" hidden="1">#REF!</definedName>
    <definedName name="BO7400051DD4A142578806260BDB7FA51B" localSheetId="7" hidden="1">#REF!</definedName>
    <definedName name="BO7400051DD4A142578806260BDB7FA51B" hidden="1">#REF!</definedName>
    <definedName name="BO741014D9E3E944BDABB25CAFC224E55A" localSheetId="7" hidden="1">#REF!</definedName>
    <definedName name="BO741014D9E3E944BDABB25CAFC224E55A" hidden="1">#REF!</definedName>
    <definedName name="BO74514FC71E074B80BCBF52BD4CC3D6CD" localSheetId="7" hidden="1">#REF!</definedName>
    <definedName name="BO74514FC71E074B80BCBF52BD4CC3D6CD" hidden="1">#REF!</definedName>
    <definedName name="BO74944FD9C78A4067856FD4B07923C4AB" localSheetId="7" hidden="1">#REF!</definedName>
    <definedName name="BO74944FD9C78A4067856FD4B07923C4AB" hidden="1">#REF!</definedName>
    <definedName name="BO749FD07001AD4D7ABBBD3B409E3B6AE3" localSheetId="7" hidden="1">#REF!</definedName>
    <definedName name="BO749FD07001AD4D7ABBBD3B409E3B6AE3" hidden="1">#REF!</definedName>
    <definedName name="BO74A71397832E46E5B10367BEDD11130C" localSheetId="7" hidden="1">#REF!</definedName>
    <definedName name="BO74A71397832E46E5B10367BEDD11130C" hidden="1">#REF!</definedName>
    <definedName name="BO74A813CDD710481C811ED861E67EE2E7" localSheetId="7" hidden="1">#REF!</definedName>
    <definedName name="BO74A813CDD710481C811ED861E67EE2E7" hidden="1">#REF!</definedName>
    <definedName name="BO74A8D6808FEE4FAA9BAE3F8DEBAF09FF" localSheetId="7" hidden="1">#REF!</definedName>
    <definedName name="BO74A8D6808FEE4FAA9BAE3F8DEBAF09FF" hidden="1">#REF!</definedName>
    <definedName name="BO74D80122E4774306BE2D400ECAFAF6FE" localSheetId="7" hidden="1">#REF!</definedName>
    <definedName name="BO74D80122E4774306BE2D400ECAFAF6FE" hidden="1">#REF!</definedName>
    <definedName name="BO74E9D0932FBE431F99AC5D60649939F4" localSheetId="7" hidden="1">#REF!</definedName>
    <definedName name="BO74E9D0932FBE431F99AC5D60649939F4" hidden="1">#REF!</definedName>
    <definedName name="BO74F4650AF3FD497C832E760F158BCA59" localSheetId="7" hidden="1">#REF!</definedName>
    <definedName name="BO74F4650AF3FD497C832E760F158BCA59" hidden="1">#REF!</definedName>
    <definedName name="BO750FDA58CE8E4A7BA28ED0C1A9E6FD7E" localSheetId="7" hidden="1">#REF!</definedName>
    <definedName name="BO750FDA58CE8E4A7BA28ED0C1A9E6FD7E" hidden="1">#REF!</definedName>
    <definedName name="BO75115E2FC6914B6389CAC55747E608F9" localSheetId="7" hidden="1">#REF!</definedName>
    <definedName name="BO75115E2FC6914B6389CAC55747E608F9" hidden="1">#REF!</definedName>
    <definedName name="BO7529DFC5B723413D9A8DD17B6C4AA49F" localSheetId="7" hidden="1">#REF!</definedName>
    <definedName name="BO7529DFC5B723413D9A8DD17B6C4AA49F" hidden="1">#REF!</definedName>
    <definedName name="BO753328256B6E4A1FA9B237305FAC2E83" localSheetId="7" hidden="1">#REF!</definedName>
    <definedName name="BO753328256B6E4A1FA9B237305FAC2E83" hidden="1">#REF!</definedName>
    <definedName name="BO7538AAEAB9DF46A6AAE9332DC06B4BA5" localSheetId="7" hidden="1">#REF!</definedName>
    <definedName name="BO7538AAEAB9DF46A6AAE9332DC06B4BA5" hidden="1">#REF!</definedName>
    <definedName name="BO7543D51BE07242D8A665E7A452121F51" localSheetId="7" hidden="1">#REF!</definedName>
    <definedName name="BO7543D51BE07242D8A665E7A452121F51" hidden="1">#REF!</definedName>
    <definedName name="BO754BC7FCCD1B4F19B0210E344F312036" localSheetId="7" hidden="1">#REF!</definedName>
    <definedName name="BO754BC7FCCD1B4F19B0210E344F312036" hidden="1">#REF!</definedName>
    <definedName name="BO7553D88E111B4DECAFCD9AE718F0BD62" localSheetId="7" hidden="1">#REF!</definedName>
    <definedName name="BO7553D88E111B4DECAFCD9AE718F0BD62" hidden="1">#REF!</definedName>
    <definedName name="BO758C002EED9C40EF86BB3013B3529C5A" localSheetId="7" hidden="1">#REF!</definedName>
    <definedName name="BO758C002EED9C40EF86BB3013B3529C5A" hidden="1">#REF!</definedName>
    <definedName name="BO759AFFD2C5D14824978BDB461A53B7E5" localSheetId="7" hidden="1">#REF!</definedName>
    <definedName name="BO759AFFD2C5D14824978BDB461A53B7E5" hidden="1">#REF!</definedName>
    <definedName name="BO75E5541C4007475D86355240CB484625" localSheetId="7" hidden="1">#REF!</definedName>
    <definedName name="BO75E5541C4007475D86355240CB484625" hidden="1">#REF!</definedName>
    <definedName name="BO75F0D36F71A74F7EBEF141C215778843" localSheetId="7" hidden="1">#REF!</definedName>
    <definedName name="BO75F0D36F71A74F7EBEF141C215778843" hidden="1">#REF!</definedName>
    <definedName name="BO75F64CCD84E54AF8B34FDF1A63B8CECD" localSheetId="7" hidden="1">#REF!</definedName>
    <definedName name="BO75F64CCD84E54AF8B34FDF1A63B8CECD" hidden="1">#REF!</definedName>
    <definedName name="BO75FBCD4AC1B04E6D87B235698C9D17FB" localSheetId="7" hidden="1">#REF!</definedName>
    <definedName name="BO75FBCD4AC1B04E6D87B235698C9D17FB" hidden="1">#REF!</definedName>
    <definedName name="BO760355CF44444BB187B9D26C5F6226AC" localSheetId="7" hidden="1">#REF!</definedName>
    <definedName name="BO760355CF44444BB187B9D26C5F6226AC" hidden="1">#REF!</definedName>
    <definedName name="BO76071567108349D7BA5762FD21B3CDC6" localSheetId="7" hidden="1">#REF!</definedName>
    <definedName name="BO76071567108349D7BA5762FD21B3CDC6" hidden="1">#REF!</definedName>
    <definedName name="BO761AF066643D47BB965E87E75C152FAE" localSheetId="7" hidden="1">#REF!</definedName>
    <definedName name="BO761AF066643D47BB965E87E75C152FAE" hidden="1">#REF!</definedName>
    <definedName name="BO761B24A242AC4DDF87CDF7454B74479C" localSheetId="7" hidden="1">#REF!</definedName>
    <definedName name="BO761B24A242AC4DDF87CDF7454B74479C" hidden="1">#REF!</definedName>
    <definedName name="BO7620F3D4AA9445E599FE35133C2E6281" localSheetId="7" hidden="1">#REF!</definedName>
    <definedName name="BO7620F3D4AA9445E599FE35133C2E6281" hidden="1">#REF!</definedName>
    <definedName name="BO763CFD4488F04DF489197089D14AC3CE" localSheetId="7" hidden="1">#REF!</definedName>
    <definedName name="BO763CFD4488F04DF489197089D14AC3CE" hidden="1">#REF!</definedName>
    <definedName name="BO76456F7654254E508C7C9F3F304DFCE6" localSheetId="7" hidden="1">#REF!</definedName>
    <definedName name="BO76456F7654254E508C7C9F3F304DFCE6" hidden="1">#REF!</definedName>
    <definedName name="BO765F6A676DEF465EB6C917C89A053C44" localSheetId="7" hidden="1">#REF!</definedName>
    <definedName name="BO765F6A676DEF465EB6C917C89A053C44" hidden="1">#REF!</definedName>
    <definedName name="BO76676BDF5D834B00A62AB34851B68273" localSheetId="7" hidden="1">#REF!</definedName>
    <definedName name="BO76676BDF5D834B00A62AB34851B68273" hidden="1">#REF!</definedName>
    <definedName name="BO76702839E2EF40208DD4912122C46669" localSheetId="7" hidden="1">#REF!</definedName>
    <definedName name="BO76702839E2EF40208DD4912122C46669" hidden="1">#REF!</definedName>
    <definedName name="BO76713F47A8CF4048B623F54799C1FB44" localSheetId="7" hidden="1">#REF!</definedName>
    <definedName name="BO76713F47A8CF4048B623F54799C1FB44" hidden="1">#REF!</definedName>
    <definedName name="BO769387A1C8F8465BA074087E73B846A8" localSheetId="7" hidden="1">#REF!</definedName>
    <definedName name="BO769387A1C8F8465BA074087E73B846A8" hidden="1">#REF!</definedName>
    <definedName name="BO76A88528A1944601BEAE748EBBD6A414" localSheetId="7" hidden="1">#REF!</definedName>
    <definedName name="BO76A88528A1944601BEAE748EBBD6A414" hidden="1">#REF!</definedName>
    <definedName name="BO76AC952718A1441984B7893DBA2ABB76" localSheetId="7" hidden="1">#REF!</definedName>
    <definedName name="BO76AC952718A1441984B7893DBA2ABB76" hidden="1">#REF!</definedName>
    <definedName name="BO76BD9FEB471841338DF81620F4BF531E" localSheetId="7" hidden="1">#REF!</definedName>
    <definedName name="BO76BD9FEB471841338DF81620F4BF531E" hidden="1">#REF!</definedName>
    <definedName name="BO76CD8738D69147EF96AB751C75C1492E" localSheetId="7" hidden="1">#REF!</definedName>
    <definedName name="BO76CD8738D69147EF96AB751C75C1492E" hidden="1">#REF!</definedName>
    <definedName name="BO76D57323AD0D4CB3B14039F34E40B519" localSheetId="7" hidden="1">#REF!</definedName>
    <definedName name="BO76D57323AD0D4CB3B14039F34E40B519" hidden="1">#REF!</definedName>
    <definedName name="BO76E8088C801745269FE5E4D7EB8FCF13" localSheetId="7" hidden="1">#REF!</definedName>
    <definedName name="BO76E8088C801745269FE5E4D7EB8FCF13" hidden="1">#REF!</definedName>
    <definedName name="BO76F334CE82174AEA8A614B8E74808B49" localSheetId="7" hidden="1">#REF!</definedName>
    <definedName name="BO76F334CE82174AEA8A614B8E74808B49" hidden="1">#REF!</definedName>
    <definedName name="BO77012AE080BA419FBD5EB3F101286218" localSheetId="7" hidden="1">#REF!</definedName>
    <definedName name="BO77012AE080BA419FBD5EB3F101286218" hidden="1">#REF!</definedName>
    <definedName name="BO77087CE9DA674314BE4DEFC35F67B6B9" localSheetId="7" hidden="1">#REF!</definedName>
    <definedName name="BO77087CE9DA674314BE4DEFC35F67B6B9" hidden="1">#REF!</definedName>
    <definedName name="BO7711371B8FB44DAFBFBA2A5447226264" localSheetId="7" hidden="1">#REF!</definedName>
    <definedName name="BO7711371B8FB44DAFBFBA2A5447226264" hidden="1">#REF!</definedName>
    <definedName name="BO775F529FACE0412A9C0C75BDDCE3506E" localSheetId="7" hidden="1">#REF!</definedName>
    <definedName name="BO775F529FACE0412A9C0C75BDDCE3506E" hidden="1">#REF!</definedName>
    <definedName name="BO7792D872CA6F43F99377334725F84C15" localSheetId="7" hidden="1">#REF!</definedName>
    <definedName name="BO7792D872CA6F43F99377334725F84C15" hidden="1">#REF!</definedName>
    <definedName name="BO77A4CEA8B1254F7091C6E89BA17515FE" localSheetId="7" hidden="1">#REF!</definedName>
    <definedName name="BO77A4CEA8B1254F7091C6E89BA17515FE" hidden="1">#REF!</definedName>
    <definedName name="BO77A60540C02E4720A246D4155BCC21B1" localSheetId="7" hidden="1">#REF!</definedName>
    <definedName name="BO77A60540C02E4720A246D4155BCC21B1" hidden="1">#REF!</definedName>
    <definedName name="BO77AAFD69379F463DA9AF3EEEFF92DDC7" localSheetId="7" hidden="1">#REF!</definedName>
    <definedName name="BO77AAFD69379F463DA9AF3EEEFF92DDC7" hidden="1">#REF!</definedName>
    <definedName name="BO77AFADC88B8C42D38B638706938E3C69" localSheetId="7" hidden="1">#REF!</definedName>
    <definedName name="BO77AFADC88B8C42D38B638706938E3C69" hidden="1">#REF!</definedName>
    <definedName name="BO77BE5B14DA6645CC83B7800B4D93A120" localSheetId="7" hidden="1">#REF!</definedName>
    <definedName name="BO77BE5B14DA6645CC83B7800B4D93A120" hidden="1">#REF!</definedName>
    <definedName name="BO77FD832C7F10470F81754C379E85C6E5" localSheetId="7" hidden="1">#REF!</definedName>
    <definedName name="BO77FD832C7F10470F81754C379E85C6E5" hidden="1">#REF!</definedName>
    <definedName name="BO7824994F184344D2A3468C07479B79F8" localSheetId="7" hidden="1">#REF!</definedName>
    <definedName name="BO7824994F184344D2A3468C07479B79F8" hidden="1">#REF!</definedName>
    <definedName name="BO783A347F5414457DA39F43E87ECBFF57" localSheetId="7" hidden="1">#REF!</definedName>
    <definedName name="BO783A347F5414457DA39F43E87ECBFF57" hidden="1">#REF!</definedName>
    <definedName name="BO784EBF93E5D64A469772E2538457EC0F" localSheetId="7" hidden="1">#REF!</definedName>
    <definedName name="BO784EBF93E5D64A469772E2538457EC0F" hidden="1">#REF!</definedName>
    <definedName name="BO785570C4B4A2415F86DF806EC096239E" localSheetId="7" hidden="1">#REF!</definedName>
    <definedName name="BO785570C4B4A2415F86DF806EC096239E" hidden="1">#REF!</definedName>
    <definedName name="BO78597BE915E049A796568559D226B102" localSheetId="7" hidden="1">#REF!</definedName>
    <definedName name="BO78597BE915E049A796568559D226B102" hidden="1">#REF!</definedName>
    <definedName name="BO7878989DDE87467CA6E1F9948E55C4A0" localSheetId="7" hidden="1">#REF!</definedName>
    <definedName name="BO7878989DDE87467CA6E1F9948E55C4A0" hidden="1">#REF!</definedName>
    <definedName name="BO78A386A1DCDB4CF18F439242381899F4" localSheetId="7" hidden="1">#REF!</definedName>
    <definedName name="BO78A386A1DCDB4CF18F439242381899F4" hidden="1">#REF!</definedName>
    <definedName name="BO78A9C40AD7864E1392A72F52D0E29A00" localSheetId="7" hidden="1">#REF!</definedName>
    <definedName name="BO78A9C40AD7864E1392A72F52D0E29A00" hidden="1">#REF!</definedName>
    <definedName name="BO78B1916F262D47DEB36441C461E770DC" localSheetId="7" hidden="1">#REF!</definedName>
    <definedName name="BO78B1916F262D47DEB36441C461E770DC" hidden="1">#REF!</definedName>
    <definedName name="BO78BC10691BEF4CBE8AB9F7F38782320C" localSheetId="7" hidden="1">#REF!</definedName>
    <definedName name="BO78BC10691BEF4CBE8AB9F7F38782320C" hidden="1">#REF!</definedName>
    <definedName name="BO78CADD889DC547A4B60FCFA1C769698A" localSheetId="7" hidden="1">#REF!</definedName>
    <definedName name="BO78CADD889DC547A4B60FCFA1C769698A" hidden="1">#REF!</definedName>
    <definedName name="BO78CAF900F77E45798959BB7F292AE2F9" localSheetId="7" hidden="1">#REF!</definedName>
    <definedName name="BO78CAF900F77E45798959BB7F292AE2F9" hidden="1">#REF!</definedName>
    <definedName name="BO78DC3FCF4ABA436893DE91DA2F8F291A" localSheetId="7" hidden="1">#REF!</definedName>
    <definedName name="BO78DC3FCF4ABA436893DE91DA2F8F291A" hidden="1">#REF!</definedName>
    <definedName name="BO78E2E3F163FF4C9598E03926F4A13CBE" localSheetId="7" hidden="1">#REF!</definedName>
    <definedName name="BO78E2E3F163FF4C9598E03926F4A13CBE" hidden="1">#REF!</definedName>
    <definedName name="BO7905334DAB47479A9CD449DFED35F627" localSheetId="7" hidden="1">#REF!</definedName>
    <definedName name="BO7905334DAB47479A9CD449DFED35F627" hidden="1">#REF!</definedName>
    <definedName name="BO790E00254BCC41D682DDB5964862FD88" localSheetId="7" hidden="1">#REF!</definedName>
    <definedName name="BO790E00254BCC41D682DDB5964862FD88" hidden="1">#REF!</definedName>
    <definedName name="BO7923116B70A24FFF8FC2923E3DBFD0DF" localSheetId="7" hidden="1">#REF!</definedName>
    <definedName name="BO7923116B70A24FFF8FC2923E3DBFD0DF" hidden="1">#REF!</definedName>
    <definedName name="BO792352B087ED4CFEBC6C30D63B5AECC2" localSheetId="7" hidden="1">#REF!</definedName>
    <definedName name="BO792352B087ED4CFEBC6C30D63B5AECC2" hidden="1">#REF!</definedName>
    <definedName name="BO793F4E6478A747A391BE022910F96BD2" localSheetId="7" hidden="1">#REF!</definedName>
    <definedName name="BO793F4E6478A747A391BE022910F96BD2" hidden="1">#REF!</definedName>
    <definedName name="BO794FB18FD5F74DF1ADC01187F60A34A0" localSheetId="7" hidden="1">#REF!</definedName>
    <definedName name="BO794FB18FD5F74DF1ADC01187F60A34A0" hidden="1">#REF!</definedName>
    <definedName name="BO7968AC9048A34555AF1ED1A83B75C9B1" localSheetId="7" hidden="1">#REF!</definedName>
    <definedName name="BO7968AC9048A34555AF1ED1A83B75C9B1" hidden="1">#REF!</definedName>
    <definedName name="BO79800818D00E43CF92E003E68E7CA730" localSheetId="7" hidden="1">#REF!</definedName>
    <definedName name="BO79800818D00E43CF92E003E68E7CA730" hidden="1">#REF!</definedName>
    <definedName name="BO7982CDA8F5964760A7247FF27FC7384C" localSheetId="7" hidden="1">#REF!</definedName>
    <definedName name="BO7982CDA8F5964760A7247FF27FC7384C" hidden="1">#REF!</definedName>
    <definedName name="BO799EFA3A1FA347E784F1AEF916E8F614" localSheetId="7" hidden="1">#REF!</definedName>
    <definedName name="BO799EFA3A1FA347E784F1AEF916E8F614" hidden="1">#REF!</definedName>
    <definedName name="BO79AD6B4E70DC4C70AA26E84363787F89" localSheetId="7" hidden="1">#REF!</definedName>
    <definedName name="BO79AD6B4E70DC4C70AA26E84363787F89" hidden="1">#REF!</definedName>
    <definedName name="BO79AE47822285434AA0D40B0D042844B3" localSheetId="7" hidden="1">#REF!</definedName>
    <definedName name="BO79AE47822285434AA0D40B0D042844B3" hidden="1">#REF!</definedName>
    <definedName name="BO79B90707D0F94C14826EFCAB6E1DAA88" localSheetId="7" hidden="1">#REF!</definedName>
    <definedName name="BO79B90707D0F94C14826EFCAB6E1DAA88" hidden="1">#REF!</definedName>
    <definedName name="BO79CBAA085DFD42E09F38608C3CBBCA27" localSheetId="7" hidden="1">#REF!</definedName>
    <definedName name="BO79CBAA085DFD42E09F38608C3CBBCA27" hidden="1">#REF!</definedName>
    <definedName name="BO79D2A2B80A1A42FCB337CFDBF615C0F3" localSheetId="7" hidden="1">#REF!</definedName>
    <definedName name="BO79D2A2B80A1A42FCB337CFDBF615C0F3" hidden="1">#REF!</definedName>
    <definedName name="BO79D4EB08FDF941459AD3C88321DF5AB3" localSheetId="7" hidden="1">#REF!</definedName>
    <definedName name="BO79D4EB08FDF941459AD3C88321DF5AB3" hidden="1">#REF!</definedName>
    <definedName name="BO79D8248F9A664610BE021F59DB02F8F8" localSheetId="7" hidden="1">#REF!</definedName>
    <definedName name="BO79D8248F9A664610BE021F59DB02F8F8" hidden="1">#REF!</definedName>
    <definedName name="BO79DB2DA5024840D684C9BD8869DF839E" localSheetId="7" hidden="1">#REF!</definedName>
    <definedName name="BO79DB2DA5024840D684C9BD8869DF839E" hidden="1">#REF!</definedName>
    <definedName name="BO79EF4D9867504658A45CBD02F55BF45B" localSheetId="7" hidden="1">#REF!</definedName>
    <definedName name="BO79EF4D9867504658A45CBD02F55BF45B" hidden="1">#REF!</definedName>
    <definedName name="BO7A0C3370D1AD48D08397023042BEDFDE" localSheetId="7" hidden="1">#REF!</definedName>
    <definedName name="BO7A0C3370D1AD48D08397023042BEDFDE" hidden="1">#REF!</definedName>
    <definedName name="BO7A18B7E52ADE42BFA2271A709A0F38C0" localSheetId="7" hidden="1">#REF!</definedName>
    <definedName name="BO7A18B7E52ADE42BFA2271A709A0F38C0" hidden="1">#REF!</definedName>
    <definedName name="BO7A2261D80317440CB37CA15BC938FCEA" localSheetId="7" hidden="1">#REF!</definedName>
    <definedName name="BO7A2261D80317440CB37CA15BC938FCEA" hidden="1">#REF!</definedName>
    <definedName name="BO7A22821CEA6D4021ACA6AC7915B6816C" localSheetId="7" hidden="1">#REF!</definedName>
    <definedName name="BO7A22821CEA6D4021ACA6AC7915B6816C" hidden="1">#REF!</definedName>
    <definedName name="BO7A355C0F92E84CC18F4EDC260D8DAC4D" localSheetId="7" hidden="1">#REF!</definedName>
    <definedName name="BO7A355C0F92E84CC18F4EDC260D8DAC4D" hidden="1">#REF!</definedName>
    <definedName name="BO7A3C5C756BC44F0FB10B9641371204BF" localSheetId="7" hidden="1">#REF!</definedName>
    <definedName name="BO7A3C5C756BC44F0FB10B9641371204BF" hidden="1">#REF!</definedName>
    <definedName name="BO7A53BA0052554798B699BD3D6C43BFE9" localSheetId="7" hidden="1">#REF!</definedName>
    <definedName name="BO7A53BA0052554798B699BD3D6C43BFE9" hidden="1">#REF!</definedName>
    <definedName name="BO7A5A5AAAFE36412F8A4B0F52B192A53B" localSheetId="7" hidden="1">#REF!</definedName>
    <definedName name="BO7A5A5AAAFE36412F8A4B0F52B192A53B" hidden="1">#REF!</definedName>
    <definedName name="BO7A82F80ADB4E4A22AAC9ABFEB5C635B3" localSheetId="7" hidden="1">#REF!</definedName>
    <definedName name="BO7A82F80ADB4E4A22AAC9ABFEB5C635B3" hidden="1">#REF!</definedName>
    <definedName name="BO7AC8324AA7314FA38B587F45BDE4E7DF" localSheetId="7" hidden="1">#REF!</definedName>
    <definedName name="BO7AC8324AA7314FA38B587F45BDE4E7DF" hidden="1">#REF!</definedName>
    <definedName name="BO7AD3CF6D72794B02814D67CDF89028C3" localSheetId="7" hidden="1">#REF!</definedName>
    <definedName name="BO7AD3CF6D72794B02814D67CDF89028C3" hidden="1">#REF!</definedName>
    <definedName name="BO7AD539F5FCAD46AC8E0E335F2C75F7BB" localSheetId="7" hidden="1">#REF!</definedName>
    <definedName name="BO7AD539F5FCAD46AC8E0E335F2C75F7BB" hidden="1">#REF!</definedName>
    <definedName name="BO7B007C3509054BE38D167AA3A995E282" localSheetId="7" hidden="1">#REF!</definedName>
    <definedName name="BO7B007C3509054BE38D167AA3A995E282" hidden="1">#REF!</definedName>
    <definedName name="BO7B04E0B6249C492BB4B4EDD148A4EAFB" localSheetId="7" hidden="1">#REF!</definedName>
    <definedName name="BO7B04E0B6249C492BB4B4EDD148A4EAFB" hidden="1">#REF!</definedName>
    <definedName name="BO7B0750F90A9D4C498EDEC4C45FF9BBD4" localSheetId="7" hidden="1">#REF!</definedName>
    <definedName name="BO7B0750F90A9D4C498EDEC4C45FF9BBD4" hidden="1">#REF!</definedName>
    <definedName name="BO7B11B7E0440E4A1D9947D6997CBD08CD" localSheetId="7" hidden="1">#REF!</definedName>
    <definedName name="BO7B11B7E0440E4A1D9947D6997CBD08CD" hidden="1">#REF!</definedName>
    <definedName name="BO7B2642DEB50C435C8A0746267FCCE69F" localSheetId="7" hidden="1">#REF!</definedName>
    <definedName name="BO7B2642DEB50C435C8A0746267FCCE69F" hidden="1">#REF!</definedName>
    <definedName name="BO7B297B935B6B466FBA3B06ACC825E764" localSheetId="7" hidden="1">#REF!</definedName>
    <definedName name="BO7B297B935B6B466FBA3B06ACC825E764" hidden="1">#REF!</definedName>
    <definedName name="BO7B2BD150CE014CD5925F75E295B20707" localSheetId="7" hidden="1">#REF!</definedName>
    <definedName name="BO7B2BD150CE014CD5925F75E295B20707" hidden="1">#REF!</definedName>
    <definedName name="BO7B3945F0EE5A48E890B653DCE3625211" localSheetId="7" hidden="1">#REF!</definedName>
    <definedName name="BO7B3945F0EE5A48E890B653DCE3625211" hidden="1">#REF!</definedName>
    <definedName name="BO7B41CF5FA07F4D4BBF2A1AC1F8B10E1D" localSheetId="7" hidden="1">#REF!</definedName>
    <definedName name="BO7B41CF5FA07F4D4BBF2A1AC1F8B10E1D" hidden="1">#REF!</definedName>
    <definedName name="BO7B4A750D79104A86979F859CA596AB8C" localSheetId="7" hidden="1">#REF!</definedName>
    <definedName name="BO7B4A750D79104A86979F859CA596AB8C" hidden="1">#REF!</definedName>
    <definedName name="BO7B6D4D78D26545A1B3D55C32B1E8F2CF" localSheetId="7" hidden="1">#REF!</definedName>
    <definedName name="BO7B6D4D78D26545A1B3D55C32B1E8F2CF" hidden="1">#REF!</definedName>
    <definedName name="BO7B834C4C7C5144198B4C0EA476C33271" localSheetId="7" hidden="1">#REF!</definedName>
    <definedName name="BO7B834C4C7C5144198B4C0EA476C33271" hidden="1">#REF!</definedName>
    <definedName name="BO7B858EBBCEA04D65BD65D2747F179485" localSheetId="7" hidden="1">#REF!</definedName>
    <definedName name="BO7B858EBBCEA04D65BD65D2747F179485" hidden="1">#REF!</definedName>
    <definedName name="BO7BA64458EE654CD591622D5E94A7CE76" localSheetId="7" hidden="1">#REF!</definedName>
    <definedName name="BO7BA64458EE654CD591622D5E94A7CE76" hidden="1">#REF!</definedName>
    <definedName name="BO7BAF5250000F454398F4A027A3F6BE04" localSheetId="7" hidden="1">#REF!</definedName>
    <definedName name="BO7BAF5250000F454398F4A027A3F6BE04" hidden="1">#REF!</definedName>
    <definedName name="BO7BB44DDF1B2940E3A49E18CCF7346B10" localSheetId="7" hidden="1">#REF!</definedName>
    <definedName name="BO7BB44DDF1B2940E3A49E18CCF7346B10" hidden="1">#REF!</definedName>
    <definedName name="BO7BB4DE2A6BAD485284319A7EFFCFF70D" localSheetId="7" hidden="1">#REF!</definedName>
    <definedName name="BO7BB4DE2A6BAD485284319A7EFFCFF70D" hidden="1">#REF!</definedName>
    <definedName name="BO7BC04499237D4136B3C31A030F3608BF" localSheetId="7" hidden="1">#REF!</definedName>
    <definedName name="BO7BC04499237D4136B3C31A030F3608BF" hidden="1">#REF!</definedName>
    <definedName name="BO7BC95A17A95E480F9C25CF97FC905628" localSheetId="7" hidden="1">#REF!</definedName>
    <definedName name="BO7BC95A17A95E480F9C25CF97FC905628" hidden="1">#REF!</definedName>
    <definedName name="BO7BE1C07558184169BC2E3E6636C86A79" localSheetId="7" hidden="1">#REF!</definedName>
    <definedName name="BO7BE1C07558184169BC2E3E6636C86A79" hidden="1">#REF!</definedName>
    <definedName name="BO7BEADCF3A2C84BD294904B5AFE3E986E" localSheetId="7" hidden="1">#REF!</definedName>
    <definedName name="BO7BEADCF3A2C84BD294904B5AFE3E986E" hidden="1">#REF!</definedName>
    <definedName name="BO7C2C30FB68A14BA1BE08903A6D069D50" localSheetId="7" hidden="1">#REF!</definedName>
    <definedName name="BO7C2C30FB68A14BA1BE08903A6D069D50" hidden="1">#REF!</definedName>
    <definedName name="BO7C2FCFA778EE48648762FF8C48D022FE" localSheetId="7" hidden="1">#REF!</definedName>
    <definedName name="BO7C2FCFA778EE48648762FF8C48D022FE" hidden="1">#REF!</definedName>
    <definedName name="BO7C562BDCB47749FBA3EF58AFFE16181E" localSheetId="7" hidden="1">#REF!</definedName>
    <definedName name="BO7C562BDCB47749FBA3EF58AFFE16181E" hidden="1">#REF!</definedName>
    <definedName name="BO7C5930E3961C4BD4803BA63FC39A8A61" localSheetId="7" hidden="1">#REF!</definedName>
    <definedName name="BO7C5930E3961C4BD4803BA63FC39A8A61" hidden="1">#REF!</definedName>
    <definedName name="BO7C76E266E7744EE0AA5401724914FD96" localSheetId="7" hidden="1">#REF!</definedName>
    <definedName name="BO7C76E266E7744EE0AA5401724914FD96" hidden="1">#REF!</definedName>
    <definedName name="BO7C962D252284403B84493C0EACFCEFEF" localSheetId="7" hidden="1">#REF!</definedName>
    <definedName name="BO7C962D252284403B84493C0EACFCEFEF" hidden="1">#REF!</definedName>
    <definedName name="BO7CADD12CA87C4448BD3CD352166199B8" localSheetId="7" hidden="1">#REF!</definedName>
    <definedName name="BO7CADD12CA87C4448BD3CD352166199B8" hidden="1">#REF!</definedName>
    <definedName name="BO7CC965CB71EB4E2AA09EC344E41544FA" localSheetId="7" hidden="1">#REF!</definedName>
    <definedName name="BO7CC965CB71EB4E2AA09EC344E41544FA" hidden="1">#REF!</definedName>
    <definedName name="BO7CCDD31B81C74BFFB21553932229B9AD" localSheetId="7" hidden="1">#REF!</definedName>
    <definedName name="BO7CCDD31B81C74BFFB21553932229B9AD" hidden="1">#REF!</definedName>
    <definedName name="BO7CE26A6244AB42F89FC5A626A53D363D" localSheetId="7" hidden="1">#REF!</definedName>
    <definedName name="BO7CE26A6244AB42F89FC5A626A53D363D" hidden="1">#REF!</definedName>
    <definedName name="BO7CE667E81478459C9885E21915A21DD0" localSheetId="7" hidden="1">#REF!</definedName>
    <definedName name="BO7CE667E81478459C9885E21915A21DD0" hidden="1">#REF!</definedName>
    <definedName name="BO7CE9EF374E8240729CA70DA1B98A8F58" localSheetId="7" hidden="1">#REF!</definedName>
    <definedName name="BO7CE9EF374E8240729CA70DA1B98A8F58" hidden="1">#REF!</definedName>
    <definedName name="BO7CF13B3F6BBD4A40B4DE094AA4D921A3" localSheetId="7" hidden="1">#REF!</definedName>
    <definedName name="BO7CF13B3F6BBD4A40B4DE094AA4D921A3" hidden="1">#REF!</definedName>
    <definedName name="BO7CF45A0FBDBE42058D6B7A25F3C91565" localSheetId="7" hidden="1">#REF!</definedName>
    <definedName name="BO7CF45A0FBDBE42058D6B7A25F3C91565" hidden="1">#REF!</definedName>
    <definedName name="BO7D29A879E60241EAB8C5BB8CB4513863" localSheetId="7" hidden="1">#REF!</definedName>
    <definedName name="BO7D29A879E60241EAB8C5BB8CB4513863" hidden="1">#REF!</definedName>
    <definedName name="BO7D4DA20BF7C2471D8D7B6567D7FA62E2" localSheetId="7" hidden="1">#REF!</definedName>
    <definedName name="BO7D4DA20BF7C2471D8D7B6567D7FA62E2" hidden="1">#REF!</definedName>
    <definedName name="BO7D5535E1712B40649EA0A5A9EF7C8894" localSheetId="7" hidden="1">#REF!</definedName>
    <definedName name="BO7D5535E1712B40649EA0A5A9EF7C8894" hidden="1">#REF!</definedName>
    <definedName name="BO7D59288080074857B99CBD31E26CD3FC" localSheetId="7" hidden="1">#REF!</definedName>
    <definedName name="BO7D59288080074857B99CBD31E26CD3FC" hidden="1">#REF!</definedName>
    <definedName name="BO7D61FCDFA70746898C075954F774BE32" localSheetId="7" hidden="1">#REF!</definedName>
    <definedName name="BO7D61FCDFA70746898C075954F774BE32" hidden="1">#REF!</definedName>
    <definedName name="BO7D65BA0A5D0D4D3C87B2FF19D174A84D" localSheetId="7" hidden="1">#REF!</definedName>
    <definedName name="BO7D65BA0A5D0D4D3C87B2FF19D174A84D" hidden="1">#REF!</definedName>
    <definedName name="BO7D687A1EC2AB41868EBA6136DCD1FFFC" localSheetId="7" hidden="1">#REF!</definedName>
    <definedName name="BO7D687A1EC2AB41868EBA6136DCD1FFFC" hidden="1">#REF!</definedName>
    <definedName name="BO7D69C0263E424E42AABC972F51E7604F" localSheetId="7" hidden="1">#REF!</definedName>
    <definedName name="BO7D69C0263E424E42AABC972F51E7604F" hidden="1">#REF!</definedName>
    <definedName name="BO7D817E5C5F724E9CA7B75FBFF5A233AA" localSheetId="7" hidden="1">#REF!</definedName>
    <definedName name="BO7D817E5C5F724E9CA7B75FBFF5A233AA" hidden="1">#REF!</definedName>
    <definedName name="BO7DAE8EBA2DB64062982A9B9895B4497B" localSheetId="7" hidden="1">#REF!</definedName>
    <definedName name="BO7DAE8EBA2DB64062982A9B9895B4497B" hidden="1">#REF!</definedName>
    <definedName name="BO7DC4CE1FCF284C18BC215039BB9F93DD" localSheetId="7" hidden="1">#REF!</definedName>
    <definedName name="BO7DC4CE1FCF284C18BC215039BB9F93DD" hidden="1">#REF!</definedName>
    <definedName name="BO7E151981F2F14306BF3FE50BB9F72EEB" localSheetId="7" hidden="1">#REF!</definedName>
    <definedName name="BO7E151981F2F14306BF3FE50BB9F72EEB" hidden="1">#REF!</definedName>
    <definedName name="BO7E1665ADDF5646B6AA0E37B3E8331367" localSheetId="7" hidden="1">#REF!</definedName>
    <definedName name="BO7E1665ADDF5646B6AA0E37B3E8331367" hidden="1">#REF!</definedName>
    <definedName name="BO7E254A67311D45AAA8D8EAE8D2E6C34F" localSheetId="7" hidden="1">#REF!</definedName>
    <definedName name="BO7E254A67311D45AAA8D8EAE8D2E6C34F" hidden="1">#REF!</definedName>
    <definedName name="BO7E2FE6852D8C4FEF99ECF8A669F31253" localSheetId="7" hidden="1">#REF!</definedName>
    <definedName name="BO7E2FE6852D8C4FEF99ECF8A669F31253" hidden="1">#REF!</definedName>
    <definedName name="BO7E30DF6934414850BC956AD0D4CD5865" localSheetId="7" hidden="1">#REF!</definedName>
    <definedName name="BO7E30DF6934414850BC956AD0D4CD5865" hidden="1">#REF!</definedName>
    <definedName name="BO7E4A8709B0C54BD0B22C20221B698999" localSheetId="7" hidden="1">#REF!</definedName>
    <definedName name="BO7E4A8709B0C54BD0B22C20221B698999" hidden="1">#REF!</definedName>
    <definedName name="BO7E7B88AC94A44928A2BB8DC4CE62FA83" localSheetId="7" hidden="1">#REF!</definedName>
    <definedName name="BO7E7B88AC94A44928A2BB8DC4CE62FA83" hidden="1">#REF!</definedName>
    <definedName name="BO7EB1F2F10C494DCA813E0CC64FA6048C" localSheetId="7" hidden="1">#REF!</definedName>
    <definedName name="BO7EB1F2F10C494DCA813E0CC64FA6048C" hidden="1">#REF!</definedName>
    <definedName name="BO7EC44FB097B44EA7B7A1611F768A092B" localSheetId="7" hidden="1">#REF!</definedName>
    <definedName name="BO7EC44FB097B44EA7B7A1611F768A092B" hidden="1">#REF!</definedName>
    <definedName name="BO7ECC47964FE54015BC2C3AB2E93E0CD6" localSheetId="7" hidden="1">#REF!</definedName>
    <definedName name="BO7ECC47964FE54015BC2C3AB2E93E0CD6" hidden="1">#REF!</definedName>
    <definedName name="BO7EE5596784214AA7AD27D6A5998E9F1A" localSheetId="7" hidden="1">#REF!</definedName>
    <definedName name="BO7EE5596784214AA7AD27D6A5998E9F1A" hidden="1">#REF!</definedName>
    <definedName name="BO7F13F5D1D8254FBCAB16A3153693452A" localSheetId="7" hidden="1">#REF!</definedName>
    <definedName name="BO7F13F5D1D8254FBCAB16A3153693452A" hidden="1">#REF!</definedName>
    <definedName name="BO7F167E575ED7430DB74419B2C39D8789" localSheetId="7" hidden="1">#REF!</definedName>
    <definedName name="BO7F167E575ED7430DB74419B2C39D8789" hidden="1">#REF!</definedName>
    <definedName name="BO7F581962838649068BFD171207F66E13" localSheetId="7" hidden="1">#REF!</definedName>
    <definedName name="BO7F581962838649068BFD171207F66E13" hidden="1">#REF!</definedName>
    <definedName name="BO7F5DF2D443EB4EC78B63A44370EE3BCE" localSheetId="7" hidden="1">#REF!</definedName>
    <definedName name="BO7F5DF2D443EB4EC78B63A44370EE3BCE" hidden="1">#REF!</definedName>
    <definedName name="BO7F6790B06CD945D99771462649C384CC" localSheetId="7" hidden="1">#REF!</definedName>
    <definedName name="BO7F6790B06CD945D99771462649C384CC" hidden="1">#REF!</definedName>
    <definedName name="BO7F7D7B7C2BAD40CBB04ADD1C8CE1BCB4" localSheetId="7" hidden="1">#REF!</definedName>
    <definedName name="BO7F7D7B7C2BAD40CBB04ADD1C8CE1BCB4" hidden="1">#REF!</definedName>
    <definedName name="BO7F93FCB47FB642199ADA1E3073C13347" localSheetId="7" hidden="1">#REF!</definedName>
    <definedName name="BO7F93FCB47FB642199ADA1E3073C13347" hidden="1">#REF!</definedName>
    <definedName name="BO7FB1D84258CC424F9E5184E6DE6A673B" localSheetId="7" hidden="1">#REF!</definedName>
    <definedName name="BO7FB1D84258CC424F9E5184E6DE6A673B" hidden="1">#REF!</definedName>
    <definedName name="BO7FE4BBF40D8D44BEAEDCF02AD971676D" localSheetId="7" hidden="1">#REF!</definedName>
    <definedName name="BO7FE4BBF40D8D44BEAEDCF02AD971676D" hidden="1">#REF!</definedName>
    <definedName name="BO7FE5BD12C9FC47C092967938B5791A2E" localSheetId="7" hidden="1">#REF!</definedName>
    <definedName name="BO7FE5BD12C9FC47C092967938B5791A2E" hidden="1">#REF!</definedName>
    <definedName name="BO7FEA69B0DAAD46AF945E598CBCD14389" localSheetId="7" hidden="1">#REF!</definedName>
    <definedName name="BO7FEA69B0DAAD46AF945E598CBCD14389" hidden="1">#REF!</definedName>
    <definedName name="BO7FF6879FA17A460B9C8DEE088926358F" localSheetId="7" hidden="1">#REF!</definedName>
    <definedName name="BO7FF6879FA17A460B9C8DEE088926358F" hidden="1">#REF!</definedName>
    <definedName name="BO7FF6948AB13F4C8882865B66892E2B4C" localSheetId="7" hidden="1">#REF!</definedName>
    <definedName name="BO7FF6948AB13F4C8882865B66892E2B4C" hidden="1">#REF!</definedName>
    <definedName name="BO7FFC5D01573D41849B07FFA37C7E49F8" localSheetId="7" hidden="1">#REF!</definedName>
    <definedName name="BO7FFC5D01573D41849B07FFA37C7E49F8" hidden="1">#REF!</definedName>
    <definedName name="BO80087A3E3DA545CCABAA66DB9A4F858E" localSheetId="7" hidden="1">#REF!</definedName>
    <definedName name="BO80087A3E3DA545CCABAA66DB9A4F858E" hidden="1">#REF!</definedName>
    <definedName name="BO8015E3A779084908B65E3951EB537141" localSheetId="7" hidden="1">#REF!</definedName>
    <definedName name="BO8015E3A779084908B65E3951EB537141" hidden="1">#REF!</definedName>
    <definedName name="BO801B36F0CECD41D59243A551BC6B8D7A" localSheetId="7" hidden="1">#REF!</definedName>
    <definedName name="BO801B36F0CECD41D59243A551BC6B8D7A" hidden="1">#REF!</definedName>
    <definedName name="BO8029AA0BA2FB4FDC9BA0557FD498EACA" localSheetId="7" hidden="1">#REF!</definedName>
    <definedName name="BO8029AA0BA2FB4FDC9BA0557FD498EACA" hidden="1">#REF!</definedName>
    <definedName name="BO80329234A23C4B64A24358FD32BB3184" localSheetId="7" hidden="1">#REF!</definedName>
    <definedName name="BO80329234A23C4B64A24358FD32BB3184" hidden="1">#REF!</definedName>
    <definedName name="BO803B80B9153D432ABB45E4C619AA890A" localSheetId="7" hidden="1">#REF!</definedName>
    <definedName name="BO803B80B9153D432ABB45E4C619AA890A" hidden="1">#REF!</definedName>
    <definedName name="BO803F2C56DB0F4B099730F7E05385C066" localSheetId="7" hidden="1">#REF!</definedName>
    <definedName name="BO803F2C56DB0F4B099730F7E05385C066" hidden="1">#REF!</definedName>
    <definedName name="BO804C52C5C85A467B87C9A418256D1DB8" localSheetId="7" hidden="1">#REF!</definedName>
    <definedName name="BO804C52C5C85A467B87C9A418256D1DB8" hidden="1">#REF!</definedName>
    <definedName name="BO80594426BDA845D5A27EA11DB7212B7E" localSheetId="7" hidden="1">#REF!</definedName>
    <definedName name="BO80594426BDA845D5A27EA11DB7212B7E" hidden="1">#REF!</definedName>
    <definedName name="BO8059602EA7554191BA5119331A0F8A49" localSheetId="7" hidden="1">#REF!</definedName>
    <definedName name="BO8059602EA7554191BA5119331A0F8A49" hidden="1">#REF!</definedName>
    <definedName name="BO8066631106B24E3A8F766B8B2980D95C" localSheetId="7" hidden="1">#REF!</definedName>
    <definedName name="BO8066631106B24E3A8F766B8B2980D95C" hidden="1">#REF!</definedName>
    <definedName name="BO8073960AF2B54AB3B6C483DB7C0836A7" localSheetId="7" hidden="1">#REF!</definedName>
    <definedName name="BO8073960AF2B54AB3B6C483DB7C0836A7" hidden="1">#REF!</definedName>
    <definedName name="BO8080A17471E64F3CB90024CBE9781A8F" localSheetId="7" hidden="1">#REF!</definedName>
    <definedName name="BO8080A17471E64F3CB90024CBE9781A8F" hidden="1">#REF!</definedName>
    <definedName name="BO8081E411798C4053BB4B241137686EDA" localSheetId="7" hidden="1">#REF!</definedName>
    <definedName name="BO8081E411798C4053BB4B241137686EDA" hidden="1">#REF!</definedName>
    <definedName name="BO808C5230A6AD4537AE59BA728060A271" localSheetId="7" hidden="1">#REF!</definedName>
    <definedName name="BO808C5230A6AD4537AE59BA728060A271" hidden="1">#REF!</definedName>
    <definedName name="BO8095BCBF45C24044881CB1B2D2748D74" localSheetId="7" hidden="1">#REF!</definedName>
    <definedName name="BO8095BCBF45C24044881CB1B2D2748D74" hidden="1">#REF!</definedName>
    <definedName name="BO80C529F03F4D45E5A34FBF0C096A695E" localSheetId="7" hidden="1">#REF!</definedName>
    <definedName name="BO80C529F03F4D45E5A34FBF0C096A695E" hidden="1">#REF!</definedName>
    <definedName name="BO80FE352074824CD1BB6463526B7E9E4D" localSheetId="7" hidden="1">#REF!</definedName>
    <definedName name="BO80FE352074824CD1BB6463526B7E9E4D" hidden="1">#REF!</definedName>
    <definedName name="BO81364493F8B34471B5FF6B6FFFC56BF1" localSheetId="7" hidden="1">#REF!</definedName>
    <definedName name="BO81364493F8B34471B5FF6B6FFFC56BF1" hidden="1">#REF!</definedName>
    <definedName name="BO813BA8A6737F4156AEC37881E300D5D7" localSheetId="7" hidden="1">#REF!</definedName>
    <definedName name="BO813BA8A6737F4156AEC37881E300D5D7" hidden="1">#REF!</definedName>
    <definedName name="BO81502607FFD34015A67828A940DE809F" localSheetId="7" hidden="1">#REF!</definedName>
    <definedName name="BO81502607FFD34015A67828A940DE809F" hidden="1">#REF!</definedName>
    <definedName name="BO8164A777EC95485AB69CEFD1E11A2DAF" localSheetId="7" hidden="1">#REF!</definedName>
    <definedName name="BO8164A777EC95485AB69CEFD1E11A2DAF" hidden="1">#REF!</definedName>
    <definedName name="BO8193434AE50141CA88E49500B946EFBD" localSheetId="7" hidden="1">#REF!</definedName>
    <definedName name="BO8193434AE50141CA88E49500B946EFBD" hidden="1">#REF!</definedName>
    <definedName name="BO8193B088E124472A9A1E20046DC79605" localSheetId="7" hidden="1">#REF!</definedName>
    <definedName name="BO8193B088E124472A9A1E20046DC79605" hidden="1">#REF!</definedName>
    <definedName name="BO81989272D26F4566A4F74A7394C98B60" localSheetId="7" hidden="1">#REF!</definedName>
    <definedName name="BO81989272D26F4566A4F74A7394C98B60" hidden="1">#REF!</definedName>
    <definedName name="BO81A71635EF8C49BCA9EF665646623429" localSheetId="7" hidden="1">#REF!</definedName>
    <definedName name="BO81A71635EF8C49BCA9EF665646623429" hidden="1">#REF!</definedName>
    <definedName name="BO81AD438FED0F4CA5AE6AEC26D1C621CE" localSheetId="7" hidden="1">#REF!</definedName>
    <definedName name="BO81AD438FED0F4CA5AE6AEC26D1C621CE" hidden="1">#REF!</definedName>
    <definedName name="BO81BF2FF6C62445E0BEF19261FAAE132E" localSheetId="7" hidden="1">#REF!</definedName>
    <definedName name="BO81BF2FF6C62445E0BEF19261FAAE132E" hidden="1">#REF!</definedName>
    <definedName name="BO81D84A15E4D44185836FD3E3D3E763D1" localSheetId="7" hidden="1">#REF!</definedName>
    <definedName name="BO81D84A15E4D44185836FD3E3D3E763D1" hidden="1">#REF!</definedName>
    <definedName name="BO81E1D3024E6249EABFEA462F12CF13C9" localSheetId="7" hidden="1">#REF!</definedName>
    <definedName name="BO81E1D3024E6249EABFEA462F12CF13C9" hidden="1">#REF!</definedName>
    <definedName name="BO81E7E49854E34D878C79EAED806FA49E" localSheetId="7" hidden="1">#REF!</definedName>
    <definedName name="BO81E7E49854E34D878C79EAED806FA49E" hidden="1">#REF!</definedName>
    <definedName name="BO81EB323A24E24FD6AD2F83A24C11D541" localSheetId="7" hidden="1">#REF!</definedName>
    <definedName name="BO81EB323A24E24FD6AD2F83A24C11D541" hidden="1">#REF!</definedName>
    <definedName name="BO81ED0E50BC744DE791D4C2C0B1BD8225" localSheetId="7" hidden="1">#REF!</definedName>
    <definedName name="BO81ED0E50BC744DE791D4C2C0B1BD8225" hidden="1">#REF!</definedName>
    <definedName name="BO81F8D49176D944A7A9EA61D11B4DCD48" localSheetId="7" hidden="1">#REF!</definedName>
    <definedName name="BO81F8D49176D944A7A9EA61D11B4DCD48" hidden="1">#REF!</definedName>
    <definedName name="BO8201368E4A5B4DBFA61D5B0312B4A875" localSheetId="7" hidden="1">#REF!</definedName>
    <definedName name="BO8201368E4A5B4DBFA61D5B0312B4A875" hidden="1">#REF!</definedName>
    <definedName name="BO8232CAF6523F41E79EFE20556563A847" localSheetId="7" hidden="1">#REF!</definedName>
    <definedName name="BO8232CAF6523F41E79EFE20556563A847" hidden="1">#REF!</definedName>
    <definedName name="BO8254D0EAE6364E2B8C21652D37EF6403" localSheetId="7" hidden="1">#REF!</definedName>
    <definedName name="BO8254D0EAE6364E2B8C21652D37EF6403" hidden="1">#REF!</definedName>
    <definedName name="BO8287CEA9CE2C4E9D988BD0E535F9FAFA" localSheetId="7" hidden="1">#REF!</definedName>
    <definedName name="BO8287CEA9CE2C4E9D988BD0E535F9FAFA" hidden="1">#REF!</definedName>
    <definedName name="BO8295805BE68E4F5BAD3F4F1ADB03A932" localSheetId="7" hidden="1">#REF!</definedName>
    <definedName name="BO8295805BE68E4F5BAD3F4F1ADB03A932" hidden="1">#REF!</definedName>
    <definedName name="BO82999A27BCF34098829D556BC46F10A8" localSheetId="7" hidden="1">#REF!</definedName>
    <definedName name="BO82999A27BCF34098829D556BC46F10A8" hidden="1">#REF!</definedName>
    <definedName name="BO829AE4C8B2B34BD28FDA7978BF7C2DD6" localSheetId="7" hidden="1">#REF!</definedName>
    <definedName name="BO829AE4C8B2B34BD28FDA7978BF7C2DD6" hidden="1">#REF!</definedName>
    <definedName name="BO82AE9005329642EFA6E61E9E28DA072E" localSheetId="7" hidden="1">#REF!</definedName>
    <definedName name="BO82AE9005329642EFA6E61E9E28DA072E" hidden="1">#REF!</definedName>
    <definedName name="BO82AFFB2816D245238827D44F680A66B0" localSheetId="7" hidden="1">#REF!</definedName>
    <definedName name="BO82AFFB2816D245238827D44F680A66B0" hidden="1">#REF!</definedName>
    <definedName name="BO82BC22670DA342DF9DEDCDD087B62621" localSheetId="7" hidden="1">#REF!</definedName>
    <definedName name="BO82BC22670DA342DF9DEDCDD087B62621" hidden="1">#REF!</definedName>
    <definedName name="BO82BD874A427F4F699AC8733D792E9801" localSheetId="7" hidden="1">#REF!</definedName>
    <definedName name="BO82BD874A427F4F699AC8733D792E9801" hidden="1">#REF!</definedName>
    <definedName name="BO82FDD145EEB04D0898FD79EA818672A6" localSheetId="7" hidden="1">#REF!</definedName>
    <definedName name="BO82FDD145EEB04D0898FD79EA818672A6" hidden="1">#REF!</definedName>
    <definedName name="BO831B5B67CC224745935F805CAE47D2D1" localSheetId="7" hidden="1">#REF!</definedName>
    <definedName name="BO831B5B67CC224745935F805CAE47D2D1" hidden="1">#REF!</definedName>
    <definedName name="BO8323382EF9734D00AFF859B623057780" localSheetId="7" hidden="1">#REF!</definedName>
    <definedName name="BO8323382EF9734D00AFF859B623057780" hidden="1">#REF!</definedName>
    <definedName name="BO83301C13BA6C44C9B31FAA99C062BF21" localSheetId="7" hidden="1">#REF!</definedName>
    <definedName name="BO83301C13BA6C44C9B31FAA99C062BF21" hidden="1">#REF!</definedName>
    <definedName name="BO835214BEA1C6451AB06D963746E5A9C0" localSheetId="7" hidden="1">#REF!</definedName>
    <definedName name="BO835214BEA1C6451AB06D963746E5A9C0" hidden="1">#REF!</definedName>
    <definedName name="BO837374CA489D4DC68310F63FA4546481" localSheetId="7" hidden="1">#REF!</definedName>
    <definedName name="BO837374CA489D4DC68310F63FA4546481" hidden="1">#REF!</definedName>
    <definedName name="BO837BA07C01544448A3127622369414D3" localSheetId="7" hidden="1">#REF!</definedName>
    <definedName name="BO837BA07C01544448A3127622369414D3" hidden="1">#REF!</definedName>
    <definedName name="BO83A5B16FD0A34B1F9075BC3B9EBB15E9" localSheetId="7" hidden="1">#REF!</definedName>
    <definedName name="BO83A5B16FD0A34B1F9075BC3B9EBB15E9" hidden="1">#REF!</definedName>
    <definedName name="BO83BCD39413604FD69588547284FD267B" localSheetId="7" hidden="1">#REF!</definedName>
    <definedName name="BO83BCD39413604FD69588547284FD267B" hidden="1">#REF!</definedName>
    <definedName name="BO83C1FDC7981E4F50901874C8040A9D0C" localSheetId="7" hidden="1">#REF!</definedName>
    <definedName name="BO83C1FDC7981E4F50901874C8040A9D0C" hidden="1">#REF!</definedName>
    <definedName name="BO83D726C9BBF44E24B2C54C1685C429B9" localSheetId="7" hidden="1">#REF!</definedName>
    <definedName name="BO83D726C9BBF44E24B2C54C1685C429B9" hidden="1">#REF!</definedName>
    <definedName name="BO8423EC1E2C1844C1B0FABC663B1CF04D" localSheetId="7" hidden="1">#REF!</definedName>
    <definedName name="BO8423EC1E2C1844C1B0FABC663B1CF04D" hidden="1">#REF!</definedName>
    <definedName name="BO84266FFDD7834E10841E8E5200AF5C29" localSheetId="7" hidden="1">#REF!</definedName>
    <definedName name="BO84266FFDD7834E10841E8E5200AF5C29" hidden="1">#REF!</definedName>
    <definedName name="BO84308A006E9148D9A96E9790840D7258" localSheetId="7" hidden="1">#REF!</definedName>
    <definedName name="BO84308A006E9148D9A96E9790840D7258" hidden="1">#REF!</definedName>
    <definedName name="BO8447DFA2A2D64D55BE80CDADC5565AE1" localSheetId="7" hidden="1">#REF!</definedName>
    <definedName name="BO8447DFA2A2D64D55BE80CDADC5565AE1" hidden="1">#REF!</definedName>
    <definedName name="BO844C1A58837A4E18A40EA22BDE75D1AD" localSheetId="7" hidden="1">#REF!</definedName>
    <definedName name="BO844C1A58837A4E18A40EA22BDE75D1AD" hidden="1">#REF!</definedName>
    <definedName name="BO8493EC3272C14E1EA5E1D932F50B3D4E" localSheetId="7" hidden="1">#REF!</definedName>
    <definedName name="BO8493EC3272C14E1EA5E1D932F50B3D4E" hidden="1">#REF!</definedName>
    <definedName name="BO849D71713AA4439CB07621804008FF28" localSheetId="7" hidden="1">#REF!</definedName>
    <definedName name="BO849D71713AA4439CB07621804008FF28" hidden="1">#REF!</definedName>
    <definedName name="BO84A0439F5786476CBF083D43EAB9E1C6" localSheetId="7" hidden="1">#REF!</definedName>
    <definedName name="BO84A0439F5786476CBF083D43EAB9E1C6" hidden="1">#REF!</definedName>
    <definedName name="BO84B2D0E2265C4B3C91DAB45E42F34F4E" localSheetId="7" hidden="1">#REF!</definedName>
    <definedName name="BO84B2D0E2265C4B3C91DAB45E42F34F4E" hidden="1">#REF!</definedName>
    <definedName name="BO84B8A5327F084B6B94A73BDFEFAEB4F7" localSheetId="7" hidden="1">#REF!</definedName>
    <definedName name="BO84B8A5327F084B6B94A73BDFEFAEB4F7" hidden="1">#REF!</definedName>
    <definedName name="BO84F4DE300CC44481A051648870A30CA1" localSheetId="7" hidden="1">#REF!</definedName>
    <definedName name="BO84F4DE300CC44481A051648870A30CA1" hidden="1">#REF!</definedName>
    <definedName name="BO851ED596014C4719824DF583F437BF0B" localSheetId="7" hidden="1">#REF!</definedName>
    <definedName name="BO851ED596014C4719824DF583F437BF0B" hidden="1">#REF!</definedName>
    <definedName name="BO85272F333BDD4260B3E7D7FDE6A418F8" localSheetId="7" hidden="1">#REF!</definedName>
    <definedName name="BO85272F333BDD4260B3E7D7FDE6A418F8" hidden="1">#REF!</definedName>
    <definedName name="BO8527CA1946D440E49AC757186420DE9E" localSheetId="7" hidden="1">#REF!</definedName>
    <definedName name="BO8527CA1946D440E49AC757186420DE9E" hidden="1">#REF!</definedName>
    <definedName name="BO8548F7AE913243F683DCD9EFA6ED9B89" localSheetId="7" hidden="1">#REF!</definedName>
    <definedName name="BO8548F7AE913243F683DCD9EFA6ED9B89" hidden="1">#REF!</definedName>
    <definedName name="BO8550416E63A743EBBE0A620F63000A2D" localSheetId="7" hidden="1">#REF!</definedName>
    <definedName name="BO8550416E63A743EBBE0A620F63000A2D" hidden="1">#REF!</definedName>
    <definedName name="BO855C7C7A65CC4C59AB4D5C6D81865149" localSheetId="7" hidden="1">#REF!</definedName>
    <definedName name="BO855C7C7A65CC4C59AB4D5C6D81865149" hidden="1">#REF!</definedName>
    <definedName name="BO8575DB9F72444284B96960AC72F2D864" localSheetId="7" hidden="1">#REF!</definedName>
    <definedName name="BO8575DB9F72444284B96960AC72F2D864" hidden="1">#REF!</definedName>
    <definedName name="BO859C97FF62B5495E85DD3AC6623DF9AB" localSheetId="7" hidden="1">#REF!</definedName>
    <definedName name="BO859C97FF62B5495E85DD3AC6623DF9AB" hidden="1">#REF!</definedName>
    <definedName name="BO85A897073C3C49E7A9A0C57BA39AC82A" localSheetId="7" hidden="1">#REF!</definedName>
    <definedName name="BO85A897073C3C49E7A9A0C57BA39AC82A" hidden="1">#REF!</definedName>
    <definedName name="BO85CE1060EC674F678B312BE854540506" localSheetId="7" hidden="1">#REF!</definedName>
    <definedName name="BO85CE1060EC674F678B312BE854540506" hidden="1">#REF!</definedName>
    <definedName name="BO85E9E260C5134B71A364669C6F71D568" localSheetId="7" hidden="1">#REF!</definedName>
    <definedName name="BO85E9E260C5134B71A364669C6F71D568" hidden="1">#REF!</definedName>
    <definedName name="BO85EFF86E9105434B99D5A9F48C6E644C" localSheetId="7" hidden="1">#REF!</definedName>
    <definedName name="BO85EFF86E9105434B99D5A9F48C6E644C" hidden="1">#REF!</definedName>
    <definedName name="BO8622D9EE6ADD4228BF2B8AD79784DE11" localSheetId="7" hidden="1">#REF!</definedName>
    <definedName name="BO8622D9EE6ADD4228BF2B8AD79784DE11" hidden="1">#REF!</definedName>
    <definedName name="BO863D388731CA4E7B8E000DA972238A1E" localSheetId="7" hidden="1">#REF!</definedName>
    <definedName name="BO863D388731CA4E7B8E000DA972238A1E" hidden="1">#REF!</definedName>
    <definedName name="BO864C84B953BB490DB7CF67C25CDAAC64" localSheetId="7" hidden="1">#REF!</definedName>
    <definedName name="BO864C84B953BB490DB7CF67C25CDAAC64" hidden="1">#REF!</definedName>
    <definedName name="BO865311969E694F2FB4A504148D2D9832" localSheetId="7" hidden="1">#REF!</definedName>
    <definedName name="BO865311969E694F2FB4A504148D2D9832" hidden="1">#REF!</definedName>
    <definedName name="BO86540FAEEC734561809ACC7D9D666093" localSheetId="7" hidden="1">#REF!</definedName>
    <definedName name="BO86540FAEEC734561809ACC7D9D666093" hidden="1">#REF!</definedName>
    <definedName name="BO8658EFEFD0364B38BE89F6A3436635CC" localSheetId="7" hidden="1">#REF!</definedName>
    <definedName name="BO8658EFEFD0364B38BE89F6A3436635CC" hidden="1">#REF!</definedName>
    <definedName name="BO866EB63924774D9DBCD6FC3300392E55" localSheetId="7" hidden="1">#REF!</definedName>
    <definedName name="BO866EB63924774D9DBCD6FC3300392E55" hidden="1">#REF!</definedName>
    <definedName name="BO866EF0D218274D6F807F1269EBCB14CD" localSheetId="7" hidden="1">#REF!</definedName>
    <definedName name="BO866EF0D218274D6F807F1269EBCB14CD" hidden="1">#REF!</definedName>
    <definedName name="BO86944611401F4B0B9357BAB7740162AD" localSheetId="7" hidden="1">#REF!</definedName>
    <definedName name="BO86944611401F4B0B9357BAB7740162AD" hidden="1">#REF!</definedName>
    <definedName name="BO869FE869FFBC4A169A7D6C369EA54F47" localSheetId="7" hidden="1">#REF!</definedName>
    <definedName name="BO869FE869FFBC4A169A7D6C369EA54F47" hidden="1">#REF!</definedName>
    <definedName name="BO86BD090C161643509FD163662528D0A1" localSheetId="7" hidden="1">#REF!</definedName>
    <definedName name="BO86BD090C161643509FD163662528D0A1" hidden="1">#REF!</definedName>
    <definedName name="BO86C24FE12B854CA1B497DC17973A0E27" localSheetId="7" hidden="1">#REF!</definedName>
    <definedName name="BO86C24FE12B854CA1B497DC17973A0E27" hidden="1">#REF!</definedName>
    <definedName name="BO86C484D484374D3080F9FD7BDAD0244F" localSheetId="7" hidden="1">#REF!</definedName>
    <definedName name="BO86C484D484374D3080F9FD7BDAD0244F" hidden="1">#REF!</definedName>
    <definedName name="BO86C67CAEE2DD4287824CA6288AE69E09" localSheetId="7" hidden="1">#REF!</definedName>
    <definedName name="BO86C67CAEE2DD4287824CA6288AE69E09" hidden="1">#REF!</definedName>
    <definedName name="BO86CC47ACB2A148158186A6CB1F75F86E" localSheetId="7" hidden="1">#REF!</definedName>
    <definedName name="BO86CC47ACB2A148158186A6CB1F75F86E" hidden="1">#REF!</definedName>
    <definedName name="BO86CD9FAF96FF402688322A71C16A7B82" localSheetId="7" hidden="1">#REF!</definedName>
    <definedName name="BO86CD9FAF96FF402688322A71C16A7B82" hidden="1">#REF!</definedName>
    <definedName name="BO86D4CE308AD746538C9E51BBCD304235" localSheetId="7" hidden="1">#REF!</definedName>
    <definedName name="BO86D4CE308AD746538C9E51BBCD304235" hidden="1">#REF!</definedName>
    <definedName name="BO86DA509EA2A941EE88F3EE47906C8441" localSheetId="7" hidden="1">#REF!</definedName>
    <definedName name="BO86DA509EA2A941EE88F3EE47906C8441" hidden="1">#REF!</definedName>
    <definedName name="BO86F063BD2D4948C8AD9F83BE31A74888" localSheetId="7" hidden="1">#REF!</definedName>
    <definedName name="BO86F063BD2D4948C8AD9F83BE31A74888" hidden="1">#REF!</definedName>
    <definedName name="BO86F25F4FD86D4CA4B3CDEF6F92D0AD4F" localSheetId="7" hidden="1">#REF!</definedName>
    <definedName name="BO86F25F4FD86D4CA4B3CDEF6F92D0AD4F" hidden="1">#REF!</definedName>
    <definedName name="BO870507EF423A46C7A3909A3C8C2C8D8C" localSheetId="7" hidden="1">#REF!</definedName>
    <definedName name="BO870507EF423A46C7A3909A3C8C2C8D8C" hidden="1">#REF!</definedName>
    <definedName name="BO873096099D764022948ED73B8B3BFF24" localSheetId="7" hidden="1">#REF!</definedName>
    <definedName name="BO873096099D764022948ED73B8B3BFF24" hidden="1">#REF!</definedName>
    <definedName name="BO874F3CE2B14547D5A7E702147B5F7524" localSheetId="7" hidden="1">#REF!</definedName>
    <definedName name="BO874F3CE2B14547D5A7E702147B5F7524" hidden="1">#REF!</definedName>
    <definedName name="BO8771B6BAD99E4602A443AE9117BE1D9B" localSheetId="7" hidden="1">#REF!</definedName>
    <definedName name="BO8771B6BAD99E4602A443AE9117BE1D9B" hidden="1">#REF!</definedName>
    <definedName name="BO878FAC6B2B7848549585916E218AF043" localSheetId="7" hidden="1">#REF!</definedName>
    <definedName name="BO878FAC6B2B7848549585916E218AF043" hidden="1">#REF!</definedName>
    <definedName name="BO879224AD72FA4FA5AC6C3F72EBAB1833" localSheetId="7" hidden="1">#REF!</definedName>
    <definedName name="BO879224AD72FA4FA5AC6C3F72EBAB1833" hidden="1">#REF!</definedName>
    <definedName name="BO8792DE63A7644A12A9378AB0CFCDA7D4" localSheetId="7" hidden="1">#REF!</definedName>
    <definedName name="BO8792DE63A7644A12A9378AB0CFCDA7D4" hidden="1">#REF!</definedName>
    <definedName name="BO87A141C0B07A400DA552A0A6A6A9D886" localSheetId="7" hidden="1">#REF!</definedName>
    <definedName name="BO87A141C0B07A400DA552A0A6A6A9D886" hidden="1">#REF!</definedName>
    <definedName name="BO87ADAEE7EF2B4CE6AED67F5039A45B40" localSheetId="7" hidden="1">#REF!</definedName>
    <definedName name="BO87ADAEE7EF2B4CE6AED67F5039A45B40" hidden="1">#REF!</definedName>
    <definedName name="BO87B41B4FD57A4E38ACB79CEAF3DDFED7" localSheetId="7" hidden="1">#REF!</definedName>
    <definedName name="BO87B41B4FD57A4E38ACB79CEAF3DDFED7" hidden="1">#REF!</definedName>
    <definedName name="BO87C70D6DA1D049F38B612C547A4215A0" localSheetId="7" hidden="1">#REF!</definedName>
    <definedName name="BO87C70D6DA1D049F38B612C547A4215A0" hidden="1">#REF!</definedName>
    <definedName name="BO87CCBE16A41E4D39B31E8290002C1E4E" localSheetId="7" hidden="1">#REF!</definedName>
    <definedName name="BO87CCBE16A41E4D39B31E8290002C1E4E" hidden="1">#REF!</definedName>
    <definedName name="BO880D4EBEDF4943F1B63FB10CD8DBB2B3" localSheetId="7" hidden="1">#REF!</definedName>
    <definedName name="BO880D4EBEDF4943F1B63FB10CD8DBB2B3" hidden="1">#REF!</definedName>
    <definedName name="BO882B126AC02948D789AB0DDDF72F1AB5" localSheetId="7" hidden="1">#REF!</definedName>
    <definedName name="BO882B126AC02948D789AB0DDDF72F1AB5" hidden="1">#REF!</definedName>
    <definedName name="BO88957970C14446D088930EE78FD09D8C" localSheetId="7" hidden="1">#REF!</definedName>
    <definedName name="BO88957970C14446D088930EE78FD09D8C" hidden="1">#REF!</definedName>
    <definedName name="BO88AF015CE7BE4C168253B568079D1B30" localSheetId="7" hidden="1">#REF!</definedName>
    <definedName name="BO88AF015CE7BE4C168253B568079D1B30" hidden="1">#REF!</definedName>
    <definedName name="BO88B470BA77734909A8D0B430049B30D1" localSheetId="7" hidden="1">#REF!</definedName>
    <definedName name="BO88B470BA77734909A8D0B430049B30D1" hidden="1">#REF!</definedName>
    <definedName name="BO891F67E3791C4CDEBB839246ECE08BCD" localSheetId="7" hidden="1">#REF!</definedName>
    <definedName name="BO891F67E3791C4CDEBB839246ECE08BCD" hidden="1">#REF!</definedName>
    <definedName name="BO892B731CDE3B4FB082296219D11997B5" localSheetId="7" hidden="1">#REF!</definedName>
    <definedName name="BO892B731CDE3B4FB082296219D11997B5" hidden="1">#REF!</definedName>
    <definedName name="BO892F499D82E7436AB7C33111A9B1B886" localSheetId="7" hidden="1">#REF!</definedName>
    <definedName name="BO892F499D82E7436AB7C33111A9B1B886" hidden="1">#REF!</definedName>
    <definedName name="BO8944DD094A664B548A22F597CF90E641" localSheetId="7" hidden="1">#REF!</definedName>
    <definedName name="BO8944DD094A664B548A22F597CF90E641" hidden="1">#REF!</definedName>
    <definedName name="BO89562493D0C04FD5B0BED81C96065BA4" localSheetId="7" hidden="1">#REF!</definedName>
    <definedName name="BO89562493D0C04FD5B0BED81C96065BA4" hidden="1">#REF!</definedName>
    <definedName name="BO897F7B517482437A822E6C88AC1362A7" localSheetId="7" hidden="1">#REF!</definedName>
    <definedName name="BO897F7B517482437A822E6C88AC1362A7" hidden="1">#REF!</definedName>
    <definedName name="BO898A75383B334B30A93DC1C4FB1AEB16" localSheetId="7" hidden="1">#REF!</definedName>
    <definedName name="BO898A75383B334B30A93DC1C4FB1AEB16" hidden="1">#REF!</definedName>
    <definedName name="BO89A9E7BE9C8E4648BA0B59032D17BABE" localSheetId="7" hidden="1">#REF!</definedName>
    <definedName name="BO89A9E7BE9C8E4648BA0B59032D17BABE" hidden="1">#REF!</definedName>
    <definedName name="BO89C1FF23F6CC43FE928D57AAAEE1CD5A" localSheetId="7" hidden="1">#REF!</definedName>
    <definedName name="BO89C1FF23F6CC43FE928D57AAAEE1CD5A" hidden="1">#REF!</definedName>
    <definedName name="BO89C3CC3748884C278B44C1C154D6CC58" localSheetId="7" hidden="1">#REF!</definedName>
    <definedName name="BO89C3CC3748884C278B44C1C154D6CC58" hidden="1">#REF!</definedName>
    <definedName name="BO89D5B0AE5875486585BA5512865DE1E6" localSheetId="7" hidden="1">#REF!</definedName>
    <definedName name="BO89D5B0AE5875486585BA5512865DE1E6" hidden="1">#REF!</definedName>
    <definedName name="BO89E8A5361A874EEEB12B6F414098F879" localSheetId="7" hidden="1">#REF!</definedName>
    <definedName name="BO89E8A5361A874EEEB12B6F414098F879" hidden="1">#REF!</definedName>
    <definedName name="BO8A19D682DD42460D9EC9FB35D57762AB" localSheetId="7" hidden="1">#REF!</definedName>
    <definedName name="BO8A19D682DD42460D9EC9FB35D57762AB" hidden="1">#REF!</definedName>
    <definedName name="BO8A32DA227CA34058B41B6B9EB2630D02" localSheetId="7" hidden="1">#REF!</definedName>
    <definedName name="BO8A32DA227CA34058B41B6B9EB2630D02" hidden="1">#REF!</definedName>
    <definedName name="BO8A457BEBED57471C81397A8F6FBDCEF5" localSheetId="7" hidden="1">#REF!</definedName>
    <definedName name="BO8A457BEBED57471C81397A8F6FBDCEF5" hidden="1">#REF!</definedName>
    <definedName name="BO8A594549717A46A4BFEBAA6F8AFEEF77" localSheetId="7" hidden="1">#REF!</definedName>
    <definedName name="BO8A594549717A46A4BFEBAA6F8AFEEF77" hidden="1">#REF!</definedName>
    <definedName name="BO8A62B58855A84A4EA83A13711B904B5E" localSheetId="7" hidden="1">#REF!</definedName>
    <definedName name="BO8A62B58855A84A4EA83A13711B904B5E" hidden="1">#REF!</definedName>
    <definedName name="BO8A74FB167BDE48A69EEEC855E35953B4" localSheetId="7" hidden="1">#REF!</definedName>
    <definedName name="BO8A74FB167BDE48A69EEEC855E35953B4" hidden="1">#REF!</definedName>
    <definedName name="BO8ACA2F3D75E34863B9A514816062523C" localSheetId="7" hidden="1">#REF!</definedName>
    <definedName name="BO8ACA2F3D75E34863B9A514816062523C" hidden="1">#REF!</definedName>
    <definedName name="BO8ACB5AEA50D144CEAD5E26027DE46A19" localSheetId="7" hidden="1">#REF!</definedName>
    <definedName name="BO8ACB5AEA50D144CEAD5E26027DE46A19" hidden="1">#REF!</definedName>
    <definedName name="BO8AD740723C174FD99C81A6703CAA6FBC" localSheetId="7" hidden="1">#REF!</definedName>
    <definedName name="BO8AD740723C174FD99C81A6703CAA6FBC" hidden="1">#REF!</definedName>
    <definedName name="BO8AD965386A07443C906050C60F36585F" localSheetId="7" hidden="1">#REF!</definedName>
    <definedName name="BO8AD965386A07443C906050C60F36585F" hidden="1">#REF!</definedName>
    <definedName name="BO8AF0B34E64824544B2EDD21D5779AA63" localSheetId="7" hidden="1">#REF!</definedName>
    <definedName name="BO8AF0B34E64824544B2EDD21D5779AA63" hidden="1">#REF!</definedName>
    <definedName name="BO8AF5E0745AF34609BE6CE6D8F96946A5" localSheetId="7" hidden="1">#REF!</definedName>
    <definedName name="BO8AF5E0745AF34609BE6CE6D8F96946A5" hidden="1">#REF!</definedName>
    <definedName name="BO8B05EFB4B7C54992992B3B884C4EB984" localSheetId="7" hidden="1">#REF!</definedName>
    <definedName name="BO8B05EFB4B7C54992992B3B884C4EB984" hidden="1">#REF!</definedName>
    <definedName name="BO8B08DFC864844781A7854E68670E989D" localSheetId="7" hidden="1">#REF!</definedName>
    <definedName name="BO8B08DFC864844781A7854E68670E989D" hidden="1">#REF!</definedName>
    <definedName name="BO8B17FC3EC35346A19396BF0E37D2AFDA" localSheetId="7" hidden="1">#REF!</definedName>
    <definedName name="BO8B17FC3EC35346A19396BF0E37D2AFDA" hidden="1">#REF!</definedName>
    <definedName name="BO8B26F72B3A9D4BFD849B07020FEC522F" localSheetId="7" hidden="1">#REF!</definedName>
    <definedName name="BO8B26F72B3A9D4BFD849B07020FEC522F" hidden="1">#REF!</definedName>
    <definedName name="BO8B35BAD6184D415AAD530CC950C95FB0" localSheetId="7" hidden="1">#REF!</definedName>
    <definedName name="BO8B35BAD6184D415AAD530CC950C95FB0" hidden="1">#REF!</definedName>
    <definedName name="BO8B53E75C69174EAC815C61208D7D8BF6" localSheetId="7" hidden="1">#REF!</definedName>
    <definedName name="BO8B53E75C69174EAC815C61208D7D8BF6" hidden="1">#REF!</definedName>
    <definedName name="BO8B583FB79C8842FB82973E841CDE78BD" localSheetId="7" hidden="1">#REF!</definedName>
    <definedName name="BO8B583FB79C8842FB82973E841CDE78BD" hidden="1">#REF!</definedName>
    <definedName name="BO8B61FC7EA5E44E208C83E2FDF26D1926" localSheetId="7" hidden="1">#REF!</definedName>
    <definedName name="BO8B61FC7EA5E44E208C83E2FDF26D1926" hidden="1">#REF!</definedName>
    <definedName name="BO8B8DA7112E0A4BA89ACCF8537B754536" localSheetId="7" hidden="1">#REF!</definedName>
    <definedName name="BO8B8DA7112E0A4BA89ACCF8537B754536" hidden="1">#REF!</definedName>
    <definedName name="BO8B906300CF76452DAB768C9940E1C530" localSheetId="7" hidden="1">#REF!</definedName>
    <definedName name="BO8B906300CF76452DAB768C9940E1C530" hidden="1">#REF!</definedName>
    <definedName name="BO8B9B6872999142B5B3B654FB546B9871" localSheetId="7" hidden="1">#REF!</definedName>
    <definedName name="BO8B9B6872999142B5B3B654FB546B9871" hidden="1">#REF!</definedName>
    <definedName name="BO8BB4EB7559EA42089D6E885C1808CFD6" localSheetId="7" hidden="1">#REF!</definedName>
    <definedName name="BO8BB4EB7559EA42089D6E885C1808CFD6" hidden="1">#REF!</definedName>
    <definedName name="BO8BCD1213E12844039605D31846A41ED1" localSheetId="7" hidden="1">#REF!</definedName>
    <definedName name="BO8BCD1213E12844039605D31846A41ED1" hidden="1">#REF!</definedName>
    <definedName name="BO8BF2A670C63D4FFD98A33244F7AC3724" localSheetId="7" hidden="1">#REF!</definedName>
    <definedName name="BO8BF2A670C63D4FFD98A33244F7AC3724" hidden="1">#REF!</definedName>
    <definedName name="BO8C1BDCF4F1B14A7B8CA0E018AA330B60" localSheetId="7" hidden="1">#REF!</definedName>
    <definedName name="BO8C1BDCF4F1B14A7B8CA0E018AA330B60" hidden="1">#REF!</definedName>
    <definedName name="BO8C5151C337B04E7DADEF49988BB76399" localSheetId="7" hidden="1">#REF!</definedName>
    <definedName name="BO8C5151C337B04E7DADEF49988BB76399" hidden="1">#REF!</definedName>
    <definedName name="BO8C5A4492A28F4836B5B2448E907A43F6" localSheetId="7" hidden="1">#REF!</definedName>
    <definedName name="BO8C5A4492A28F4836B5B2448E907A43F6" hidden="1">#REF!</definedName>
    <definedName name="BO8C831AEB3F2045B1B68A4327A968E8E8" localSheetId="7" hidden="1">#REF!</definedName>
    <definedName name="BO8C831AEB3F2045B1B68A4327A968E8E8" hidden="1">#REF!</definedName>
    <definedName name="BO8CB4C640366849759FDBD3A28BC63E91" localSheetId="7" hidden="1">#REF!</definedName>
    <definedName name="BO8CB4C640366849759FDBD3A28BC63E91" hidden="1">#REF!</definedName>
    <definedName name="BO8CB9FEF6C4504D59931BB83A15B9FD37" localSheetId="7" hidden="1">#REF!</definedName>
    <definedName name="BO8CB9FEF6C4504D59931BB83A15B9FD37" hidden="1">#REF!</definedName>
    <definedName name="BO8CC622BD49F641FBB41E5EEE20CCC596" localSheetId="7" hidden="1">#REF!</definedName>
    <definedName name="BO8CC622BD49F641FBB41E5EEE20CCC596" hidden="1">#REF!</definedName>
    <definedName name="BO8CF7E611375E412FB603BF6E4A830D4F" localSheetId="7" hidden="1">#REF!</definedName>
    <definedName name="BO8CF7E611375E412FB603BF6E4A830D4F" hidden="1">#REF!</definedName>
    <definedName name="BO8D06BB9B47734A3D8D8381B0D715E6AD" localSheetId="7" hidden="1">#REF!</definedName>
    <definedName name="BO8D06BB9B47734A3D8D8381B0D715E6AD" hidden="1">#REF!</definedName>
    <definedName name="BO8D0BF8A68C3C499282256DAED46A7458" localSheetId="7" hidden="1">#REF!</definedName>
    <definedName name="BO8D0BF8A68C3C499282256DAED46A7458" hidden="1">#REF!</definedName>
    <definedName name="BO8D0E0BD9CAF44062B804AEB06F01A5C2" localSheetId="7" hidden="1">#REF!</definedName>
    <definedName name="BO8D0E0BD9CAF44062B804AEB06F01A5C2" hidden="1">#REF!</definedName>
    <definedName name="BO8D0F72A827FA45F3B1DADBFD9C43665D" localSheetId="7" hidden="1">#REF!</definedName>
    <definedName name="BO8D0F72A827FA45F3B1DADBFD9C43665D" hidden="1">#REF!</definedName>
    <definedName name="BO8D2F34E4CFD04D729D016DB0F6E75244" localSheetId="7" hidden="1">#REF!</definedName>
    <definedName name="BO8D2F34E4CFD04D729D016DB0F6E75244" hidden="1">#REF!</definedName>
    <definedName name="BO8D2F4121E96544AC9B451544603EECA5" localSheetId="7" hidden="1">#REF!</definedName>
    <definedName name="BO8D2F4121E96544AC9B451544603EECA5" hidden="1">#REF!</definedName>
    <definedName name="BO8D48B8E45573435095B0482FA3E2AAB1" localSheetId="7" hidden="1">#REF!</definedName>
    <definedName name="BO8D48B8E45573435095B0482FA3E2AAB1" hidden="1">#REF!</definedName>
    <definedName name="BO8D68603398E042C6868F4883D55823F0" localSheetId="7" hidden="1">#REF!</definedName>
    <definedName name="BO8D68603398E042C6868F4883D55823F0" hidden="1">#REF!</definedName>
    <definedName name="BO8D71E8A8F17549798AB43AF90CB8C6F8" localSheetId="7" hidden="1">#REF!</definedName>
    <definedName name="BO8D71E8A8F17549798AB43AF90CB8C6F8" hidden="1">#REF!</definedName>
    <definedName name="BO8D795CF4EBCB44A7A7B76FF064A3101D" localSheetId="7" hidden="1">#REF!</definedName>
    <definedName name="BO8D795CF4EBCB44A7A7B76FF064A3101D" hidden="1">#REF!</definedName>
    <definedName name="BO8D7F7BD31A13430A87BC90E9FD95EB94" localSheetId="7" hidden="1">#REF!</definedName>
    <definedName name="BO8D7F7BD31A13430A87BC90E9FD95EB94" hidden="1">#REF!</definedName>
    <definedName name="BO8D9C0D1154BE42FD8FA0FAE5ED26835C" localSheetId="7" hidden="1">#REF!</definedName>
    <definedName name="BO8D9C0D1154BE42FD8FA0FAE5ED26835C" hidden="1">#REF!</definedName>
    <definedName name="BO8DBDFB4ECE7D467CA9EB12EDF80E3614" localSheetId="7" hidden="1">#REF!</definedName>
    <definedName name="BO8DBDFB4ECE7D467CA9EB12EDF80E3614" hidden="1">#REF!</definedName>
    <definedName name="BO8DD4152A50AB489FBCDB2E251F29FCEA" localSheetId="7" hidden="1">#REF!</definedName>
    <definedName name="BO8DD4152A50AB489FBCDB2E251F29FCEA" hidden="1">#REF!</definedName>
    <definedName name="BO8DDB58F7933B444F86E6024F1DEFC8BC" localSheetId="7" hidden="1">#REF!</definedName>
    <definedName name="BO8DDB58F7933B444F86E6024F1DEFC8BC" hidden="1">#REF!</definedName>
    <definedName name="BO8DDD520C859E485AA97D9C2E830A9B9B" localSheetId="7" hidden="1">#REF!</definedName>
    <definedName name="BO8DDD520C859E485AA97D9C2E830A9B9B" hidden="1">#REF!</definedName>
    <definedName name="BO8DE4F91DDDCA4128960E106D774B89D9" localSheetId="7" hidden="1">#REF!</definedName>
    <definedName name="BO8DE4F91DDDCA4128960E106D774B89D9" hidden="1">#REF!</definedName>
    <definedName name="BO8E02ED6E7FD442BE9C05DB282AE655EE" localSheetId="7" hidden="1">#REF!</definedName>
    <definedName name="BO8E02ED6E7FD442BE9C05DB282AE655EE" hidden="1">#REF!</definedName>
    <definedName name="BO8E0BD141A03A4E60BA5FDFBA81F5EFC4" localSheetId="7" hidden="1">#REF!</definedName>
    <definedName name="BO8E0BD141A03A4E60BA5FDFBA81F5EFC4" hidden="1">#REF!</definedName>
    <definedName name="BO8E43EA83F5104898B9258188F5A516D1" localSheetId="7" hidden="1">#REF!</definedName>
    <definedName name="BO8E43EA83F5104898B9258188F5A516D1" hidden="1">#REF!</definedName>
    <definedName name="BO8E6605CAB2C84EA4987F9EEFEA956D41" localSheetId="7" hidden="1">#REF!</definedName>
    <definedName name="BO8E6605CAB2C84EA4987F9EEFEA956D41" hidden="1">#REF!</definedName>
    <definedName name="BO8E6E1641DDB44D9FAA36239C5283A917" localSheetId="7" hidden="1">#REF!</definedName>
    <definedName name="BO8E6E1641DDB44D9FAA36239C5283A917" hidden="1">#REF!</definedName>
    <definedName name="BO8E7C045A28BA437F85DCAA9ADDC6084C" localSheetId="7" hidden="1">#REF!</definedName>
    <definedName name="BO8E7C045A28BA437F85DCAA9ADDC6084C" hidden="1">#REF!</definedName>
    <definedName name="BO8EB428DFA778440682A9A7189F5C6BBD" localSheetId="7" hidden="1">#REF!</definedName>
    <definedName name="BO8EB428DFA778440682A9A7189F5C6BBD" hidden="1">#REF!</definedName>
    <definedName name="BO8EC7F0EBCF074A9D962A82DA29857B4D" localSheetId="7" hidden="1">#REF!</definedName>
    <definedName name="BO8EC7F0EBCF074A9D962A82DA29857B4D" hidden="1">#REF!</definedName>
    <definedName name="BO8EDBFE2EB8CE4A40854DE2497D953137" localSheetId="7" hidden="1">#REF!</definedName>
    <definedName name="BO8EDBFE2EB8CE4A40854DE2497D953137" hidden="1">#REF!</definedName>
    <definedName name="BO8EE2AD2D17464D10BF83A3F499112DBF" localSheetId="7" hidden="1">#REF!</definedName>
    <definedName name="BO8EE2AD2D17464D10BF83A3F499112DBF" hidden="1">#REF!</definedName>
    <definedName name="BO8F06B8E0E3524D1E87FA37CD5F1566ED" localSheetId="7" hidden="1">#REF!</definedName>
    <definedName name="BO8F06B8E0E3524D1E87FA37CD5F1566ED" hidden="1">#REF!</definedName>
    <definedName name="BO8F2B928A6A9642ED8D23D00FBDF0C92D" localSheetId="7" hidden="1">#REF!</definedName>
    <definedName name="BO8F2B928A6A9642ED8D23D00FBDF0C92D" hidden="1">#REF!</definedName>
    <definedName name="BO8F460C6B01C24EF9BB79489402921854" localSheetId="7" hidden="1">#REF!</definedName>
    <definedName name="BO8F460C6B01C24EF9BB79489402921854" hidden="1">#REF!</definedName>
    <definedName name="BO8F51A2B30F9F471C8826A57E75302823" localSheetId="7" hidden="1">#REF!</definedName>
    <definedName name="BO8F51A2B30F9F471C8826A57E75302823" hidden="1">#REF!</definedName>
    <definedName name="BO8F9EA5E13E6D4E39AFD69B68CB36928E" localSheetId="7" hidden="1">#REF!</definedName>
    <definedName name="BO8F9EA5E13E6D4E39AFD69B68CB36928E" hidden="1">#REF!</definedName>
    <definedName name="BO8FBB52B1C56946FF9E59A07D3BE8373E" localSheetId="7" hidden="1">#REF!</definedName>
    <definedName name="BO8FBB52B1C56946FF9E59A07D3BE8373E" hidden="1">#REF!</definedName>
    <definedName name="BO8FC1F298162741F090A894E30E420B03" localSheetId="7" hidden="1">#REF!</definedName>
    <definedName name="BO8FC1F298162741F090A894E30E420B03" hidden="1">#REF!</definedName>
    <definedName name="BO8FE03235B1B044CCBCC522037E67EE76" localSheetId="7" hidden="1">#REF!</definedName>
    <definedName name="BO8FE03235B1B044CCBCC522037E67EE76" hidden="1">#REF!</definedName>
    <definedName name="BO9000239D14FD4F109A3C560C7A87D777" localSheetId="7" hidden="1">#REF!</definedName>
    <definedName name="BO9000239D14FD4F109A3C560C7A87D777" hidden="1">#REF!</definedName>
    <definedName name="BO901396B03F494743A711E7DE8AAC2424" localSheetId="7" hidden="1">#REF!</definedName>
    <definedName name="BO901396B03F494743A711E7DE8AAC2424" hidden="1">#REF!</definedName>
    <definedName name="BO9030D199B32D455FA7E4E0354955B528" localSheetId="7" hidden="1">#REF!</definedName>
    <definedName name="BO9030D199B32D455FA7E4E0354955B528" hidden="1">#REF!</definedName>
    <definedName name="BO9033940AF28D4835ACE69B8FA201DBE3" localSheetId="7" hidden="1">#REF!</definedName>
    <definedName name="BO9033940AF28D4835ACE69B8FA201DBE3" hidden="1">#REF!</definedName>
    <definedName name="BO904A5B2820B24AEF91C41D90EA32D8AC" localSheetId="7" hidden="1">#REF!</definedName>
    <definedName name="BO904A5B2820B24AEF91C41D90EA32D8AC" hidden="1">#REF!</definedName>
    <definedName name="BO9055A887C2E444DF9ABF68E0F92C4917" localSheetId="7" hidden="1">#REF!</definedName>
    <definedName name="BO9055A887C2E444DF9ABF68E0F92C4917" hidden="1">#REF!</definedName>
    <definedName name="BO905D2200B4B6494794D33C11DBFB67C4" localSheetId="7" hidden="1">#REF!</definedName>
    <definedName name="BO905D2200B4B6494794D33C11DBFB67C4" hidden="1">#REF!</definedName>
    <definedName name="BO9070AAA036524C459066280BA20C3739" localSheetId="7" hidden="1">#REF!</definedName>
    <definedName name="BO9070AAA036524C459066280BA20C3739" hidden="1">#REF!</definedName>
    <definedName name="BO907805ECC976479DAE639EDACFEF4EE6" localSheetId="7" hidden="1">#REF!</definedName>
    <definedName name="BO907805ECC976479DAE639EDACFEF4EE6" hidden="1">#REF!</definedName>
    <definedName name="BO908C515934BF42259BFFF54C8DB3FEDD" localSheetId="7" hidden="1">#REF!</definedName>
    <definedName name="BO908C515934BF42259BFFF54C8DB3FEDD" hidden="1">#REF!</definedName>
    <definedName name="BO90B95703855C4B7C9E58F6D41D0CCE69" localSheetId="7" hidden="1">#REF!</definedName>
    <definedName name="BO90B95703855C4B7C9E58F6D41D0CCE69" hidden="1">#REF!</definedName>
    <definedName name="BO90BC4E8C123049C491BE5E5B78D55E58" localSheetId="7" hidden="1">#REF!</definedName>
    <definedName name="BO90BC4E8C123049C491BE5E5B78D55E58" hidden="1">#REF!</definedName>
    <definedName name="BO90C6A95D98674536B1D2D2BEDD3420C4" localSheetId="7" hidden="1">#REF!</definedName>
    <definedName name="BO90C6A95D98674536B1D2D2BEDD3420C4" hidden="1">#REF!</definedName>
    <definedName name="BO90D8C272FFDB4891B234EBB6D0054808" localSheetId="7" hidden="1">#REF!</definedName>
    <definedName name="BO90D8C272FFDB4891B234EBB6D0054808" hidden="1">#REF!</definedName>
    <definedName name="BO90E05BFFB8284AC39256209A244ED31A" localSheetId="7" hidden="1">#REF!</definedName>
    <definedName name="BO90E05BFFB8284AC39256209A244ED31A" hidden="1">#REF!</definedName>
    <definedName name="BO90EB3B22FCC549CDAC6709D0C560B202" localSheetId="7" hidden="1">#REF!</definedName>
    <definedName name="BO90EB3B22FCC549CDAC6709D0C560B202" hidden="1">#REF!</definedName>
    <definedName name="BO90F04365359F42E29A01932C47C12815" localSheetId="7" hidden="1">#REF!</definedName>
    <definedName name="BO90F04365359F42E29A01932C47C12815" hidden="1">#REF!</definedName>
    <definedName name="BO90F76486EC914ADC97EE261193592A0A" localSheetId="7" hidden="1">#REF!</definedName>
    <definedName name="BO90F76486EC914ADC97EE261193592A0A" hidden="1">#REF!</definedName>
    <definedName name="BO91180806C2A64519A403A5AAE41421D5" localSheetId="7" hidden="1">#REF!</definedName>
    <definedName name="BO91180806C2A64519A403A5AAE41421D5" hidden="1">#REF!</definedName>
    <definedName name="BO9126A7F130174E11A3337B77E235ABD0" localSheetId="7" hidden="1">#REF!</definedName>
    <definedName name="BO9126A7F130174E11A3337B77E235ABD0" hidden="1">#REF!</definedName>
    <definedName name="BO9132717393F64C4A831D4F461E801DEF" localSheetId="7" hidden="1">#REF!</definedName>
    <definedName name="BO9132717393F64C4A831D4F461E801DEF" hidden="1">#REF!</definedName>
    <definedName name="BO9133DF2983E343F5BA0C9B8FEE078D6D" localSheetId="7" hidden="1">#REF!</definedName>
    <definedName name="BO9133DF2983E343F5BA0C9B8FEE078D6D" hidden="1">#REF!</definedName>
    <definedName name="BO9168F6D8F8794CF489B2C61B8A251F76" localSheetId="7" hidden="1">#REF!</definedName>
    <definedName name="BO9168F6D8F8794CF489B2C61B8A251F76" hidden="1">#REF!</definedName>
    <definedName name="BO917811B7027E4B6A96AE5F5D8C094F41" localSheetId="7" hidden="1">#REF!</definedName>
    <definedName name="BO917811B7027E4B6A96AE5F5D8C094F41" hidden="1">#REF!</definedName>
    <definedName name="BO91997D31D29A4AC9BDE941158DB4AF42" localSheetId="7" hidden="1">#REF!</definedName>
    <definedName name="BO91997D31D29A4AC9BDE941158DB4AF42" hidden="1">#REF!</definedName>
    <definedName name="BO919DA39FE41743C8A7B2253D308ADF44" localSheetId="7" hidden="1">#REF!</definedName>
    <definedName name="BO919DA39FE41743C8A7B2253D308ADF44" hidden="1">#REF!</definedName>
    <definedName name="BO91CD623671F74E64BE7A0D8BA137B394" localSheetId="7" hidden="1">#REF!</definedName>
    <definedName name="BO91CD623671F74E64BE7A0D8BA137B394" hidden="1">#REF!</definedName>
    <definedName name="BO91D4059A18F54087B39F2A9357F5A8D4" localSheetId="7" hidden="1">#REF!</definedName>
    <definedName name="BO91D4059A18F54087B39F2A9357F5A8D4" hidden="1">#REF!</definedName>
    <definedName name="BO91D46658B48840F69C2D0BFFF49EEA98" localSheetId="7" hidden="1">#REF!</definedName>
    <definedName name="BO91D46658B48840F69C2D0BFFF49EEA98" hidden="1">#REF!</definedName>
    <definedName name="BO91DB17E534D847B6AC36C97275E35806" localSheetId="7" hidden="1">#REF!</definedName>
    <definedName name="BO91DB17E534D847B6AC36C97275E35806" hidden="1">#REF!</definedName>
    <definedName name="BO91ED5250200647F18B04C1B541078AF5" localSheetId="7" hidden="1">#REF!</definedName>
    <definedName name="BO91ED5250200647F18B04C1B541078AF5" hidden="1">#REF!</definedName>
    <definedName name="BO91EF2A905666434FA6C47C1B8F481E3A" localSheetId="7" hidden="1">#REF!</definedName>
    <definedName name="BO91EF2A905666434FA6C47C1B8F481E3A" hidden="1">#REF!</definedName>
    <definedName name="BO91F11C524A624DE583192E0FDB6134D7" localSheetId="7" hidden="1">#REF!</definedName>
    <definedName name="BO91F11C524A624DE583192E0FDB6134D7" hidden="1">#REF!</definedName>
    <definedName name="BO91FFD99FB4CE462FAF9C3EA36117E377" localSheetId="7" hidden="1">#REF!</definedName>
    <definedName name="BO91FFD99FB4CE462FAF9C3EA36117E377" hidden="1">#REF!</definedName>
    <definedName name="BO9207BC82AF6A418E8FD6BDC3F6E6BBE8" localSheetId="7" hidden="1">#REF!</definedName>
    <definedName name="BO9207BC82AF6A418E8FD6BDC3F6E6BBE8" hidden="1">#REF!</definedName>
    <definedName name="BO920F0853E4794910B4A7ED57DA6B5A0F" localSheetId="7" hidden="1">#REF!</definedName>
    <definedName name="BO920F0853E4794910B4A7ED57DA6B5A0F" hidden="1">#REF!</definedName>
    <definedName name="BO9210C066112E49BFBE4A393561F1532D" localSheetId="7" hidden="1">#REF!</definedName>
    <definedName name="BO9210C066112E49BFBE4A393561F1532D" hidden="1">#REF!</definedName>
    <definedName name="BO921C6C7F00EC4611ADA6713FA1607B9D" localSheetId="7" hidden="1">#REF!</definedName>
    <definedName name="BO921C6C7F00EC4611ADA6713FA1607B9D" hidden="1">#REF!</definedName>
    <definedName name="BO921F9BD427284567A2A201218BC4CD1A" localSheetId="7" hidden="1">#REF!</definedName>
    <definedName name="BO921F9BD427284567A2A201218BC4CD1A" hidden="1">#REF!</definedName>
    <definedName name="BO9226D32A72764B0CA9AD007E2FCFAAE3" localSheetId="7" hidden="1">#REF!</definedName>
    <definedName name="BO9226D32A72764B0CA9AD007E2FCFAAE3" hidden="1">#REF!</definedName>
    <definedName name="BO92454DCE74A4497FAB8BC9062F86F590" localSheetId="7" hidden="1">#REF!</definedName>
    <definedName name="BO92454DCE74A4497FAB8BC9062F86F590" hidden="1">#REF!</definedName>
    <definedName name="BO9251E5CEF30544E096C521FFAF759D11" localSheetId="7" hidden="1">#REF!</definedName>
    <definedName name="BO9251E5CEF30544E096C521FFAF759D11" hidden="1">#REF!</definedName>
    <definedName name="BO9261905ACB4647EE8C8ED52AFF39FF3B" localSheetId="7" hidden="1">#REF!</definedName>
    <definedName name="BO9261905ACB4647EE8C8ED52AFF39FF3B" hidden="1">#REF!</definedName>
    <definedName name="BO9263438A0AF5442D825F02885906ED17" localSheetId="7" hidden="1">#REF!</definedName>
    <definedName name="BO9263438A0AF5442D825F02885906ED17" hidden="1">#REF!</definedName>
    <definedName name="BO928E248C65134C2CBC2A2B8EB444E42D" localSheetId="7" hidden="1">#REF!</definedName>
    <definedName name="BO928E248C65134C2CBC2A2B8EB444E42D" hidden="1">#REF!</definedName>
    <definedName name="BO9290E5D429684D049665DB1B9834BC70" localSheetId="7" hidden="1">#REF!</definedName>
    <definedName name="BO9290E5D429684D049665DB1B9834BC70" hidden="1">#REF!</definedName>
    <definedName name="BO9293EB4E8DDB4A6685C5006EA4519309" localSheetId="7" hidden="1">#REF!</definedName>
    <definedName name="BO9293EB4E8DDB4A6685C5006EA4519309" hidden="1">#REF!</definedName>
    <definedName name="BO92AEF79974F041F8B4D6052412CD045C" localSheetId="7" hidden="1">#REF!</definedName>
    <definedName name="BO92AEF79974F041F8B4D6052412CD045C" hidden="1">#REF!</definedName>
    <definedName name="BO92AFFB924FD840EA892F4DE5116FCD0B" localSheetId="7" hidden="1">#REF!</definedName>
    <definedName name="BO92AFFB924FD840EA892F4DE5116FCD0B" hidden="1">#REF!</definedName>
    <definedName name="BO92B6AEED98814C968385AD869735EC20" localSheetId="7" hidden="1">#REF!</definedName>
    <definedName name="BO92B6AEED98814C968385AD869735EC20" hidden="1">#REF!</definedName>
    <definedName name="BO92C4AA2F37D6414193A627336A630263" localSheetId="7" hidden="1">#REF!</definedName>
    <definedName name="BO92C4AA2F37D6414193A627336A630263" hidden="1">#REF!</definedName>
    <definedName name="BO92D15963D07C454FABD02D080FE5A85E" localSheetId="7" hidden="1">#REF!</definedName>
    <definedName name="BO92D15963D07C454FABD02D080FE5A85E" hidden="1">#REF!</definedName>
    <definedName name="BO92E90149EE3649AC867BF87A02B18271" localSheetId="7" hidden="1">#REF!</definedName>
    <definedName name="BO92E90149EE3649AC867BF87A02B18271" hidden="1">#REF!</definedName>
    <definedName name="BO92EB8DF6DA074F09A274813652493831" localSheetId="7" hidden="1">#REF!</definedName>
    <definedName name="BO92EB8DF6DA074F09A274813652493831" hidden="1">#REF!</definedName>
    <definedName name="BO93200374858E411D97C64190FCE13F8B" localSheetId="7" hidden="1">#REF!</definedName>
    <definedName name="BO93200374858E411D97C64190FCE13F8B" hidden="1">#REF!</definedName>
    <definedName name="BO936341B6FAE2487F82B1D3F5D8F82474" localSheetId="7" hidden="1">#REF!</definedName>
    <definedName name="BO936341B6FAE2487F82B1D3F5D8F82474" hidden="1">#REF!</definedName>
    <definedName name="BO936A5E6D7BA143158970C6F0A4D96442" localSheetId="7" hidden="1">#REF!</definedName>
    <definedName name="BO936A5E6D7BA143158970C6F0A4D96442" hidden="1">#REF!</definedName>
    <definedName name="BO936FB3CBE5544A958D84B9D69348DFA7" localSheetId="7" hidden="1">#REF!</definedName>
    <definedName name="BO936FB3CBE5544A958D84B9D69348DFA7" hidden="1">#REF!</definedName>
    <definedName name="BO9373A6F963E14F9894D9622A5E8B719C" localSheetId="7" hidden="1">#REF!</definedName>
    <definedName name="BO9373A6F963E14F9894D9622A5E8B719C" hidden="1">#REF!</definedName>
    <definedName name="BO9383477BD555446D8CE1D212AD64A5C6" localSheetId="7" hidden="1">#REF!</definedName>
    <definedName name="BO9383477BD555446D8CE1D212AD64A5C6" hidden="1">#REF!</definedName>
    <definedName name="BO93868AD2337E46DC9745D5A0D9C914CE" localSheetId="7" hidden="1">#REF!</definedName>
    <definedName name="BO93868AD2337E46DC9745D5A0D9C914CE" hidden="1">#REF!</definedName>
    <definedName name="BO9396F037F6684E769C8F5E55C0DA3C77" localSheetId="7" hidden="1">#REF!</definedName>
    <definedName name="BO9396F037F6684E769C8F5E55C0DA3C77" hidden="1">#REF!</definedName>
    <definedName name="BO939838E76FCB4194B2161623A53F1B97" localSheetId="7" hidden="1">#REF!</definedName>
    <definedName name="BO939838E76FCB4194B2161623A53F1B97" hidden="1">#REF!</definedName>
    <definedName name="BO9398E1508000426187E6608629A4E248" localSheetId="7" hidden="1">#REF!</definedName>
    <definedName name="BO9398E1508000426187E6608629A4E248" hidden="1">#REF!</definedName>
    <definedName name="BO939F492D304F4D4EA1CDC26B08F5DA1D" localSheetId="7" hidden="1">#REF!</definedName>
    <definedName name="BO939F492D304F4D4EA1CDC26B08F5DA1D" hidden="1">#REF!</definedName>
    <definedName name="BO93A7EA1045DA4CB5B766BA356339EBFA" localSheetId="7" hidden="1">#REF!</definedName>
    <definedName name="BO93A7EA1045DA4CB5B766BA356339EBFA" hidden="1">#REF!</definedName>
    <definedName name="BO93B2ECD7494C4B54AF9EFF357BD24123" localSheetId="7" hidden="1">#REF!</definedName>
    <definedName name="BO93B2ECD7494C4B54AF9EFF357BD24123" hidden="1">#REF!</definedName>
    <definedName name="BO93BC30498B4141B882AEFB1A708A28A9" localSheetId="7" hidden="1">#REF!</definedName>
    <definedName name="BO93BC30498B4141B882AEFB1A708A28A9" hidden="1">#REF!</definedName>
    <definedName name="BO93BD303637CB4FF591BFF57A40EFCF05" localSheetId="7" hidden="1">#REF!</definedName>
    <definedName name="BO93BD303637CB4FF591BFF57A40EFCF05" hidden="1">#REF!</definedName>
    <definedName name="BO93D143839A444DE5B54FA628B1A49C48" localSheetId="7" hidden="1">#REF!</definedName>
    <definedName name="BO93D143839A444DE5B54FA628B1A49C48" hidden="1">#REF!</definedName>
    <definedName name="BO93E8002268FA46FBB06488E48A3DE961" localSheetId="7" hidden="1">#REF!</definedName>
    <definedName name="BO93E8002268FA46FBB06488E48A3DE961" hidden="1">#REF!</definedName>
    <definedName name="BO93EAC88DD8D244F0A4D8A3079F619FD5" localSheetId="7" hidden="1">#REF!</definedName>
    <definedName name="BO93EAC88DD8D244F0A4D8A3079F619FD5" hidden="1">#REF!</definedName>
    <definedName name="BO93F4A243484C41ED890DC4116010E99C" localSheetId="7" hidden="1">#REF!</definedName>
    <definedName name="BO93F4A243484C41ED890DC4116010E99C" hidden="1">#REF!</definedName>
    <definedName name="BO93F886AFF1CC4D94B4FE235A52106C7B" localSheetId="7" hidden="1">#REF!</definedName>
    <definedName name="BO93F886AFF1CC4D94B4FE235A52106C7B" hidden="1">#REF!</definedName>
    <definedName name="BO94015DD8711E438DB63D07BE89676A67" localSheetId="7" hidden="1">#REF!</definedName>
    <definedName name="BO94015DD8711E438DB63D07BE89676A67" hidden="1">#REF!</definedName>
    <definedName name="BO94024DE6C4C14CEBAE392CA0D1EDE743" localSheetId="7" hidden="1">#REF!</definedName>
    <definedName name="BO94024DE6C4C14CEBAE392CA0D1EDE743" hidden="1">#REF!</definedName>
    <definedName name="BO94239A6C15F64C8AB11C2AFED85ECDB6" localSheetId="7" hidden="1">#REF!</definedName>
    <definedName name="BO94239A6C15F64C8AB11C2AFED85ECDB6" hidden="1">#REF!</definedName>
    <definedName name="BO94525045895E43F7B0F79C89E7A7BD94" localSheetId="7" hidden="1">#REF!</definedName>
    <definedName name="BO94525045895E43F7B0F79C89E7A7BD94" hidden="1">#REF!</definedName>
    <definedName name="BO946D337FFC244D8EAE9654FE3520B859" localSheetId="7" hidden="1">#REF!</definedName>
    <definedName name="BO946D337FFC244D8EAE9654FE3520B859" hidden="1">#REF!</definedName>
    <definedName name="BO94710119B25B43B6A0D73FA733EFA86E" localSheetId="7" hidden="1">#REF!</definedName>
    <definedName name="BO94710119B25B43B6A0D73FA733EFA86E" hidden="1">#REF!</definedName>
    <definedName name="BO947CC6CF00E344ABB6640154AD95675E" localSheetId="7" hidden="1">#REF!</definedName>
    <definedName name="BO947CC6CF00E344ABB6640154AD95675E" hidden="1">#REF!</definedName>
    <definedName name="BO9482B7D70BBA4C0B873A73F60F33EA4C" localSheetId="7" hidden="1">#REF!</definedName>
    <definedName name="BO9482B7D70BBA4C0B873A73F60F33EA4C" hidden="1">#REF!</definedName>
    <definedName name="BO948849A3494D44B1BBFEF1303BF1D8F4" localSheetId="7" hidden="1">#REF!</definedName>
    <definedName name="BO948849A3494D44B1BBFEF1303BF1D8F4" hidden="1">#REF!</definedName>
    <definedName name="BO949B534D2B694B6BB28BE50D66576B60" localSheetId="7" hidden="1">#REF!</definedName>
    <definedName name="BO949B534D2B694B6BB28BE50D66576B60" hidden="1">#REF!</definedName>
    <definedName name="BO94B6086D37AE4D30A2E3117B50BF8A97" localSheetId="7" hidden="1">#REF!</definedName>
    <definedName name="BO94B6086D37AE4D30A2E3117B50BF8A97" hidden="1">#REF!</definedName>
    <definedName name="BO94BF38445CF64E1CB595FDAD7E600629" localSheetId="7" hidden="1">#REF!</definedName>
    <definedName name="BO94BF38445CF64E1CB595FDAD7E600629" hidden="1">#REF!</definedName>
    <definedName name="BO94DA11C44C764CE69500FD0B762417AD" localSheetId="7" hidden="1">#REF!</definedName>
    <definedName name="BO94DA11C44C764CE69500FD0B762417AD" hidden="1">#REF!</definedName>
    <definedName name="BO94EC8B6BB481498A84AC396FECB91445" localSheetId="7" hidden="1">#REF!</definedName>
    <definedName name="BO94EC8B6BB481498A84AC396FECB91445" hidden="1">#REF!</definedName>
    <definedName name="BO94EF9492576D41628CA2CA979D0D5032" localSheetId="7" hidden="1">#REF!</definedName>
    <definedName name="BO94EF9492576D41628CA2CA979D0D5032" hidden="1">#REF!</definedName>
    <definedName name="BO9508799E686347DA8FE5028AE890524A" localSheetId="7" hidden="1">#REF!</definedName>
    <definedName name="BO9508799E686347DA8FE5028AE890524A" hidden="1">#REF!</definedName>
    <definedName name="BO950A5C8F3E7145FB8C5BE11BF4CADF1E" localSheetId="7" hidden="1">#REF!</definedName>
    <definedName name="BO950A5C8F3E7145FB8C5BE11BF4CADF1E" hidden="1">#REF!</definedName>
    <definedName name="BO950CE1A674E64B24AFE76EB27C5DC152" localSheetId="7" hidden="1">#REF!</definedName>
    <definedName name="BO950CE1A674E64B24AFE76EB27C5DC152" hidden="1">#REF!</definedName>
    <definedName name="BO951173E6E0784C48B6E77B1E822F351D" localSheetId="7" hidden="1">#REF!</definedName>
    <definedName name="BO951173E6E0784C48B6E77B1E822F351D" hidden="1">#REF!</definedName>
    <definedName name="BO9525DADFBAB74B0B92794CDF94F7F135" localSheetId="7" hidden="1">#REF!</definedName>
    <definedName name="BO9525DADFBAB74B0B92794CDF94F7F135" hidden="1">#REF!</definedName>
    <definedName name="BO952CEB03A71046DD968E1586E34CC0AF" localSheetId="7" hidden="1">#REF!</definedName>
    <definedName name="BO952CEB03A71046DD968E1586E34CC0AF" hidden="1">#REF!</definedName>
    <definedName name="BO952F3EBC607942129D30F6D4F12D97A6" localSheetId="7" hidden="1">#REF!</definedName>
    <definedName name="BO952F3EBC607942129D30F6D4F12D97A6" hidden="1">#REF!</definedName>
    <definedName name="BO95355183C40B4DA8B280411D7FC34EBD" localSheetId="7" hidden="1">#REF!</definedName>
    <definedName name="BO95355183C40B4DA8B280411D7FC34EBD" hidden="1">#REF!</definedName>
    <definedName name="BO955100CCA0294B81B7821BE9529C4AF0" localSheetId="7" hidden="1">#REF!</definedName>
    <definedName name="BO955100CCA0294B81B7821BE9529C4AF0" hidden="1">#REF!</definedName>
    <definedName name="BO955FBE99AEA449889C8B169F3D4DF1DA" localSheetId="7" hidden="1">#REF!</definedName>
    <definedName name="BO955FBE99AEA449889C8B169F3D4DF1DA" hidden="1">#REF!</definedName>
    <definedName name="BO9568F35D1D1F4D7599FCDAEE866B3042" localSheetId="7" hidden="1">#REF!</definedName>
    <definedName name="BO9568F35D1D1F4D7599FCDAEE866B3042" hidden="1">#REF!</definedName>
    <definedName name="BO95732E1678E744DAB7E8DFB9E628E4D4" localSheetId="7" hidden="1">#REF!</definedName>
    <definedName name="BO95732E1678E744DAB7E8DFB9E628E4D4" hidden="1">#REF!</definedName>
    <definedName name="BO9575BE08CAAD422A914469ACCCF41BFC" localSheetId="7" hidden="1">#REF!</definedName>
    <definedName name="BO9575BE08CAAD422A914469ACCCF41BFC" hidden="1">#REF!</definedName>
    <definedName name="BO958BAE4CBEAA423CACEEAA3B94A08D3C" localSheetId="7" hidden="1">#REF!</definedName>
    <definedName name="BO958BAE4CBEAA423CACEEAA3B94A08D3C" hidden="1">#REF!</definedName>
    <definedName name="BO95A03F42DDDC4BF9BAF26A3A84DEA7D0" localSheetId="7" hidden="1">#REF!</definedName>
    <definedName name="BO95A03F42DDDC4BF9BAF26A3A84DEA7D0" hidden="1">#REF!</definedName>
    <definedName name="BO95B1F2E7C74247AAA1FB5BA5C4D949A0" localSheetId="7" hidden="1">#REF!</definedName>
    <definedName name="BO95B1F2E7C74247AAA1FB5BA5C4D949A0" hidden="1">#REF!</definedName>
    <definedName name="BO95B7EE2EBD1348908A818159AF2267C2" localSheetId="7" hidden="1">#REF!</definedName>
    <definedName name="BO95B7EE2EBD1348908A818159AF2267C2" hidden="1">#REF!</definedName>
    <definedName name="BO95CED1A05E5B4426AFDD77DFC7E47B00" localSheetId="7" hidden="1">#REF!</definedName>
    <definedName name="BO95CED1A05E5B4426AFDD77DFC7E47B00" hidden="1">#REF!</definedName>
    <definedName name="BO95D453ED9F994A60870DE88128D08C05" localSheetId="7" hidden="1">#REF!</definedName>
    <definedName name="BO95D453ED9F994A60870DE88128D08C05" hidden="1">#REF!</definedName>
    <definedName name="BO95E7A17D0F39472A82CCDB25CF72473C" localSheetId="7" hidden="1">#REF!</definedName>
    <definedName name="BO95E7A17D0F39472A82CCDB25CF72473C" hidden="1">#REF!</definedName>
    <definedName name="BO96040F0910924F83BD90903A290ECB1A" localSheetId="7" hidden="1">#REF!</definedName>
    <definedName name="BO96040F0910924F83BD90903A290ECB1A" hidden="1">#REF!</definedName>
    <definedName name="BO960FB654359F445CB3ED87F32C3C37FA" localSheetId="7" hidden="1">#REF!</definedName>
    <definedName name="BO960FB654359F445CB3ED87F32C3C37FA" hidden="1">#REF!</definedName>
    <definedName name="BO9614EDBEFB8542C38A539AE75350C19A" localSheetId="7" hidden="1">#REF!</definedName>
    <definedName name="BO9614EDBEFB8542C38A539AE75350C19A" hidden="1">#REF!</definedName>
    <definedName name="BO96322F749EFE429FB25F64ED3D23BACD" localSheetId="7" hidden="1">#REF!</definedName>
    <definedName name="BO96322F749EFE429FB25F64ED3D23BACD" hidden="1">#REF!</definedName>
    <definedName name="BO9643A435852F47AAA8CC10574978B247" localSheetId="7" hidden="1">#REF!</definedName>
    <definedName name="BO9643A435852F47AAA8CC10574978B247" hidden="1">#REF!</definedName>
    <definedName name="BO9649723FEBD34E86A022424B535D0983" localSheetId="7" hidden="1">#REF!</definedName>
    <definedName name="BO9649723FEBD34E86A022424B535D0983" hidden="1">#REF!</definedName>
    <definedName name="BO964E0AF2ADC443328C87AA9902E8B0A4" localSheetId="7" hidden="1">#REF!</definedName>
    <definedName name="BO964E0AF2ADC443328C87AA9902E8B0A4" hidden="1">#REF!</definedName>
    <definedName name="BO965AC15D968A4D9398C77110D0385BD5" localSheetId="7" hidden="1">#REF!</definedName>
    <definedName name="BO965AC15D968A4D9398C77110D0385BD5" hidden="1">#REF!</definedName>
    <definedName name="BO968AD72BE95841CC838AA0FB3A0FD5D4" localSheetId="7" hidden="1">#REF!</definedName>
    <definedName name="BO968AD72BE95841CC838AA0FB3A0FD5D4" hidden="1">#REF!</definedName>
    <definedName name="BO968D7DC7CC054A59AC795B11A9F27935" localSheetId="7" hidden="1">#REF!</definedName>
    <definedName name="BO968D7DC7CC054A59AC795B11A9F27935" hidden="1">#REF!</definedName>
    <definedName name="BO96996535E3644DD5803044FC11809F6A" localSheetId="7" hidden="1">#REF!</definedName>
    <definedName name="BO96996535E3644DD5803044FC11809F6A" hidden="1">#REF!</definedName>
    <definedName name="BO9699831FF8664A54B4E7E5B0059ABFBA" localSheetId="7" hidden="1">#REF!</definedName>
    <definedName name="BO9699831FF8664A54B4E7E5B0059ABFBA" hidden="1">#REF!</definedName>
    <definedName name="BO96A36C521C7F42A79C406DA2E80D4FBE" localSheetId="7" hidden="1">#REF!</definedName>
    <definedName name="BO96A36C521C7F42A79C406DA2E80D4FBE" hidden="1">#REF!</definedName>
    <definedName name="BO96A4C00E6901471280D92358FAFAD9B5" localSheetId="7" hidden="1">#REF!</definedName>
    <definedName name="BO96A4C00E6901471280D92358FAFAD9B5" hidden="1">#REF!</definedName>
    <definedName name="BO96C80DFA0BDB4224B57EED513415C617" localSheetId="7" hidden="1">#REF!</definedName>
    <definedName name="BO96C80DFA0BDB4224B57EED513415C617" hidden="1">#REF!</definedName>
    <definedName name="BO96CD88C4B189469C93297D6523365713" localSheetId="7" hidden="1">#REF!</definedName>
    <definedName name="BO96CD88C4B189469C93297D6523365713" hidden="1">#REF!</definedName>
    <definedName name="BO96E9FA403F25429CA96110EE35568724" localSheetId="7" hidden="1">#REF!</definedName>
    <definedName name="BO96E9FA403F25429CA96110EE35568724" hidden="1">#REF!</definedName>
    <definedName name="BO970931C943D74F5181CDCA59D5B98650" localSheetId="7" hidden="1">#REF!</definedName>
    <definedName name="BO970931C943D74F5181CDCA59D5B98650" hidden="1">#REF!</definedName>
    <definedName name="BO9719B4DC05F64245B2AF9CB5A374707C" localSheetId="7" hidden="1">#REF!</definedName>
    <definedName name="BO9719B4DC05F64245B2AF9CB5A374707C" hidden="1">#REF!</definedName>
    <definedName name="BO9725CB2966C34B2D84950C7BACDF4C35" localSheetId="7" hidden="1">#REF!</definedName>
    <definedName name="BO9725CB2966C34B2D84950C7BACDF4C35" hidden="1">#REF!</definedName>
    <definedName name="BO97425C67BDDE4BF28C967F95A7607002" localSheetId="7" hidden="1">#REF!</definedName>
    <definedName name="BO97425C67BDDE4BF28C967F95A7607002" hidden="1">#REF!</definedName>
    <definedName name="BO9757FE11EA2F4C5EA3BC3AACEF7D64B0" localSheetId="7" hidden="1">#REF!</definedName>
    <definedName name="BO9757FE11EA2F4C5EA3BC3AACEF7D64B0" hidden="1">#REF!</definedName>
    <definedName name="BO975D275AB5F64BDB8F154DE49BC11C01" localSheetId="7" hidden="1">#REF!</definedName>
    <definedName name="BO975D275AB5F64BDB8F154DE49BC11C01" hidden="1">#REF!</definedName>
    <definedName name="BO9770BFC3882048F685B4C9D28C853797" localSheetId="7" hidden="1">#REF!</definedName>
    <definedName name="BO9770BFC3882048F685B4C9D28C853797" hidden="1">#REF!</definedName>
    <definedName name="BO977B0200C68D47A29E78E917F5447D09" localSheetId="7" hidden="1">#REF!</definedName>
    <definedName name="BO977B0200C68D47A29E78E917F5447D09" hidden="1">#REF!</definedName>
    <definedName name="BO97830BE252BF46EB81E8750F37BBE12A" localSheetId="7" hidden="1">#REF!</definedName>
    <definedName name="BO97830BE252BF46EB81E8750F37BBE12A" hidden="1">#REF!</definedName>
    <definedName name="BO978693ED93D74DC7B5F6F15143E21FB6" localSheetId="7" hidden="1">#REF!</definedName>
    <definedName name="BO978693ED93D74DC7B5F6F15143E21FB6" hidden="1">#REF!</definedName>
    <definedName name="BO97948902681D4A04B0F4D790D5ADF20B" localSheetId="7" hidden="1">#REF!</definedName>
    <definedName name="BO97948902681D4A04B0F4D790D5ADF20B" hidden="1">#REF!</definedName>
    <definedName name="BO97A2BCEE8BDD4F58B8F3029EA4D494B6" localSheetId="7" hidden="1">#REF!</definedName>
    <definedName name="BO97A2BCEE8BDD4F58B8F3029EA4D494B6" hidden="1">#REF!</definedName>
    <definedName name="BO97C1F2FE76124ECDA21F7A104B715650" localSheetId="7" hidden="1">#REF!</definedName>
    <definedName name="BO97C1F2FE76124ECDA21F7A104B715650" hidden="1">#REF!</definedName>
    <definedName name="BO97C3C5A5C7C14437A723DFB0E98D38EB" localSheetId="7" hidden="1">#REF!</definedName>
    <definedName name="BO97C3C5A5C7C14437A723DFB0E98D38EB" hidden="1">#REF!</definedName>
    <definedName name="BO97DEBC5C6CEA4BA4A0208D87FF405407" localSheetId="7" hidden="1">#REF!</definedName>
    <definedName name="BO97DEBC5C6CEA4BA4A0208D87FF405407" hidden="1">#REF!</definedName>
    <definedName name="BO97E82F7D8BC1460B96B6F3C50B90ACBF" localSheetId="7" hidden="1">#REF!</definedName>
    <definedName name="BO97E82F7D8BC1460B96B6F3C50B90ACBF" hidden="1">#REF!</definedName>
    <definedName name="BO9814055DB1464EF69B5BCB234AEF6787" localSheetId="7" hidden="1">#REF!</definedName>
    <definedName name="BO9814055DB1464EF69B5BCB234AEF6787" hidden="1">#REF!</definedName>
    <definedName name="BO9818461E82E14D6F87BA46EFFD35F18B" localSheetId="7" hidden="1">#REF!</definedName>
    <definedName name="BO9818461E82E14D6F87BA46EFFD35F18B" hidden="1">#REF!</definedName>
    <definedName name="BO983121EC56404A898F575C0C26CBC03D" localSheetId="7" hidden="1">#REF!</definedName>
    <definedName name="BO983121EC56404A898F575C0C26CBC03D" hidden="1">#REF!</definedName>
    <definedName name="BO983D11F760DB43A6990E29BA0D02BAC7" localSheetId="7" hidden="1">#REF!</definedName>
    <definedName name="BO983D11F760DB43A6990E29BA0D02BAC7" hidden="1">#REF!</definedName>
    <definedName name="BO985B78C9C08449B3A52A88E07B66C878" localSheetId="7" hidden="1">#REF!</definedName>
    <definedName name="BO985B78C9C08449B3A52A88E07B66C878" hidden="1">#REF!</definedName>
    <definedName name="BO985DE78A2E6F466A885054AE64A7B55D" localSheetId="7" hidden="1">#REF!</definedName>
    <definedName name="BO985DE78A2E6F466A885054AE64A7B55D" hidden="1">#REF!</definedName>
    <definedName name="BO98665686442A47DA85C6CD068D1288C4" localSheetId="7" hidden="1">#REF!</definedName>
    <definedName name="BO98665686442A47DA85C6CD068D1288C4" hidden="1">#REF!</definedName>
    <definedName name="BO986DDE4D625D44449F966F28673B12C7" localSheetId="7" hidden="1">#REF!</definedName>
    <definedName name="BO986DDE4D625D44449F966F28673B12C7" hidden="1">#REF!</definedName>
    <definedName name="BO986FAE5E2DBC483FB64798648C39BE70" localSheetId="7" hidden="1">#REF!</definedName>
    <definedName name="BO986FAE5E2DBC483FB64798648C39BE70" hidden="1">#REF!</definedName>
    <definedName name="BO9874E2ED07334137842918AC3CE2251C" localSheetId="7" hidden="1">#REF!</definedName>
    <definedName name="BO9874E2ED07334137842918AC3CE2251C" hidden="1">#REF!</definedName>
    <definedName name="BO987FB317B4FB4FE3A5268F35C20B951D" localSheetId="7" hidden="1">#REF!</definedName>
    <definedName name="BO987FB317B4FB4FE3A5268F35C20B951D" hidden="1">#REF!</definedName>
    <definedName name="BO98C715CE691746A4870EB3FBB6A9B55B" localSheetId="7" hidden="1">#REF!</definedName>
    <definedName name="BO98C715CE691746A4870EB3FBB6A9B55B" hidden="1">#REF!</definedName>
    <definedName name="BO98D24FE0CEE54C91BE21FE3B5DAB1CBB" localSheetId="7" hidden="1">#REF!</definedName>
    <definedName name="BO98D24FE0CEE54C91BE21FE3B5DAB1CBB" hidden="1">#REF!</definedName>
    <definedName name="BO990D091986F3484A8972B8FC5F71F34E" localSheetId="7" hidden="1">#REF!</definedName>
    <definedName name="BO990D091986F3484A8972B8FC5F71F34E" hidden="1">#REF!</definedName>
    <definedName name="BO991D4476FBBF4715B6A3FA00848C4342" localSheetId="7" hidden="1">#REF!</definedName>
    <definedName name="BO991D4476FBBF4715B6A3FA00848C4342" hidden="1">#REF!</definedName>
    <definedName name="BO9932AB22BE6747949CB7A30C3F42B52F" localSheetId="7" hidden="1">#REF!</definedName>
    <definedName name="BO9932AB22BE6747949CB7A30C3F42B52F" hidden="1">#REF!</definedName>
    <definedName name="BO9948814F0E7E412AADD68895FDC5B57D" localSheetId="7" hidden="1">#REF!</definedName>
    <definedName name="BO9948814F0E7E412AADD68895FDC5B57D" hidden="1">#REF!</definedName>
    <definedName name="BO994AE7F7BBAA4E8BBDA7B17B0454EB32" localSheetId="7" hidden="1">#REF!</definedName>
    <definedName name="BO994AE7F7BBAA4E8BBDA7B17B0454EB32" hidden="1">#REF!</definedName>
    <definedName name="BO997A85954F794E05A8E6549EB84AE069" localSheetId="7" hidden="1">#REF!</definedName>
    <definedName name="BO997A85954F794E05A8E6549EB84AE069" hidden="1">#REF!</definedName>
    <definedName name="BO99831F9775064F77BA2078DC11028B8A" localSheetId="7" hidden="1">#REF!</definedName>
    <definedName name="BO99831F9775064F77BA2078DC11028B8A" hidden="1">#REF!</definedName>
    <definedName name="BO99B36EB9A28847F5B3C84E13232F4D89" localSheetId="7" hidden="1">#REF!</definedName>
    <definedName name="BO99B36EB9A28847F5B3C84E13232F4D89" hidden="1">#REF!</definedName>
    <definedName name="BO99BD041D17E343CC867DF4893E6E94C1" localSheetId="7" hidden="1">#REF!</definedName>
    <definedName name="BO99BD041D17E343CC867DF4893E6E94C1" hidden="1">#REF!</definedName>
    <definedName name="BO99F7AF30F1474D8A863BE58402A5DC82" localSheetId="7" hidden="1">#REF!</definedName>
    <definedName name="BO99F7AF30F1474D8A863BE58402A5DC82" hidden="1">#REF!</definedName>
    <definedName name="BO9A0A2A36181E455B90FCEA07550A7B91" localSheetId="7" hidden="1">#REF!</definedName>
    <definedName name="BO9A0A2A36181E455B90FCEA07550A7B91" hidden="1">#REF!</definedName>
    <definedName name="BO9A1623F55E9642AAA8680D9C782022B8" localSheetId="7" hidden="1">#REF!</definedName>
    <definedName name="BO9A1623F55E9642AAA8680D9C782022B8" hidden="1">#REF!</definedName>
    <definedName name="BO9A1A4E5BE68A4D00BD46A5BE98D1DBF9" localSheetId="7" hidden="1">#REF!</definedName>
    <definedName name="BO9A1A4E5BE68A4D00BD46A5BE98D1DBF9" hidden="1">#REF!</definedName>
    <definedName name="BO9A1D9EC00A154671A540F7F18EC540B6" localSheetId="7" hidden="1">#REF!</definedName>
    <definedName name="BO9A1D9EC00A154671A540F7F18EC540B6" hidden="1">#REF!</definedName>
    <definedName name="BO9A2D3610665C4DFE9A2E39B6E343CBE8" localSheetId="7" hidden="1">#REF!</definedName>
    <definedName name="BO9A2D3610665C4DFE9A2E39B6E343CBE8" hidden="1">#REF!</definedName>
    <definedName name="BO9A48B6A5FFBC46D69B8654B7781927C6" localSheetId="7" hidden="1">#REF!</definedName>
    <definedName name="BO9A48B6A5FFBC46D69B8654B7781927C6" hidden="1">#REF!</definedName>
    <definedName name="BO9A4C4182B98D405C9B13E6343A4A1E36" localSheetId="7" hidden="1">#REF!</definedName>
    <definedName name="BO9A4C4182B98D405C9B13E6343A4A1E36" hidden="1">#REF!</definedName>
    <definedName name="BO9A556CCA6EA04CC0BB140455A29ADE4C" localSheetId="7" hidden="1">#REF!</definedName>
    <definedName name="BO9A556CCA6EA04CC0BB140455A29ADE4C" hidden="1">#REF!</definedName>
    <definedName name="BO9A755DBEAF964482934A989304D5617A" localSheetId="7" hidden="1">#REF!</definedName>
    <definedName name="BO9A755DBEAF964482934A989304D5617A" hidden="1">#REF!</definedName>
    <definedName name="BO9A7ED511D2D94F2880AF915511B7E702" localSheetId="7" hidden="1">#REF!</definedName>
    <definedName name="BO9A7ED511D2D94F2880AF915511B7E702" hidden="1">#REF!</definedName>
    <definedName name="BO9ACE76683B624451994A7F64D7960B84" localSheetId="7" hidden="1">#REF!</definedName>
    <definedName name="BO9ACE76683B624451994A7F64D7960B84" hidden="1">#REF!</definedName>
    <definedName name="BO9ACED63A295645EC81B73E78AC4BE6DD" localSheetId="7" hidden="1">#REF!</definedName>
    <definedName name="BO9ACED63A295645EC81B73E78AC4BE6DD" hidden="1">#REF!</definedName>
    <definedName name="BO9AD530F0B6014CA8B1D3F7D02EBD62FF" localSheetId="7" hidden="1">#REF!</definedName>
    <definedName name="BO9AD530F0B6014CA8B1D3F7D02EBD62FF" hidden="1">#REF!</definedName>
    <definedName name="BO9ADFF1AD82BA42DFA598AC26E64DFBA9" localSheetId="7" hidden="1">#REF!</definedName>
    <definedName name="BO9ADFF1AD82BA42DFA598AC26E64DFBA9" hidden="1">#REF!</definedName>
    <definedName name="BO9AE3141C32B7475B8C3EDBDA86D9CF88" localSheetId="7" hidden="1">#REF!</definedName>
    <definedName name="BO9AE3141C32B7475B8C3EDBDA86D9CF88" hidden="1">#REF!</definedName>
    <definedName name="BO9AE377ECE1DC4F3D9588E595E45B3C55" localSheetId="7" hidden="1">#REF!</definedName>
    <definedName name="BO9AE377ECE1DC4F3D9588E595E45B3C55" hidden="1">#REF!</definedName>
    <definedName name="BO9AF67CAA614A4B5CB5D534CDF05E26D0" localSheetId="7" hidden="1">#REF!</definedName>
    <definedName name="BO9AF67CAA614A4B5CB5D534CDF05E26D0" hidden="1">#REF!</definedName>
    <definedName name="BO9B1200C82C7B4743B9AAC2653CA6DB44" localSheetId="7" hidden="1">#REF!</definedName>
    <definedName name="BO9B1200C82C7B4743B9AAC2653CA6DB44" hidden="1">#REF!</definedName>
    <definedName name="BO9B191C86575C4A8F996249F4D908F8D2" localSheetId="7" hidden="1">#REF!</definedName>
    <definedName name="BO9B191C86575C4A8F996249F4D908F8D2" hidden="1">#REF!</definedName>
    <definedName name="BO9B38DCB30C39496C9B2AEF115E20070F" localSheetId="7" hidden="1">#REF!</definedName>
    <definedName name="BO9B38DCB30C39496C9B2AEF115E20070F" hidden="1">#REF!</definedName>
    <definedName name="BO9B8847C351244E538DCCA0F5DB4D1351" localSheetId="7" hidden="1">#REF!</definedName>
    <definedName name="BO9B8847C351244E538DCCA0F5DB4D1351" hidden="1">#REF!</definedName>
    <definedName name="BO9BA1B37A06384080A47F59ECD616D363" localSheetId="7" hidden="1">#REF!</definedName>
    <definedName name="BO9BA1B37A06384080A47F59ECD616D363" hidden="1">#REF!</definedName>
    <definedName name="BO9BA763654FC544C198A01A0AEB4EAAFE" localSheetId="7" hidden="1">#REF!</definedName>
    <definedName name="BO9BA763654FC544C198A01A0AEB4EAAFE" hidden="1">#REF!</definedName>
    <definedName name="BO9BACE5BF130844E3A67E63B27699E3C4" localSheetId="7" hidden="1">#REF!</definedName>
    <definedName name="BO9BACE5BF130844E3A67E63B27699E3C4" hidden="1">#REF!</definedName>
    <definedName name="BO9BB5BE777219424E9E2E588F4645C138" localSheetId="7" hidden="1">#REF!</definedName>
    <definedName name="BO9BB5BE777219424E9E2E588F4645C138" hidden="1">#REF!</definedName>
    <definedName name="BO9BBE85D1FF994D0DAAD2094AAC60712D" localSheetId="7" hidden="1">#REF!</definedName>
    <definedName name="BO9BBE85D1FF994D0DAAD2094AAC60712D" hidden="1">#REF!</definedName>
    <definedName name="BO9BC77982A8464791A91E118FD74E6250" localSheetId="7" hidden="1">#REF!</definedName>
    <definedName name="BO9BC77982A8464791A91E118FD74E6250" hidden="1">#REF!</definedName>
    <definedName name="BO9BC8D30D89D7400CBCDE518635FE2750" localSheetId="7" hidden="1">#REF!</definedName>
    <definedName name="BO9BC8D30D89D7400CBCDE518635FE2750" hidden="1">#REF!</definedName>
    <definedName name="BO9BF7D4BD1DEB488C9658F2389407F1A7" localSheetId="7" hidden="1">#REF!</definedName>
    <definedName name="BO9BF7D4BD1DEB488C9658F2389407F1A7" hidden="1">#REF!</definedName>
    <definedName name="BO9C0C8A6A93BE46C69F8AB2FA4BFD6AD5" localSheetId="7" hidden="1">#REF!</definedName>
    <definedName name="BO9C0C8A6A93BE46C69F8AB2FA4BFD6AD5" hidden="1">#REF!</definedName>
    <definedName name="BO9C173ABE733049479C3197C1E2CC1921" localSheetId="7" hidden="1">#REF!</definedName>
    <definedName name="BO9C173ABE733049479C3197C1E2CC1921" hidden="1">#REF!</definedName>
    <definedName name="BO9C3050F1A88542308CE5444DB278613F" localSheetId="7" hidden="1">#REF!</definedName>
    <definedName name="BO9C3050F1A88542308CE5444DB278613F" hidden="1">#REF!</definedName>
    <definedName name="BO9C5211D85EB04A49AA1A714E47D0F098" localSheetId="7" hidden="1">#REF!</definedName>
    <definedName name="BO9C5211D85EB04A49AA1A714E47D0F098" hidden="1">#REF!</definedName>
    <definedName name="BO9C6B4E9BE870412987A9AFC27C374F98" localSheetId="7" hidden="1">#REF!</definedName>
    <definedName name="BO9C6B4E9BE870412987A9AFC27C374F98" hidden="1">#REF!</definedName>
    <definedName name="BO9C8EBF64713E4B0FAD72E87C019F9D1D" localSheetId="7" hidden="1">#REF!</definedName>
    <definedName name="BO9C8EBF64713E4B0FAD72E87C019F9D1D" hidden="1">#REF!</definedName>
    <definedName name="BO9C93809A17AA4D3AA2BA6FF7F887A538" localSheetId="7" hidden="1">#REF!</definedName>
    <definedName name="BO9C93809A17AA4D3AA2BA6FF7F887A538" hidden="1">#REF!</definedName>
    <definedName name="BO9C94639242DE487D8B8BC28FA0A36F0D" localSheetId="7" hidden="1">#REF!</definedName>
    <definedName name="BO9C94639242DE487D8B8BC28FA0A36F0D" hidden="1">#REF!</definedName>
    <definedName name="BO9CA0C3AC49E9403EABC97B83F4152F10" localSheetId="7" hidden="1">#REF!</definedName>
    <definedName name="BO9CA0C3AC49E9403EABC97B83F4152F10" hidden="1">#REF!</definedName>
    <definedName name="BO9CAC1CCD095E49C991A01E952CEE4F0A" localSheetId="7" hidden="1">#REF!</definedName>
    <definedName name="BO9CAC1CCD095E49C991A01E952CEE4F0A" hidden="1">#REF!</definedName>
    <definedName name="BO9CB1984B5EBD4D67B5A1C3156BEECDD4" localSheetId="7" hidden="1">#REF!</definedName>
    <definedName name="BO9CB1984B5EBD4D67B5A1C3156BEECDD4" hidden="1">#REF!</definedName>
    <definedName name="BO9CBC03C3F69249648B14B97B09356C8D" localSheetId="7" hidden="1">#REF!</definedName>
    <definedName name="BO9CBC03C3F69249648B14B97B09356C8D" hidden="1">#REF!</definedName>
    <definedName name="BO9CC11A819AFF4484A703EB7E1004E7D4" localSheetId="7" hidden="1">#REF!</definedName>
    <definedName name="BO9CC11A819AFF4484A703EB7E1004E7D4" hidden="1">#REF!</definedName>
    <definedName name="BO9CD44B8043DB4D13B484979565AE2E77" localSheetId="7" hidden="1">#REF!</definedName>
    <definedName name="BO9CD44B8043DB4D13B484979565AE2E77" hidden="1">#REF!</definedName>
    <definedName name="BO9CE444C549DE4896986014B242DA8C5B" localSheetId="7" hidden="1">#REF!</definedName>
    <definedName name="BO9CE444C549DE4896986014B242DA8C5B" hidden="1">#REF!</definedName>
    <definedName name="BO9CF89E6D64204B0B9630C1565BEB6A67" localSheetId="7" hidden="1">#REF!</definedName>
    <definedName name="BO9CF89E6D64204B0B9630C1565BEB6A67" hidden="1">#REF!</definedName>
    <definedName name="BO9D14245FE8AB46F3AD14F046FC828197" localSheetId="7" hidden="1">#REF!</definedName>
    <definedName name="BO9D14245FE8AB46F3AD14F046FC828197" hidden="1">#REF!</definedName>
    <definedName name="BO9D222B45B777401B89473F8BB36767F3" localSheetId="7" hidden="1">#REF!</definedName>
    <definedName name="BO9D222B45B777401B89473F8BB36767F3" hidden="1">#REF!</definedName>
    <definedName name="BO9D32236C577F4951AA1E113FC8255F51" localSheetId="7" hidden="1">#REF!</definedName>
    <definedName name="BO9D32236C577F4951AA1E113FC8255F51" hidden="1">#REF!</definedName>
    <definedName name="BO9D4BEB7B86754ABF9E7FBFFAABEB8436" localSheetId="7" hidden="1">#REF!</definedName>
    <definedName name="BO9D4BEB7B86754ABF9E7FBFFAABEB8436" hidden="1">#REF!</definedName>
    <definedName name="BO9D5005D9224F4F0F9DCA655F4C06D951" localSheetId="7" hidden="1">#REF!</definedName>
    <definedName name="BO9D5005D9224F4F0F9DCA655F4C06D951" hidden="1">#REF!</definedName>
    <definedName name="BO9D6082F7B8A54AFE8F6EDA7889E91EED" localSheetId="7" hidden="1">#REF!</definedName>
    <definedName name="BO9D6082F7B8A54AFE8F6EDA7889E91EED" hidden="1">#REF!</definedName>
    <definedName name="BO9D647E76A2834E03941513CF9335F96C" localSheetId="7" hidden="1">#REF!</definedName>
    <definedName name="BO9D647E76A2834E03941513CF9335F96C" hidden="1">#REF!</definedName>
    <definedName name="BO9D6DB22813A04E61BAF7CA36E10E9D57" localSheetId="7" hidden="1">#REF!</definedName>
    <definedName name="BO9D6DB22813A04E61BAF7CA36E10E9D57" hidden="1">#REF!</definedName>
    <definedName name="BO9D710DE40C5947DFA5099484A398446B" localSheetId="7" hidden="1">#REF!</definedName>
    <definedName name="BO9D710DE40C5947DFA5099484A398446B" hidden="1">#REF!</definedName>
    <definedName name="BO9D78CA7425D6425587975DE87D62D574" localSheetId="7" hidden="1">#REF!</definedName>
    <definedName name="BO9D78CA7425D6425587975DE87D62D574" hidden="1">#REF!</definedName>
    <definedName name="BO9D790DC6364D4D1F9A5A4FC4E3949A3E" localSheetId="7" hidden="1">#REF!</definedName>
    <definedName name="BO9D790DC6364D4D1F9A5A4FC4E3949A3E" hidden="1">#REF!</definedName>
    <definedName name="BO9D9682F1CCC94D10A75D6A31AA19AE61" localSheetId="7" hidden="1">#REF!</definedName>
    <definedName name="BO9D9682F1CCC94D10A75D6A31AA19AE61" hidden="1">#REF!</definedName>
    <definedName name="BO9DA85FD3A1194E26B315A9ECFA08ED3E" localSheetId="7" hidden="1">#REF!</definedName>
    <definedName name="BO9DA85FD3A1194E26B315A9ECFA08ED3E" hidden="1">#REF!</definedName>
    <definedName name="BO9DC45F2D9CF7406E99AD354F1E6085CD" localSheetId="7" hidden="1">#REF!</definedName>
    <definedName name="BO9DC45F2D9CF7406E99AD354F1E6085CD" hidden="1">#REF!</definedName>
    <definedName name="BO9DCAC5D94F274E598CA26DBD8C73EA46" localSheetId="7" hidden="1">#REF!</definedName>
    <definedName name="BO9DCAC5D94F274E598CA26DBD8C73EA46" hidden="1">#REF!</definedName>
    <definedName name="BO9DECEE3B889D4A0A86DEFE8DFB8FF614" localSheetId="7" hidden="1">#REF!</definedName>
    <definedName name="BO9DECEE3B889D4A0A86DEFE8DFB8FF614" hidden="1">#REF!</definedName>
    <definedName name="BO9E104E53ED774C189FDA86B91E4B3788" localSheetId="7" hidden="1">#REF!</definedName>
    <definedName name="BO9E104E53ED774C189FDA86B91E4B3788" hidden="1">#REF!</definedName>
    <definedName name="BO9E11EA73E1BA4310AE26DA09614754B7" localSheetId="7" hidden="1">#REF!</definedName>
    <definedName name="BO9E11EA73E1BA4310AE26DA09614754B7" hidden="1">#REF!</definedName>
    <definedName name="BO9E1A93BAB5DC4DE8AD0358D556AFED08" localSheetId="7" hidden="1">#REF!</definedName>
    <definedName name="BO9E1A93BAB5DC4DE8AD0358D556AFED08" hidden="1">#REF!</definedName>
    <definedName name="BO9E314D372DFC4956AAB0C52B34478CC2" localSheetId="7" hidden="1">#REF!</definedName>
    <definedName name="BO9E314D372DFC4956AAB0C52B34478CC2" hidden="1">#REF!</definedName>
    <definedName name="BO9E4A676A16984D7EA199C85AEA48C29A" localSheetId="7" hidden="1">#REF!</definedName>
    <definedName name="BO9E4A676A16984D7EA199C85AEA48C29A" hidden="1">#REF!</definedName>
    <definedName name="BO9E4F1A250B3A4B8D9831A130CBCA7409" localSheetId="7" hidden="1">#REF!</definedName>
    <definedName name="BO9E4F1A250B3A4B8D9831A130CBCA7409" hidden="1">#REF!</definedName>
    <definedName name="BO9E50DDF3B1AC43FD8A81D735012F74E2" localSheetId="7" hidden="1">#REF!</definedName>
    <definedName name="BO9E50DDF3B1AC43FD8A81D735012F74E2" hidden="1">#REF!</definedName>
    <definedName name="BO9E6329CC0B5C4F2A8A7FB77620CD98CE" localSheetId="7" hidden="1">#REF!</definedName>
    <definedName name="BO9E6329CC0B5C4F2A8A7FB77620CD98CE" hidden="1">#REF!</definedName>
    <definedName name="BO9E71A017096F44149FF48FF8B02BAB72" localSheetId="7" hidden="1">#REF!</definedName>
    <definedName name="BO9E71A017096F44149FF48FF8B02BAB72" hidden="1">#REF!</definedName>
    <definedName name="BO9E74BEDE96A64F91BAE0805FA6DAE673" localSheetId="7" hidden="1">#REF!</definedName>
    <definedName name="BO9E74BEDE96A64F91BAE0805FA6DAE673" hidden="1">#REF!</definedName>
    <definedName name="BO9E8D2038A6704AF8B6DACAB75A7D49E6" localSheetId="7" hidden="1">#REF!</definedName>
    <definedName name="BO9E8D2038A6704AF8B6DACAB75A7D49E6" hidden="1">#REF!</definedName>
    <definedName name="BO9EA73456DA6442BEBE4BBD09E3420171" localSheetId="7" hidden="1">#REF!</definedName>
    <definedName name="BO9EA73456DA6442BEBE4BBD09E3420171" hidden="1">#REF!</definedName>
    <definedName name="BO9EBA28421AA44FB48BAA29BB58823123" localSheetId="7" hidden="1">#REF!</definedName>
    <definedName name="BO9EBA28421AA44FB48BAA29BB58823123" hidden="1">#REF!</definedName>
    <definedName name="BO9EC7AF89CC7447F6B4243821436FF254" localSheetId="7" hidden="1">#REF!</definedName>
    <definedName name="BO9EC7AF89CC7447F6B4243821436FF254" hidden="1">#REF!</definedName>
    <definedName name="BO9EE7D000735B4B48964C400531654459" localSheetId="7" hidden="1">#REF!</definedName>
    <definedName name="BO9EE7D000735B4B48964C400531654459" hidden="1">#REF!</definedName>
    <definedName name="BO9EEC956F741B40D0B8A30F69EBE3C908" localSheetId="7" hidden="1">#REF!</definedName>
    <definedName name="BO9EEC956F741B40D0B8A30F69EBE3C908" hidden="1">#REF!</definedName>
    <definedName name="BO9EEE1D584F0D4ADCAD8A26E7717482B3" localSheetId="7" hidden="1">#REF!</definedName>
    <definedName name="BO9EEE1D584F0D4ADCAD8A26E7717482B3" hidden="1">#REF!</definedName>
    <definedName name="BO9F134F8A93BD4D05A3EFD8F51A684D10" localSheetId="7" hidden="1">#REF!</definedName>
    <definedName name="BO9F134F8A93BD4D05A3EFD8F51A684D10" hidden="1">#REF!</definedName>
    <definedName name="BO9F2C6B2B1AAC4DD88E6E624B3CA92FD6" localSheetId="7" hidden="1">#REF!</definedName>
    <definedName name="BO9F2C6B2B1AAC4DD88E6E624B3CA92FD6" hidden="1">#REF!</definedName>
    <definedName name="BO9F49AD64B1B64C0F8BDB969AF2248B9D" localSheetId="7" hidden="1">#REF!</definedName>
    <definedName name="BO9F49AD64B1B64C0F8BDB969AF2248B9D" hidden="1">#REF!</definedName>
    <definedName name="BO9F5755B86A9340528D11258E1AC5E34E" localSheetId="7" hidden="1">#REF!</definedName>
    <definedName name="BO9F5755B86A9340528D11258E1AC5E34E" hidden="1">#REF!</definedName>
    <definedName name="BO9F650301ADFF4A93A6B7809DFCE7BFEF" localSheetId="7" hidden="1">#REF!</definedName>
    <definedName name="BO9F650301ADFF4A93A6B7809DFCE7BFEF" hidden="1">#REF!</definedName>
    <definedName name="BO9F6D56B87DD14A8B94E5A9600FDE76C8" localSheetId="7" hidden="1">#REF!</definedName>
    <definedName name="BO9F6D56B87DD14A8B94E5A9600FDE76C8" hidden="1">#REF!</definedName>
    <definedName name="BO9F6E6D8EE35146C19ECC88F08D3C728A" localSheetId="7" hidden="1">#REF!</definedName>
    <definedName name="BO9F6E6D8EE35146C19ECC88F08D3C728A" hidden="1">#REF!</definedName>
    <definedName name="BO9F9007B889E14D94AD192F9A5A74260A" localSheetId="7" hidden="1">#REF!</definedName>
    <definedName name="BO9F9007B889E14D94AD192F9A5A74260A" hidden="1">#REF!</definedName>
    <definedName name="BO9F98D14FAE774E53821ED194EF9CC5F9" localSheetId="7" hidden="1">#REF!</definedName>
    <definedName name="BO9F98D14FAE774E53821ED194EF9CC5F9" hidden="1">#REF!</definedName>
    <definedName name="BO9FD51DE102E34EAE8D9EA7EB8E751DC9" localSheetId="7" hidden="1">#REF!</definedName>
    <definedName name="BO9FD51DE102E34EAE8D9EA7EB8E751DC9" hidden="1">#REF!</definedName>
    <definedName name="BO9FE602C9BC104698819404BF76E3EFC1" localSheetId="7" hidden="1">#REF!</definedName>
    <definedName name="BO9FE602C9BC104698819404BF76E3EFC1" hidden="1">#REF!</definedName>
    <definedName name="BOA006E9D9DB0C4BB8B5D9A9CFEC046A4E" localSheetId="7" hidden="1">#REF!</definedName>
    <definedName name="BOA006E9D9DB0C4BB8B5D9A9CFEC046A4E" hidden="1">#REF!</definedName>
    <definedName name="BOA03B98DDBA79433084DB83C0B81F7820" localSheetId="7" hidden="1">#REF!</definedName>
    <definedName name="BOA03B98DDBA79433084DB83C0B81F7820" hidden="1">#REF!</definedName>
    <definedName name="BOA06C447617C64ED989C255FEE6F5AF1D" localSheetId="7" hidden="1">#REF!</definedName>
    <definedName name="BOA06C447617C64ED989C255FEE6F5AF1D" hidden="1">#REF!</definedName>
    <definedName name="BOA074860CC86243B5A77067E20A9EF8D6" localSheetId="7" hidden="1">#REF!</definedName>
    <definedName name="BOA074860CC86243B5A77067E20A9EF8D6" hidden="1">#REF!</definedName>
    <definedName name="BOA085AC43D4384B14962C1D3CD1EE4A0B" localSheetId="7" hidden="1">#REF!</definedName>
    <definedName name="BOA085AC43D4384B14962C1D3CD1EE4A0B" hidden="1">#REF!</definedName>
    <definedName name="BOA08B3A8E4E4544E9AC8531886ECE3418" localSheetId="7" hidden="1">#REF!</definedName>
    <definedName name="BOA08B3A8E4E4544E9AC8531886ECE3418" hidden="1">#REF!</definedName>
    <definedName name="BOA0A0287B6C7A4ECE90E01575C2AADF6F" localSheetId="7" hidden="1">#REF!</definedName>
    <definedName name="BOA0A0287B6C7A4ECE90E01575C2AADF6F" hidden="1">#REF!</definedName>
    <definedName name="BOA0A164C2E48A4874980DC987DB253083" localSheetId="7" hidden="1">#REF!</definedName>
    <definedName name="BOA0A164C2E48A4874980DC987DB253083" hidden="1">#REF!</definedName>
    <definedName name="BOA0EAB0926C294F8C93567A32942C7BDB" localSheetId="7" hidden="1">#REF!</definedName>
    <definedName name="BOA0EAB0926C294F8C93567A32942C7BDB" hidden="1">#REF!</definedName>
    <definedName name="BOA11445F1B8294AB9A3FCC8033FB610E0" localSheetId="7" hidden="1">#REF!</definedName>
    <definedName name="BOA11445F1B8294AB9A3FCC8033FB610E0" hidden="1">#REF!</definedName>
    <definedName name="BOA1433AF298BD467EA47E48BEA731026A" localSheetId="7" hidden="1">#REF!</definedName>
    <definedName name="BOA1433AF298BD467EA47E48BEA731026A" hidden="1">#REF!</definedName>
    <definedName name="BOA17DFB6358A443259E11777311CC2717" localSheetId="7" hidden="1">#REF!</definedName>
    <definedName name="BOA17DFB6358A443259E11777311CC2717" hidden="1">#REF!</definedName>
    <definedName name="BOA1868C09D083471D80CA0990BFD77D72" localSheetId="7" hidden="1">#REF!</definedName>
    <definedName name="BOA1868C09D083471D80CA0990BFD77D72" hidden="1">#REF!</definedName>
    <definedName name="BOA1884B500F43481FBD4E9CC98564A0F6" localSheetId="7" hidden="1">#REF!</definedName>
    <definedName name="BOA1884B500F43481FBD4E9CC98564A0F6" hidden="1">#REF!</definedName>
    <definedName name="BOA1B2733D24C64DD0B539D6D85B493BE2" localSheetId="7" hidden="1">#REF!</definedName>
    <definedName name="BOA1B2733D24C64DD0B539D6D85B493BE2" hidden="1">#REF!</definedName>
    <definedName name="BOA1B2822BD4DA4324ABADFCBC14C6CBD0" localSheetId="7" hidden="1">#REF!</definedName>
    <definedName name="BOA1B2822BD4DA4324ABADFCBC14C6CBD0" hidden="1">#REF!</definedName>
    <definedName name="BOA1B41EB8F18F4C778EEB90B070F08969" localSheetId="7" hidden="1">#REF!</definedName>
    <definedName name="BOA1B41EB8F18F4C778EEB90B070F08969" hidden="1">#REF!</definedName>
    <definedName name="BOA1BB848304604FE49C796C87601F6D61" localSheetId="7" hidden="1">#REF!</definedName>
    <definedName name="BOA1BB848304604FE49C796C87601F6D61" hidden="1">#REF!</definedName>
    <definedName name="BOA2000660195844AF86D019089E062FF0" localSheetId="7" hidden="1">#REF!</definedName>
    <definedName name="BOA2000660195844AF86D019089E062FF0" hidden="1">#REF!</definedName>
    <definedName name="BOA226B6EE243C4B38A16F3EEEFBD802CE" localSheetId="7" hidden="1">#REF!</definedName>
    <definedName name="BOA226B6EE243C4B38A16F3EEEFBD802CE" hidden="1">#REF!</definedName>
    <definedName name="BOA228EF1446504AA1AE51F2A4D71DBEC0" localSheetId="7" hidden="1">#REF!</definedName>
    <definedName name="BOA228EF1446504AA1AE51F2A4D71DBEC0" hidden="1">#REF!</definedName>
    <definedName name="BOA23A68F67D0C4BB78A27C7997904D61E" localSheetId="7" hidden="1">#REF!</definedName>
    <definedName name="BOA23A68F67D0C4BB78A27C7997904D61E" hidden="1">#REF!</definedName>
    <definedName name="BOA24A88FE88814856927A454426055107" localSheetId="7" hidden="1">#REF!</definedName>
    <definedName name="BOA24A88FE88814856927A454426055107" hidden="1">#REF!</definedName>
    <definedName name="BOA2604BF0A12044AB8DCCF1864E8F9CB7" localSheetId="7" hidden="1">#REF!</definedName>
    <definedName name="BOA2604BF0A12044AB8DCCF1864E8F9CB7" hidden="1">#REF!</definedName>
    <definedName name="BOA2B173BBE88949928DAE7811CD41FE27" localSheetId="7" hidden="1">#REF!</definedName>
    <definedName name="BOA2B173BBE88949928DAE7811CD41FE27" hidden="1">#REF!</definedName>
    <definedName name="BOA2CA985779994B8C85A7494B15341D61" localSheetId="7" hidden="1">#REF!</definedName>
    <definedName name="BOA2CA985779994B8C85A7494B15341D61" hidden="1">#REF!</definedName>
    <definedName name="BOA2DBD2B38FED43EB927E43BA16B3B14B" localSheetId="7" hidden="1">#REF!</definedName>
    <definedName name="BOA2DBD2B38FED43EB927E43BA16B3B14B" hidden="1">#REF!</definedName>
    <definedName name="BOA2DD34A5F0544872B2D48D386560B7A1" localSheetId="7" hidden="1">#REF!</definedName>
    <definedName name="BOA2DD34A5F0544872B2D48D386560B7A1" hidden="1">#REF!</definedName>
    <definedName name="BOA2EC1DE9A4EC4CC1A5415A514A7FBDDE" localSheetId="7" hidden="1">#REF!</definedName>
    <definedName name="BOA2EC1DE9A4EC4CC1A5415A514A7FBDDE" hidden="1">#REF!</definedName>
    <definedName name="BOA2F8E0EDB3064B7FA99D82B4714D10FE" localSheetId="7" hidden="1">#REF!</definedName>
    <definedName name="BOA2F8E0EDB3064B7FA99D82B4714D10FE" hidden="1">#REF!</definedName>
    <definedName name="BOA3033D87CC524404876063CFC5D610C8" localSheetId="7" hidden="1">#REF!</definedName>
    <definedName name="BOA3033D87CC524404876063CFC5D610C8" hidden="1">#REF!</definedName>
    <definedName name="BOA36CCAE719CD41A7A6C1F915B814F6FA" localSheetId="7" hidden="1">#REF!</definedName>
    <definedName name="BOA36CCAE719CD41A7A6C1F915B814F6FA" hidden="1">#REF!</definedName>
    <definedName name="BOA36DAB787F0140E1981C2207043F6F45" localSheetId="7" hidden="1">#REF!</definedName>
    <definedName name="BOA36DAB787F0140E1981C2207043F6F45" hidden="1">#REF!</definedName>
    <definedName name="BOA36F792EC1BB4B7CBCA1F18CFA6EF648" localSheetId="7" hidden="1">#REF!</definedName>
    <definedName name="BOA36F792EC1BB4B7CBCA1F18CFA6EF648" hidden="1">#REF!</definedName>
    <definedName name="BOA37F1568C7F84C8CBA81357FBE8896C7" localSheetId="7" hidden="1">#REF!</definedName>
    <definedName name="BOA37F1568C7F84C8CBA81357FBE8896C7" hidden="1">#REF!</definedName>
    <definedName name="BOA380C1C5308548AAB9EC93B681B94147" localSheetId="7" hidden="1">#REF!</definedName>
    <definedName name="BOA380C1C5308548AAB9EC93B681B94147" hidden="1">#REF!</definedName>
    <definedName name="BOA39AEFC29BF74DD09E6D41DD3239029C" localSheetId="7" hidden="1">#REF!</definedName>
    <definedName name="BOA39AEFC29BF74DD09E6D41DD3239029C" hidden="1">#REF!</definedName>
    <definedName name="BOA3A4E6564A514ADCB42CDCAD9F956184" localSheetId="7" hidden="1">#REF!</definedName>
    <definedName name="BOA3A4E6564A514ADCB42CDCAD9F956184" hidden="1">#REF!</definedName>
    <definedName name="BOA3C0CA24FE41448284F9AC7DE2CE93CE" localSheetId="7" hidden="1">#REF!</definedName>
    <definedName name="BOA3C0CA24FE41448284F9AC7DE2CE93CE" hidden="1">#REF!</definedName>
    <definedName name="BOA3D6D463E5B94B3992DAA808409A9E0D" localSheetId="7" hidden="1">#REF!</definedName>
    <definedName name="BOA3D6D463E5B94B3992DAA808409A9E0D" hidden="1">#REF!</definedName>
    <definedName name="BOA3D885FAC5A34DEA9CA3D1B83104DF59" localSheetId="7" hidden="1">#REF!</definedName>
    <definedName name="BOA3D885FAC5A34DEA9CA3D1B83104DF59" hidden="1">#REF!</definedName>
    <definedName name="BOA3E51FA602834E1AA300971A75324479" localSheetId="7" hidden="1">#REF!</definedName>
    <definedName name="BOA3E51FA602834E1AA300971A75324479" hidden="1">#REF!</definedName>
    <definedName name="BOA3F119E565A6491D8BD986B86F324DAC" localSheetId="7" hidden="1">#REF!</definedName>
    <definedName name="BOA3F119E565A6491D8BD986B86F324DAC" hidden="1">#REF!</definedName>
    <definedName name="BOA404C89F41FB405F8FB11384C0EFB0A4" localSheetId="7" hidden="1">#REF!</definedName>
    <definedName name="BOA404C89F41FB405F8FB11384C0EFB0A4" hidden="1">#REF!</definedName>
    <definedName name="BOA41166CE4FC7477A884BDF2599872B7F" localSheetId="7" hidden="1">#REF!</definedName>
    <definedName name="BOA41166CE4FC7477A884BDF2599872B7F" hidden="1">#REF!</definedName>
    <definedName name="BOA43301D89ED247529B523D1CACBE9D30" localSheetId="7" hidden="1">#REF!</definedName>
    <definedName name="BOA43301D89ED247529B523D1CACBE9D30" hidden="1">#REF!</definedName>
    <definedName name="BOA43A67764D1B45429202D4BA3134E5A6" localSheetId="7" hidden="1">#REF!</definedName>
    <definedName name="BOA43A67764D1B45429202D4BA3134E5A6" hidden="1">#REF!</definedName>
    <definedName name="BOA4542ECEB53440C08F32203033582F82" localSheetId="7" hidden="1">#REF!</definedName>
    <definedName name="BOA4542ECEB53440C08F32203033582F82" hidden="1">#REF!</definedName>
    <definedName name="BOA45466C99DB64F0891D7B74E62A313E2" localSheetId="7" hidden="1">#REF!</definedName>
    <definedName name="BOA45466C99DB64F0891D7B74E62A313E2" hidden="1">#REF!</definedName>
    <definedName name="BOA458A670585E471681BD14A1542F234C" localSheetId="7" hidden="1">#REF!</definedName>
    <definedName name="BOA458A670585E471681BD14A1542F234C" hidden="1">#REF!</definedName>
    <definedName name="BOA46D783615E6489B948B6FEF2906BBDE" localSheetId="7" hidden="1">#REF!</definedName>
    <definedName name="BOA46D783615E6489B948B6FEF2906BBDE" hidden="1">#REF!</definedName>
    <definedName name="BOA46E384FE09A436CAE9CD272D6AF9C83" localSheetId="7" hidden="1">#REF!</definedName>
    <definedName name="BOA46E384FE09A436CAE9CD272D6AF9C83" hidden="1">#REF!</definedName>
    <definedName name="BOA47B8751207747A889953A1B7CA29E26" localSheetId="7" hidden="1">#REF!</definedName>
    <definedName name="BOA47B8751207747A889953A1B7CA29E26" hidden="1">#REF!</definedName>
    <definedName name="BOA4801207BB9047718A940BF4134235DE" localSheetId="7" hidden="1">#REF!</definedName>
    <definedName name="BOA4801207BB9047718A940BF4134235DE" hidden="1">#REF!</definedName>
    <definedName name="BOA480B39EA24E474F86C6B3499E3AB4DD" localSheetId="7" hidden="1">#REF!</definedName>
    <definedName name="BOA480B39EA24E474F86C6B3499E3AB4DD" hidden="1">#REF!</definedName>
    <definedName name="BOA4848424DDA0421F8D506E69671A46C5" localSheetId="7" hidden="1">#REF!</definedName>
    <definedName name="BOA4848424DDA0421F8D506E69671A46C5" hidden="1">#REF!</definedName>
    <definedName name="BOA485A468082D488BAE3BAF46D394BF01" localSheetId="7" hidden="1">#REF!</definedName>
    <definedName name="BOA485A468082D488BAE3BAF46D394BF01" hidden="1">#REF!</definedName>
    <definedName name="BOA492C7251B5E44339AE22A0FB0C4FCDA" localSheetId="7" hidden="1">#REF!</definedName>
    <definedName name="BOA492C7251B5E44339AE22A0FB0C4FCDA" hidden="1">#REF!</definedName>
    <definedName name="BOA49DAFE2873F46E78ACE5078E7020F2B" localSheetId="7" hidden="1">#REF!</definedName>
    <definedName name="BOA49DAFE2873F46E78ACE5078E7020F2B" hidden="1">#REF!</definedName>
    <definedName name="BOA4A00F3BFBE148A8B074CC2AB5D0F6C7" localSheetId="7" hidden="1">#REF!</definedName>
    <definedName name="BOA4A00F3BFBE148A8B074CC2AB5D0F6C7" hidden="1">#REF!</definedName>
    <definedName name="BOA4A326D7C05C47BF95EB3363489B1E61" localSheetId="7" hidden="1">#REF!</definedName>
    <definedName name="BOA4A326D7C05C47BF95EB3363489B1E61" hidden="1">#REF!</definedName>
    <definedName name="BOA4E512C2C44A4F8FADF8A152285CF821" localSheetId="7" hidden="1">#REF!</definedName>
    <definedName name="BOA4E512C2C44A4F8FADF8A152285CF821" hidden="1">#REF!</definedName>
    <definedName name="BOA4F4F58B8A0A45C48DEBF87CEAE6FDA6" localSheetId="7" hidden="1">#REF!</definedName>
    <definedName name="BOA4F4F58B8A0A45C48DEBF87CEAE6FDA6" hidden="1">#REF!</definedName>
    <definedName name="BOA4FE7F3864D74FC69ABAED9393339BDF" localSheetId="7" hidden="1">#REF!</definedName>
    <definedName name="BOA4FE7F3864D74FC69ABAED9393339BDF" hidden="1">#REF!</definedName>
    <definedName name="BOA4FFC5BA156A42629F100F3C100BB50F" localSheetId="7" hidden="1">#REF!</definedName>
    <definedName name="BOA4FFC5BA156A42629F100F3C100BB50F" hidden="1">#REF!</definedName>
    <definedName name="BOA5102CCEB2FA4722885E801FF8DA1C82" localSheetId="7" hidden="1">#REF!</definedName>
    <definedName name="BOA5102CCEB2FA4722885E801FF8DA1C82" hidden="1">#REF!</definedName>
    <definedName name="BOA5120C4F98974E70A38007DD908DAB4B" localSheetId="7" hidden="1">#REF!</definedName>
    <definedName name="BOA5120C4F98974E70A38007DD908DAB4B" hidden="1">#REF!</definedName>
    <definedName name="BOA523B7A982B845AC9F0A6BC06D9A68DA" localSheetId="7" hidden="1">#REF!</definedName>
    <definedName name="BOA523B7A982B845AC9F0A6BC06D9A68DA" hidden="1">#REF!</definedName>
    <definedName name="BOA5295DF8E5C54CF28C570CAF38874BA7" localSheetId="7" hidden="1">#REF!</definedName>
    <definedName name="BOA5295DF8E5C54CF28C570CAF38874BA7" hidden="1">#REF!</definedName>
    <definedName name="BOA5542148C7514F60903054D5CACB429D" localSheetId="7" hidden="1">#REF!</definedName>
    <definedName name="BOA5542148C7514F60903054D5CACB429D" hidden="1">#REF!</definedName>
    <definedName name="BOA559D58A83F54829A12222FEF0044E7A" localSheetId="7" hidden="1">#REF!</definedName>
    <definedName name="BOA559D58A83F54829A12222FEF0044E7A" hidden="1">#REF!</definedName>
    <definedName name="BOA55DA714FDCA4FA18A4EEC671E0D725D" localSheetId="7" hidden="1">#REF!</definedName>
    <definedName name="BOA55DA714FDCA4FA18A4EEC671E0D725D" hidden="1">#REF!</definedName>
    <definedName name="BOA587768F607E4770AA0BB5473E951DDA" localSheetId="7" hidden="1">#REF!</definedName>
    <definedName name="BOA587768F607E4770AA0BB5473E951DDA" hidden="1">#REF!</definedName>
    <definedName name="BOA5985065715846C9B18B273448EEC415" localSheetId="7" hidden="1">#REF!</definedName>
    <definedName name="BOA5985065715846C9B18B273448EEC415" hidden="1">#REF!</definedName>
    <definedName name="BOA5AB75D51CA346D194C954A68A760002" localSheetId="7" hidden="1">#REF!</definedName>
    <definedName name="BOA5AB75D51CA346D194C954A68A760002" hidden="1">#REF!</definedName>
    <definedName name="BOA5C553AE2AD04CF08BBCFEED39DA179C" localSheetId="7" hidden="1">#REF!</definedName>
    <definedName name="BOA5C553AE2AD04CF08BBCFEED39DA179C" hidden="1">#REF!</definedName>
    <definedName name="BOA5CC45398BCD4C34AEA4088E803F8486" localSheetId="7" hidden="1">#REF!</definedName>
    <definedName name="BOA5CC45398BCD4C34AEA4088E803F8486" hidden="1">#REF!</definedName>
    <definedName name="BOA5D2E455D4A74A92A584EC7C472E7C7D" localSheetId="7" hidden="1">#REF!</definedName>
    <definedName name="BOA5D2E455D4A74A92A584EC7C472E7C7D" hidden="1">#REF!</definedName>
    <definedName name="BOA60F5828539C472EA296C6401C4B5EED" localSheetId="7" hidden="1">#REF!</definedName>
    <definedName name="BOA60F5828539C472EA296C6401C4B5EED" hidden="1">#REF!</definedName>
    <definedName name="BOA610678E7F8A4192B479053FE7281ACF" localSheetId="7" hidden="1">#REF!</definedName>
    <definedName name="BOA610678E7F8A4192B479053FE7281ACF" hidden="1">#REF!</definedName>
    <definedName name="BOA62CD9923DD1463A89AF93AFB5DB7EF5" localSheetId="7" hidden="1">#REF!</definedName>
    <definedName name="BOA62CD9923DD1463A89AF93AFB5DB7EF5" hidden="1">#REF!</definedName>
    <definedName name="BOA62F714ED1C7460CB3327FCD9E3942EF" localSheetId="7" hidden="1">#REF!</definedName>
    <definedName name="BOA62F714ED1C7460CB3327FCD9E3942EF" hidden="1">#REF!</definedName>
    <definedName name="BOA63294F1C4FA464B8222449D74AA2905" localSheetId="7" hidden="1">#REF!</definedName>
    <definedName name="BOA63294F1C4FA464B8222449D74AA2905" hidden="1">#REF!</definedName>
    <definedName name="BOA651DAC6372840E2A3AE350394430415" localSheetId="7" hidden="1">#REF!</definedName>
    <definedName name="BOA651DAC6372840E2A3AE350394430415" hidden="1">#REF!</definedName>
    <definedName name="BOA653C5B07CC04214A76D75CB3AD63C8E" localSheetId="7" hidden="1">#REF!</definedName>
    <definedName name="BOA653C5B07CC04214A76D75CB3AD63C8E" hidden="1">#REF!</definedName>
    <definedName name="BOA6659157D1C04C1BACAC2D92893F36D5" localSheetId="7" hidden="1">#REF!</definedName>
    <definedName name="BOA6659157D1C04C1BACAC2D92893F36D5" hidden="1">#REF!</definedName>
    <definedName name="BOA6746F44E5344665BF428C01A032CA4A" localSheetId="7" hidden="1">#REF!</definedName>
    <definedName name="BOA6746F44E5344665BF428C01A032CA4A" hidden="1">#REF!</definedName>
    <definedName name="BOA689A7553EF343DF8E0D2F03ACAE93E2" localSheetId="7" hidden="1">#REF!</definedName>
    <definedName name="BOA689A7553EF343DF8E0D2F03ACAE93E2" hidden="1">#REF!</definedName>
    <definedName name="BOA6A8418748C049CBA0074904DD8340BC" localSheetId="7" hidden="1">#REF!</definedName>
    <definedName name="BOA6A8418748C049CBA0074904DD8340BC" hidden="1">#REF!</definedName>
    <definedName name="BOA6C7BA6EECCA47E99B62FE9BE6CBFBDC" localSheetId="7" hidden="1">#REF!</definedName>
    <definedName name="BOA6C7BA6EECCA47E99B62FE9BE6CBFBDC" hidden="1">#REF!</definedName>
    <definedName name="BOA6D39F2E84984BBCAA7D22C0DB4492EE" localSheetId="7" hidden="1">#REF!</definedName>
    <definedName name="BOA6D39F2E84984BBCAA7D22C0DB4492EE" hidden="1">#REF!</definedName>
    <definedName name="BOA6EC01E2C16A4FDCB956ADCFF8C58E59" localSheetId="7" hidden="1">#REF!</definedName>
    <definedName name="BOA6EC01E2C16A4FDCB956ADCFF8C58E59" hidden="1">#REF!</definedName>
    <definedName name="BOA6F7478D146F48CFB527F8AB00E4175B" localSheetId="7" hidden="1">#REF!</definedName>
    <definedName name="BOA6F7478D146F48CFB527F8AB00E4175B" hidden="1">#REF!</definedName>
    <definedName name="BOA6FBA907FB89485EB70FC4CA480A37F9" localSheetId="7" hidden="1">#REF!</definedName>
    <definedName name="BOA6FBA907FB89485EB70FC4CA480A37F9" hidden="1">#REF!</definedName>
    <definedName name="BOA71751484B92470D84E9B7E3354A7431" localSheetId="7" hidden="1">#REF!</definedName>
    <definedName name="BOA71751484B92470D84E9B7E3354A7431" hidden="1">#REF!</definedName>
    <definedName name="BOA72F3FD055394231A657D180C1D0D83D" localSheetId="7" hidden="1">#REF!</definedName>
    <definedName name="BOA72F3FD055394231A657D180C1D0D83D" hidden="1">#REF!</definedName>
    <definedName name="BOA743A6571F4348439AE4B30499B91DB5" localSheetId="7" hidden="1">#REF!</definedName>
    <definedName name="BOA743A6571F4348439AE4B30499B91DB5" hidden="1">#REF!</definedName>
    <definedName name="BOA7720CCB9B3F449CB473AE2989E0D7A8" localSheetId="7" hidden="1">#REF!</definedName>
    <definedName name="BOA7720CCB9B3F449CB473AE2989E0D7A8" hidden="1">#REF!</definedName>
    <definedName name="BOA77A53504FE44F508BB387D3BFE65162" localSheetId="7" hidden="1">#REF!</definedName>
    <definedName name="BOA77A53504FE44F508BB387D3BFE65162" hidden="1">#REF!</definedName>
    <definedName name="BOA77B2FCD17944CA9BE1BB38B3150A9D0" localSheetId="7" hidden="1">#REF!</definedName>
    <definedName name="BOA77B2FCD17944CA9BE1BB38B3150A9D0" hidden="1">#REF!</definedName>
    <definedName name="BOA77E58DE654744C78C12BA89B4333B5B" localSheetId="7" hidden="1">#REF!</definedName>
    <definedName name="BOA77E58DE654744C78C12BA89B4333B5B" hidden="1">#REF!</definedName>
    <definedName name="BOA7876688F95E467C9123763560FCA332" localSheetId="7" hidden="1">#REF!</definedName>
    <definedName name="BOA7876688F95E467C9123763560FCA332" hidden="1">#REF!</definedName>
    <definedName name="BOA79E0520918D47CBB8D85C028E4EF845" localSheetId="7" hidden="1">#REF!</definedName>
    <definedName name="BOA79E0520918D47CBB8D85C028E4EF845" hidden="1">#REF!</definedName>
    <definedName name="BOA7A2F72FB9B04188B49E73DF4AEA5E7E" localSheetId="7" hidden="1">#REF!</definedName>
    <definedName name="BOA7A2F72FB9B04188B49E73DF4AEA5E7E" hidden="1">#REF!</definedName>
    <definedName name="BOA7B034BC765342D69B8F2E4AD566C756" localSheetId="7" hidden="1">#REF!</definedName>
    <definedName name="BOA7B034BC765342D69B8F2E4AD566C756" hidden="1">#REF!</definedName>
    <definedName name="BOA7B71C8E9C104E89900594CCD8D526BC" localSheetId="7" hidden="1">#REF!</definedName>
    <definedName name="BOA7B71C8E9C104E89900594CCD8D526BC" hidden="1">#REF!</definedName>
    <definedName name="BOA7B795D031AD4FD8BEAD91843F1659A0" localSheetId="7" hidden="1">#REF!</definedName>
    <definedName name="BOA7B795D031AD4FD8BEAD91843F1659A0" hidden="1">#REF!</definedName>
    <definedName name="BOA7C65D5BC2D94A46A8FE7254D0E51261" localSheetId="7" hidden="1">#REF!</definedName>
    <definedName name="BOA7C65D5BC2D94A46A8FE7254D0E51261" hidden="1">#REF!</definedName>
    <definedName name="BOA7CCB66A9D1144A598E8F40F27D27BFB" localSheetId="7" hidden="1">#REF!</definedName>
    <definedName name="BOA7CCB66A9D1144A598E8F40F27D27BFB" hidden="1">#REF!</definedName>
    <definedName name="BOA7D4858D54B24F319741C9A864A205F4" localSheetId="7" hidden="1">#REF!</definedName>
    <definedName name="BOA7D4858D54B24F319741C9A864A205F4" hidden="1">#REF!</definedName>
    <definedName name="BOA7D6E6EE2F814F41A5C8BDD64C5F0953" localSheetId="7" hidden="1">#REF!</definedName>
    <definedName name="BOA7D6E6EE2F814F41A5C8BDD64C5F0953" hidden="1">#REF!</definedName>
    <definedName name="BOA7E7AB9E15394F99B51BAA34F0DF4612" localSheetId="7" hidden="1">#REF!</definedName>
    <definedName name="BOA7E7AB9E15394F99B51BAA34F0DF4612" hidden="1">#REF!</definedName>
    <definedName name="BOA7F88AD53A4A4FC6B9798138414BB837" localSheetId="7" hidden="1">#REF!</definedName>
    <definedName name="BOA7F88AD53A4A4FC6B9798138414BB837" hidden="1">#REF!</definedName>
    <definedName name="BOA821A717118D47C6AEC648361C806642" localSheetId="7" hidden="1">#REF!</definedName>
    <definedName name="BOA821A717118D47C6AEC648361C806642" hidden="1">#REF!</definedName>
    <definedName name="BOA83A8F5D3AE44EF3A2397FF4AACA214F" localSheetId="7" hidden="1">#REF!</definedName>
    <definedName name="BOA83A8F5D3AE44EF3A2397FF4AACA214F" hidden="1">#REF!</definedName>
    <definedName name="BOA843C15FF71F4C29A866613D1606BC58" localSheetId="7" hidden="1">#REF!</definedName>
    <definedName name="BOA843C15FF71F4C29A866613D1606BC58" hidden="1">#REF!</definedName>
    <definedName name="BOA84590B11AFD44679F9C6AEB2A85D6E5" localSheetId="7" hidden="1">#REF!</definedName>
    <definedName name="BOA84590B11AFD44679F9C6AEB2A85D6E5" hidden="1">#REF!</definedName>
    <definedName name="BOA85C7CE2201D40FD838B00A202F12293" localSheetId="7" hidden="1">#REF!</definedName>
    <definedName name="BOA85C7CE2201D40FD838B00A202F12293" hidden="1">#REF!</definedName>
    <definedName name="BOA8796E451F564BA0877C407E6A4612A1" localSheetId="7" hidden="1">#REF!</definedName>
    <definedName name="BOA8796E451F564BA0877C407E6A4612A1" hidden="1">#REF!</definedName>
    <definedName name="BOA8A8EB08391C4BA8834C696758589A86" localSheetId="7" hidden="1">#REF!</definedName>
    <definedName name="BOA8A8EB08391C4BA8834C696758589A86" hidden="1">#REF!</definedName>
    <definedName name="BOA8CB440348394D5994CAC75E15CA74BB" localSheetId="7" hidden="1">#REF!</definedName>
    <definedName name="BOA8CB440348394D5994CAC75E15CA74BB" hidden="1">#REF!</definedName>
    <definedName name="BOA8D2A7B76C8F4694BE35FDA5A504EC84" localSheetId="7" hidden="1">#REF!</definedName>
    <definedName name="BOA8D2A7B76C8F4694BE35FDA5A504EC84" hidden="1">#REF!</definedName>
    <definedName name="BOA8E87DBC89B24798A19FAA907143CD65" localSheetId="7" hidden="1">#REF!</definedName>
    <definedName name="BOA8E87DBC89B24798A19FAA907143CD65" hidden="1">#REF!</definedName>
    <definedName name="BOA8F76C33E47842C9840E782B1C90FFAF" localSheetId="7" hidden="1">#REF!</definedName>
    <definedName name="BOA8F76C33E47842C9840E782B1C90FFAF" hidden="1">#REF!</definedName>
    <definedName name="BOA91CAF5F30B54234ABE6FF4565D29AA1" localSheetId="7" hidden="1">#REF!</definedName>
    <definedName name="BOA91CAF5F30B54234ABE6FF4565D29AA1" hidden="1">#REF!</definedName>
    <definedName name="BOA91F44F7BCA040CD8F67C9F58EC18804" localSheetId="7" hidden="1">#REF!</definedName>
    <definedName name="BOA91F44F7BCA040CD8F67C9F58EC18804" hidden="1">#REF!</definedName>
    <definedName name="BOA922F0DF87D84B4696BF364B1D968750" localSheetId="7" hidden="1">#REF!</definedName>
    <definedName name="BOA922F0DF87D84B4696BF364B1D968750" hidden="1">#REF!</definedName>
    <definedName name="BOA92E4C097CA34E93AFE67C54C1A2521C" localSheetId="7" hidden="1">#REF!</definedName>
    <definedName name="BOA92E4C097CA34E93AFE67C54C1A2521C" hidden="1">#REF!</definedName>
    <definedName name="BOA934F299D7B1430795DEB5D2D47B99D3" localSheetId="7" hidden="1">#REF!</definedName>
    <definedName name="BOA934F299D7B1430795DEB5D2D47B99D3" hidden="1">#REF!</definedName>
    <definedName name="BOA9378F1AD61A40018E4613B8FC54FDF3" localSheetId="7" hidden="1">#REF!</definedName>
    <definedName name="BOA9378F1AD61A40018E4613B8FC54FDF3" hidden="1">#REF!</definedName>
    <definedName name="BOA93EC4819EE3463B88579BD3B3310765" localSheetId="7" hidden="1">#REF!</definedName>
    <definedName name="BOA93EC4819EE3463B88579BD3B3310765" hidden="1">#REF!</definedName>
    <definedName name="BOA9433A22062342E4A2E9BC88C4011C82" localSheetId="7" hidden="1">#REF!</definedName>
    <definedName name="BOA9433A22062342E4A2E9BC88C4011C82" hidden="1">#REF!</definedName>
    <definedName name="BOA9506AF2D2AA40CCB76E0954D9536BCF" localSheetId="7" hidden="1">#REF!</definedName>
    <definedName name="BOA9506AF2D2AA40CCB76E0954D9536BCF" hidden="1">#REF!</definedName>
    <definedName name="BOA95550FB8C8F48B2AE51F70CA5A9D6ED" localSheetId="7" hidden="1">#REF!</definedName>
    <definedName name="BOA95550FB8C8F48B2AE51F70CA5A9D6ED" hidden="1">#REF!</definedName>
    <definedName name="BOA96CDD3643A84A01B8436A18C6B577D4" localSheetId="7" hidden="1">#REF!</definedName>
    <definedName name="BOA96CDD3643A84A01B8436A18C6B577D4" hidden="1">#REF!</definedName>
    <definedName name="BOA9A945234FF644A7AC952478324454FD" localSheetId="7" hidden="1">#REF!</definedName>
    <definedName name="BOA9A945234FF644A7AC952478324454FD" hidden="1">#REF!</definedName>
    <definedName name="BOA9AB63195FB14F9BB562B2CEF3A869F7" localSheetId="7" hidden="1">#REF!</definedName>
    <definedName name="BOA9AB63195FB14F9BB562B2CEF3A869F7" hidden="1">#REF!</definedName>
    <definedName name="BOA9B6C094DF97443A9E772E221342F0C2" localSheetId="7" hidden="1">#REF!</definedName>
    <definedName name="BOA9B6C094DF97443A9E772E221342F0C2" hidden="1">#REF!</definedName>
    <definedName name="BOA9BB674C45084124AD549482B3EDA9B0" localSheetId="7" hidden="1">#REF!</definedName>
    <definedName name="BOA9BB674C45084124AD549482B3EDA9B0" hidden="1">#REF!</definedName>
    <definedName name="BOA9C3A91F82EB48B28FFE65EE2F7E1E7F" localSheetId="7" hidden="1">#REF!</definedName>
    <definedName name="BOA9C3A91F82EB48B28FFE65EE2F7E1E7F" hidden="1">#REF!</definedName>
    <definedName name="BOA9CF024C1B0D4D87B6B5FA677093C1B0" localSheetId="7" hidden="1">#REF!</definedName>
    <definedName name="BOA9CF024C1B0D4D87B6B5FA677093C1B0" hidden="1">#REF!</definedName>
    <definedName name="BOA9D9F447FDAF4916B2E91FA906BC0E9F" localSheetId="7" hidden="1">#REF!</definedName>
    <definedName name="BOA9D9F447FDAF4916B2E91FA906BC0E9F" hidden="1">#REF!</definedName>
    <definedName name="BOA9DD53AA94A24266BE7ADC26E922D751" localSheetId="7" hidden="1">#REF!</definedName>
    <definedName name="BOA9DD53AA94A24266BE7ADC26E922D751" hidden="1">#REF!</definedName>
    <definedName name="BOA9F26496FA4A4B4C903E0E134F16E9A5" localSheetId="7" hidden="1">#REF!</definedName>
    <definedName name="BOA9F26496FA4A4B4C903E0E134F16E9A5" hidden="1">#REF!</definedName>
    <definedName name="BOAA02A0FA381B46E7BA4883723570390A" localSheetId="7" hidden="1">#REF!</definedName>
    <definedName name="BOAA02A0FA381B46E7BA4883723570390A" hidden="1">#REF!</definedName>
    <definedName name="BOAA0A2E5F2ED246D787CFB537B9BA70E7" localSheetId="7" hidden="1">#REF!</definedName>
    <definedName name="BOAA0A2E5F2ED246D787CFB537B9BA70E7" hidden="1">#REF!</definedName>
    <definedName name="BOAA27EA96D7C14B06BBBCEA24C74BBD1A" localSheetId="7" hidden="1">#REF!</definedName>
    <definedName name="BOAA27EA96D7C14B06BBBCEA24C74BBD1A" hidden="1">#REF!</definedName>
    <definedName name="BOAA3DDFFACC904DAC8BD91D97A9F7FF72" localSheetId="7" hidden="1">#REF!</definedName>
    <definedName name="BOAA3DDFFACC904DAC8BD91D97A9F7FF72" hidden="1">#REF!</definedName>
    <definedName name="BOAA66D4F0BFCC4BF98BCABE5708E6F845" localSheetId="7" hidden="1">#REF!</definedName>
    <definedName name="BOAA66D4F0BFCC4BF98BCABE5708E6F845" hidden="1">#REF!</definedName>
    <definedName name="BOAA9AF49D960842C2B38D67AB7335D4B6" localSheetId="7" hidden="1">#REF!</definedName>
    <definedName name="BOAA9AF49D960842C2B38D67AB7335D4B6" hidden="1">#REF!</definedName>
    <definedName name="BOAA9BD788DA01414B83A29A67FDCE787F" localSheetId="7" hidden="1">#REF!</definedName>
    <definedName name="BOAA9BD788DA01414B83A29A67FDCE787F" hidden="1">#REF!</definedName>
    <definedName name="BOAAA935A68556489C87D36878BBD5A158" localSheetId="7" hidden="1">#REF!</definedName>
    <definedName name="BOAAA935A68556489C87D36878BBD5A158" hidden="1">#REF!</definedName>
    <definedName name="BOAAB6C4121F5343F2BA0745F0EB1662C0" localSheetId="7" hidden="1">#REF!</definedName>
    <definedName name="BOAAB6C4121F5343F2BA0745F0EB1662C0" hidden="1">#REF!</definedName>
    <definedName name="BOAAB93B9AE6954227AB0BBA5D8664B659" localSheetId="7" hidden="1">#REF!</definedName>
    <definedName name="BOAAB93B9AE6954227AB0BBA5D8664B659" hidden="1">#REF!</definedName>
    <definedName name="BOAAF4E2B31F6F4CD5844F8A2EE91D2D86" localSheetId="7" hidden="1">#REF!</definedName>
    <definedName name="BOAAF4E2B31F6F4CD5844F8A2EE91D2D86" hidden="1">#REF!</definedName>
    <definedName name="BOAB09CF0340264656AA23EAE86668A290" localSheetId="7" hidden="1">#REF!</definedName>
    <definedName name="BOAB09CF0340264656AA23EAE86668A290" hidden="1">#REF!</definedName>
    <definedName name="BOAB0B295A599C43B1960DB90E16936829" localSheetId="7" hidden="1">#REF!</definedName>
    <definedName name="BOAB0B295A599C43B1960DB90E16936829" hidden="1">#REF!</definedName>
    <definedName name="BOAB1E7DA1B8484320AB5B127ED5A0EC6D" localSheetId="7" hidden="1">#REF!</definedName>
    <definedName name="BOAB1E7DA1B8484320AB5B127ED5A0EC6D" hidden="1">#REF!</definedName>
    <definedName name="BOAB345E2B0CD848559974E33ED811872E" localSheetId="7" hidden="1">#REF!</definedName>
    <definedName name="BOAB345E2B0CD848559974E33ED811872E" hidden="1">#REF!</definedName>
    <definedName name="BOAB619897AFB04920AC170C73C26C8D85" localSheetId="7" hidden="1">#REF!</definedName>
    <definedName name="BOAB619897AFB04920AC170C73C26C8D85" hidden="1">#REF!</definedName>
    <definedName name="BOAB84703303C84F9DBA0235D3AE777C74" localSheetId="7" hidden="1">#REF!</definedName>
    <definedName name="BOAB84703303C84F9DBA0235D3AE777C74" hidden="1">#REF!</definedName>
    <definedName name="BOAB8D6C3CFA024D4C8574E51DCF0620E7" localSheetId="7" hidden="1">#REF!</definedName>
    <definedName name="BOAB8D6C3CFA024D4C8574E51DCF0620E7" hidden="1">#REF!</definedName>
    <definedName name="BOAB8EBC5337D34B51B598A36F541E577D" localSheetId="7" hidden="1">#REF!</definedName>
    <definedName name="BOAB8EBC5337D34B51B598A36F541E577D" hidden="1">#REF!</definedName>
    <definedName name="BOABB290E0B358487FA9B44918A2CB63A3" localSheetId="7" hidden="1">#REF!</definedName>
    <definedName name="BOABB290E0B358487FA9B44918A2CB63A3" hidden="1">#REF!</definedName>
    <definedName name="BOABC05B49208B46618D2A193C26FA740F" localSheetId="7" hidden="1">#REF!</definedName>
    <definedName name="BOABC05B49208B46618D2A193C26FA740F" hidden="1">#REF!</definedName>
    <definedName name="BOABD9B76ADB86488F849BDDB9A5ECA9AF" localSheetId="7" hidden="1">#REF!</definedName>
    <definedName name="BOABD9B76ADB86488F849BDDB9A5ECA9AF" hidden="1">#REF!</definedName>
    <definedName name="BOAC26C45554B9460194BD0A8E5118F2F7" localSheetId="7" hidden="1">#REF!</definedName>
    <definedName name="BOAC26C45554B9460194BD0A8E5118F2F7" hidden="1">#REF!</definedName>
    <definedName name="BOAC58C0DBC996422E8BBEBED5E8E0BE68" localSheetId="7" hidden="1">#REF!</definedName>
    <definedName name="BOAC58C0DBC996422E8BBEBED5E8E0BE68" hidden="1">#REF!</definedName>
    <definedName name="BOAC72FCD8B6C84D249D19591BAC5347B1" localSheetId="7" hidden="1">#REF!</definedName>
    <definedName name="BOAC72FCD8B6C84D249D19591BAC5347B1" hidden="1">#REF!</definedName>
    <definedName name="BOAC79438849EF4A8EA21468DD492FE203" localSheetId="7" hidden="1">#REF!</definedName>
    <definedName name="BOAC79438849EF4A8EA21468DD492FE203" hidden="1">#REF!</definedName>
    <definedName name="BOAC86347A293E4A4786361B8CB1D9C694" localSheetId="7" hidden="1">#REF!</definedName>
    <definedName name="BOAC86347A293E4A4786361B8CB1D9C694" hidden="1">#REF!</definedName>
    <definedName name="BOAC9EDDBEE1CC42A481A07E775A1B89CD" localSheetId="7" hidden="1">#REF!</definedName>
    <definedName name="BOAC9EDDBEE1CC42A481A07E775A1B89CD" hidden="1">#REF!</definedName>
    <definedName name="BOACA739F7240A4F5C84E4BE5E319FAF9E" localSheetId="7" hidden="1">#REF!</definedName>
    <definedName name="BOACA739F7240A4F5C84E4BE5E319FAF9E" hidden="1">#REF!</definedName>
    <definedName name="BOACB74478102041BBB00264E287F933FE" localSheetId="7" hidden="1">#REF!</definedName>
    <definedName name="BOACB74478102041BBB00264E287F933FE" hidden="1">#REF!</definedName>
    <definedName name="BOACCB45269361495DAB1016E7491B2253" localSheetId="7" hidden="1">#REF!</definedName>
    <definedName name="BOACCB45269361495DAB1016E7491B2253" hidden="1">#REF!</definedName>
    <definedName name="BOACCF3395A0EC46CF9DA8EA804BA034E9" localSheetId="7" hidden="1">#REF!</definedName>
    <definedName name="BOACCF3395A0EC46CF9DA8EA804BA034E9" hidden="1">#REF!</definedName>
    <definedName name="BOACD75499DAA34F92B719394AC9EE3885" localSheetId="7" hidden="1">#REF!</definedName>
    <definedName name="BOACD75499DAA34F92B719394AC9EE3885" hidden="1">#REF!</definedName>
    <definedName name="BOACEDE234A5334064B029A69F1F18C56A" localSheetId="7" hidden="1">#REF!</definedName>
    <definedName name="BOACEDE234A5334064B029A69F1F18C56A" hidden="1">#REF!</definedName>
    <definedName name="BOACFC127129AD40D4A222A96907BA58F9" localSheetId="7" hidden="1">#REF!</definedName>
    <definedName name="BOACFC127129AD40D4A222A96907BA58F9" hidden="1">#REF!</definedName>
    <definedName name="BOAD0A2413470245BBA7FEA8A8BC037F38" localSheetId="7" hidden="1">#REF!</definedName>
    <definedName name="BOAD0A2413470245BBA7FEA8A8BC037F38" hidden="1">#REF!</definedName>
    <definedName name="BOAD0F7620884B40B6991BD538425A7D2C" localSheetId="7" hidden="1">#REF!</definedName>
    <definedName name="BOAD0F7620884B40B6991BD538425A7D2C" hidden="1">#REF!</definedName>
    <definedName name="BOAD1C338F5C44430899FFC86FD87EF89A" localSheetId="7" hidden="1">#REF!</definedName>
    <definedName name="BOAD1C338F5C44430899FFC86FD87EF89A" hidden="1">#REF!</definedName>
    <definedName name="BOAD335EAD036F4D609CEFB06DC71072B9" localSheetId="7" hidden="1">#REF!</definedName>
    <definedName name="BOAD335EAD036F4D609CEFB06DC71072B9" hidden="1">#REF!</definedName>
    <definedName name="BOAD46885B0FDF46B2B90E6A087A6B03EC" localSheetId="7" hidden="1">#REF!</definedName>
    <definedName name="BOAD46885B0FDF46B2B90E6A087A6B03EC" hidden="1">#REF!</definedName>
    <definedName name="BOAD6522F85C3441CBAE875D755606CF94" localSheetId="7" hidden="1">#REF!</definedName>
    <definedName name="BOAD6522F85C3441CBAE875D755606CF94" hidden="1">#REF!</definedName>
    <definedName name="BOADB34A424CBD4483A5F26BCBBF3F9851" localSheetId="7" hidden="1">#REF!</definedName>
    <definedName name="BOADB34A424CBD4483A5F26BCBBF3F9851" hidden="1">#REF!</definedName>
    <definedName name="BOADB4D4C81BE44D4E987234B2DDD47EDC" localSheetId="7" hidden="1">#REF!</definedName>
    <definedName name="BOADB4D4C81BE44D4E987234B2DDD47EDC" hidden="1">#REF!</definedName>
    <definedName name="BOADC5F70EAA14498E85E8938BF984D301" localSheetId="7" hidden="1">#REF!</definedName>
    <definedName name="BOADC5F70EAA14498E85E8938BF984D301" hidden="1">#REF!</definedName>
    <definedName name="BOADCB123CBCB14D92AF26A93CC15A5072" localSheetId="7" hidden="1">#REF!</definedName>
    <definedName name="BOADCB123CBCB14D92AF26A93CC15A5072" hidden="1">#REF!</definedName>
    <definedName name="BOADD59636C34F41C491DB3FFDE442E7B4" localSheetId="7" hidden="1">#REF!</definedName>
    <definedName name="BOADD59636C34F41C491DB3FFDE442E7B4" hidden="1">#REF!</definedName>
    <definedName name="BOADE35063A52D4926B87920857799956B" localSheetId="7" hidden="1">#REF!</definedName>
    <definedName name="BOADE35063A52D4926B87920857799956B" hidden="1">#REF!</definedName>
    <definedName name="BOADF0FDA9EA2B4BD0B174C567A1667826" localSheetId="7" hidden="1">#REF!</definedName>
    <definedName name="BOADF0FDA9EA2B4BD0B174C567A1667826" hidden="1">#REF!</definedName>
    <definedName name="BOAE38C991B47F4BFBA53AC74607857093" localSheetId="7" hidden="1">#REF!</definedName>
    <definedName name="BOAE38C991B47F4BFBA53AC74607857093" hidden="1">#REF!</definedName>
    <definedName name="BOAE38E26111954A599AB4379A710FEAEE" localSheetId="7" hidden="1">#REF!</definedName>
    <definedName name="BOAE38E26111954A599AB4379A710FEAEE" hidden="1">#REF!</definedName>
    <definedName name="BOAE7D2162E4CA4AA496F740DD3321C68E" localSheetId="7" hidden="1">#REF!</definedName>
    <definedName name="BOAE7D2162E4CA4AA496F740DD3321C68E" hidden="1">#REF!</definedName>
    <definedName name="BOAE9D3F0EDD954E83BE1A7EE4B8455D14" localSheetId="7" hidden="1">#REF!</definedName>
    <definedName name="BOAE9D3F0EDD954E83BE1A7EE4B8455D14" hidden="1">#REF!</definedName>
    <definedName name="BOAE9F16852C1C49C4B7027B7E8E46A669" localSheetId="7" hidden="1">#REF!</definedName>
    <definedName name="BOAE9F16852C1C49C4B7027B7E8E46A669" hidden="1">#REF!</definedName>
    <definedName name="BOAEA9E5B9207B4F898B95AFC077A98F5B" localSheetId="7" hidden="1">#REF!</definedName>
    <definedName name="BOAEA9E5B9207B4F898B95AFC077A98F5B" hidden="1">#REF!</definedName>
    <definedName name="BOAEACAB2453B240369621CE395DAC910B" localSheetId="7" hidden="1">#REF!</definedName>
    <definedName name="BOAEACAB2453B240369621CE395DAC910B" hidden="1">#REF!</definedName>
    <definedName name="BOAEB0C177B8D04E0CA8B3DC23800BB2D2" localSheetId="7" hidden="1">#REF!</definedName>
    <definedName name="BOAEB0C177B8D04E0CA8B3DC23800BB2D2" hidden="1">#REF!</definedName>
    <definedName name="BOAEB1DEFF8DFF4A31A08766B053164562" localSheetId="7" hidden="1">#REF!</definedName>
    <definedName name="BOAEB1DEFF8DFF4A31A08766B053164562" hidden="1">#REF!</definedName>
    <definedName name="BOAEF9355669644DC5846A43E6327BFACC" localSheetId="7" hidden="1">#REF!</definedName>
    <definedName name="BOAEF9355669644DC5846A43E6327BFACC" hidden="1">#REF!</definedName>
    <definedName name="BOAF0F5DAE3B264BC698EB41A7F855C287" localSheetId="7" hidden="1">#REF!</definedName>
    <definedName name="BOAF0F5DAE3B264BC698EB41A7F855C287" hidden="1">#REF!</definedName>
    <definedName name="BOAF1FDF1388344E85860053B8A74BAB83" localSheetId="7" hidden="1">#REF!</definedName>
    <definedName name="BOAF1FDF1388344E85860053B8A74BAB83" hidden="1">#REF!</definedName>
    <definedName name="BOAF3CA1A96C1F4FCD9666F34424D2D7DE" localSheetId="7" hidden="1">#REF!</definedName>
    <definedName name="BOAF3CA1A96C1F4FCD9666F34424D2D7DE" hidden="1">#REF!</definedName>
    <definedName name="BOAF492E6736CA4825AD35B37D674C7739" localSheetId="7" hidden="1">#REF!</definedName>
    <definedName name="BOAF492E6736CA4825AD35B37D674C7739" hidden="1">#REF!</definedName>
    <definedName name="BOAF4F9193B575475D92E3E4FA0247EAE3" localSheetId="7" hidden="1">#REF!</definedName>
    <definedName name="BOAF4F9193B575475D92E3E4FA0247EAE3" hidden="1">#REF!</definedName>
    <definedName name="BOAF5581A9CFE5409FB818E1AED99B2072" localSheetId="7" hidden="1">#REF!</definedName>
    <definedName name="BOAF5581A9CFE5409FB818E1AED99B2072" hidden="1">#REF!</definedName>
    <definedName name="BOAF6BE8C1CBC04934A0AFD4602A70E731" localSheetId="7" hidden="1">#REF!</definedName>
    <definedName name="BOAF6BE8C1CBC04934A0AFD4602A70E731" hidden="1">#REF!</definedName>
    <definedName name="BOAF7A3992466B46CC83CF74FB132BAEC5" localSheetId="7" hidden="1">#REF!</definedName>
    <definedName name="BOAF7A3992466B46CC83CF74FB132BAEC5" hidden="1">#REF!</definedName>
    <definedName name="BOAF8C6B1A0DE0479E97D23189ACA9DA7B" localSheetId="7" hidden="1">#REF!</definedName>
    <definedName name="BOAF8C6B1A0DE0479E97D23189ACA9DA7B" hidden="1">#REF!</definedName>
    <definedName name="BOAF94380B12FB42828E5758249BC03F7F" localSheetId="7" hidden="1">#REF!</definedName>
    <definedName name="BOAF94380B12FB42828E5758249BC03F7F" hidden="1">#REF!</definedName>
    <definedName name="BOAFA3DC40DF9645459943F4E49A74D0A4" localSheetId="7" hidden="1">#REF!</definedName>
    <definedName name="BOAFA3DC40DF9645459943F4E49A74D0A4" hidden="1">#REF!</definedName>
    <definedName name="BOAFB0D73ECF854DFCB35E8B9BE28EB5CC" localSheetId="7" hidden="1">#REF!</definedName>
    <definedName name="BOAFB0D73ECF854DFCB35E8B9BE28EB5CC" hidden="1">#REF!</definedName>
    <definedName name="BOAFB829BD767340DA9F423424DDB67B89" localSheetId="7" hidden="1">#REF!</definedName>
    <definedName name="BOAFB829BD767340DA9F423424DDB67B89" hidden="1">#REF!</definedName>
    <definedName name="BOAFD078B6DF1040C2B78DBAD35604FDC6" localSheetId="7" hidden="1">#REF!</definedName>
    <definedName name="BOAFD078B6DF1040C2B78DBAD35604FDC6" hidden="1">#REF!</definedName>
    <definedName name="BOAFE13824714F46D193A5C6D78E069789" localSheetId="7" hidden="1">#REF!</definedName>
    <definedName name="BOAFE13824714F46D193A5C6D78E069789" hidden="1">#REF!</definedName>
    <definedName name="BOAFE3300592E045CE9F2E43FFD7A906B8" localSheetId="7" hidden="1">#REF!</definedName>
    <definedName name="BOAFE3300592E045CE9F2E43FFD7A906B8" hidden="1">#REF!</definedName>
    <definedName name="BOAFE36271D2084BFC95BFB32B1D94915F" localSheetId="7" hidden="1">#REF!</definedName>
    <definedName name="BOAFE36271D2084BFC95BFB32B1D94915F" hidden="1">#REF!</definedName>
    <definedName name="BOAFF35196A0824FBDB6BB7493AF982150" localSheetId="7" hidden="1">#REF!</definedName>
    <definedName name="BOAFF35196A0824FBDB6BB7493AF982150" hidden="1">#REF!</definedName>
    <definedName name="BOAFF6F1D0B4534F74B2002AB19C2FA995" localSheetId="7" hidden="1">#REF!</definedName>
    <definedName name="BOAFF6F1D0B4534F74B2002AB19C2FA995" hidden="1">#REF!</definedName>
    <definedName name="BOB00EA953C8CA49C38AAB684A3C16787E" localSheetId="7" hidden="1">#REF!</definedName>
    <definedName name="BOB00EA953C8CA49C38AAB684A3C16787E" hidden="1">#REF!</definedName>
    <definedName name="BOB01B3949EBFA4CDAB19444D9D03BF2D7" localSheetId="7" hidden="1">#REF!</definedName>
    <definedName name="BOB01B3949EBFA4CDAB19444D9D03BF2D7" hidden="1">#REF!</definedName>
    <definedName name="BOB02606B8A4EE45D6A4A726050A4C0F80" localSheetId="7" hidden="1">#REF!</definedName>
    <definedName name="BOB02606B8A4EE45D6A4A726050A4C0F80" hidden="1">#REF!</definedName>
    <definedName name="BOB027CC6087984BC19511279DF82D354D" localSheetId="7" hidden="1">#REF!</definedName>
    <definedName name="BOB027CC6087984BC19511279DF82D354D" hidden="1">#REF!</definedName>
    <definedName name="BOB02EAAC0634048BE8BC25281F5DE43DE" localSheetId="7" hidden="1">#REF!</definedName>
    <definedName name="BOB02EAAC0634048BE8BC25281F5DE43DE" hidden="1">#REF!</definedName>
    <definedName name="BOB03218F3A020405F9027DD4B67AE56C5" localSheetId="7" hidden="1">#REF!</definedName>
    <definedName name="BOB03218F3A020405F9027DD4B67AE56C5" hidden="1">#REF!</definedName>
    <definedName name="BOB0524233790446579ADE3A215CAFBFF6" localSheetId="7" hidden="1">#REF!</definedName>
    <definedName name="BOB0524233790446579ADE3A215CAFBFF6" hidden="1">#REF!</definedName>
    <definedName name="BOB05BEE2DA46F4BEAB47B1539A8647E54" localSheetId="7" hidden="1">#REF!</definedName>
    <definedName name="BOB05BEE2DA46F4BEAB47B1539A8647E54" hidden="1">#REF!</definedName>
    <definedName name="BOB06010D02BD24814AF2265108FEAC566" localSheetId="7" hidden="1">#REF!</definedName>
    <definedName name="BOB06010D02BD24814AF2265108FEAC566" hidden="1">#REF!</definedName>
    <definedName name="BOB06AA2AFA7A8479B923E1ACEBE893A83" localSheetId="7" hidden="1">#REF!</definedName>
    <definedName name="BOB06AA2AFA7A8479B923E1ACEBE893A83" hidden="1">#REF!</definedName>
    <definedName name="BOB093FCD4B2834564AD7033C99BA15873" localSheetId="7" hidden="1">#REF!</definedName>
    <definedName name="BOB093FCD4B2834564AD7033C99BA15873" hidden="1">#REF!</definedName>
    <definedName name="BOB095AAD02ECB4938898769B40F9EED80" localSheetId="7" hidden="1">#REF!</definedName>
    <definedName name="BOB095AAD02ECB4938898769B40F9EED80" hidden="1">#REF!</definedName>
    <definedName name="BOB09FBC0B00C046CFB20E8B2402E37F92" localSheetId="7" hidden="1">#REF!</definedName>
    <definedName name="BOB09FBC0B00C046CFB20E8B2402E37F92" hidden="1">#REF!</definedName>
    <definedName name="BOB0A41639A7BE453784C162F62DC90A20" localSheetId="7" hidden="1">#REF!</definedName>
    <definedName name="BOB0A41639A7BE453784C162F62DC90A20" hidden="1">#REF!</definedName>
    <definedName name="BOB0AADBC972E447389DF324A16BCA3E3E" localSheetId="7" hidden="1">#REF!</definedName>
    <definedName name="BOB0AADBC972E447389DF324A16BCA3E3E" hidden="1">#REF!</definedName>
    <definedName name="BOB0AC7DE7F7A84A679BE6AA6EC1BEEC36" localSheetId="7" hidden="1">#REF!</definedName>
    <definedName name="BOB0AC7DE7F7A84A679BE6AA6EC1BEEC36" hidden="1">#REF!</definedName>
    <definedName name="BOB0BDCFE182AF41BD80FFAEB9050C0288" localSheetId="7" hidden="1">#REF!</definedName>
    <definedName name="BOB0BDCFE182AF41BD80FFAEB9050C0288" hidden="1">#REF!</definedName>
    <definedName name="BOB0E6E0DF00D64F7F9EE2A9528FCE28E0" localSheetId="7" hidden="1">#REF!</definedName>
    <definedName name="BOB0E6E0DF00D64F7F9EE2A9528FCE28E0" hidden="1">#REF!</definedName>
    <definedName name="BOB12871F243644D3EAA9269C12967AC18" localSheetId="7" hidden="1">#REF!</definedName>
    <definedName name="BOB12871F243644D3EAA9269C12967AC18" hidden="1">#REF!</definedName>
    <definedName name="BOB165ED7008EE4A8E875333C75B78BBE2" localSheetId="7" hidden="1">#REF!</definedName>
    <definedName name="BOB165ED7008EE4A8E875333C75B78BBE2" hidden="1">#REF!</definedName>
    <definedName name="BOB16DCF3343074A57A0984139123A2B4F" localSheetId="7" hidden="1">#REF!</definedName>
    <definedName name="BOB16DCF3343074A57A0984139123A2B4F" hidden="1">#REF!</definedName>
    <definedName name="BOB179140D77BE428CB3CD783E861564C7" localSheetId="7" hidden="1">#REF!</definedName>
    <definedName name="BOB179140D77BE428CB3CD783E861564C7" hidden="1">#REF!</definedName>
    <definedName name="BOB17EB89A47EA44DDA78CAE51C452C03A" localSheetId="7" hidden="1">#REF!</definedName>
    <definedName name="BOB17EB89A47EA44DDA78CAE51C452C03A" hidden="1">#REF!</definedName>
    <definedName name="BOB18F591934DF475C9AFB1775099B26D6" localSheetId="7" hidden="1">#REF!</definedName>
    <definedName name="BOB18F591934DF475C9AFB1775099B26D6" hidden="1">#REF!</definedName>
    <definedName name="BOB1959A2962FE4BAE902D25EFBAFB5A45" localSheetId="7" hidden="1">#REF!</definedName>
    <definedName name="BOB1959A2962FE4BAE902D25EFBAFB5A45" hidden="1">#REF!</definedName>
    <definedName name="BOB19FABF7D1FA4E8CA4B8808C1A4BC182" localSheetId="7" hidden="1">#REF!</definedName>
    <definedName name="BOB19FABF7D1FA4E8CA4B8808C1A4BC182" hidden="1">#REF!</definedName>
    <definedName name="BOB1B161954F294374A9F033B11627E4E0" localSheetId="7" hidden="1">#REF!</definedName>
    <definedName name="BOB1B161954F294374A9F033B11627E4E0" hidden="1">#REF!</definedName>
    <definedName name="BOB1B2BDBD86434CCC864D8027E5648E81" localSheetId="7" hidden="1">#REF!</definedName>
    <definedName name="BOB1B2BDBD86434CCC864D8027E5648E81" hidden="1">#REF!</definedName>
    <definedName name="BOB1C25F2990A24DDEB81DE4EE28067E8F" localSheetId="7" hidden="1">#REF!</definedName>
    <definedName name="BOB1C25F2990A24DDEB81DE4EE28067E8F" hidden="1">#REF!</definedName>
    <definedName name="BOB20C577368004B93875B50C76E3FD42B" localSheetId="7" hidden="1">#REF!</definedName>
    <definedName name="BOB20C577368004B93875B50C76E3FD42B" hidden="1">#REF!</definedName>
    <definedName name="BOB2214468B9C54141B1D48DC731E7372C" localSheetId="7" hidden="1">#REF!</definedName>
    <definedName name="BOB2214468B9C54141B1D48DC731E7372C" hidden="1">#REF!</definedName>
    <definedName name="BOB2283542060A4DB18F22F4E91A358FE6" localSheetId="7" hidden="1">#REF!</definedName>
    <definedName name="BOB2283542060A4DB18F22F4E91A358FE6" hidden="1">#REF!</definedName>
    <definedName name="BOB2333AC09106462AAAEC527F55AA85AF" localSheetId="7" hidden="1">#REF!</definedName>
    <definedName name="BOB2333AC09106462AAAEC527F55AA85AF" hidden="1">#REF!</definedName>
    <definedName name="BOB233705219B04FD1A06D2CE6DEC6353C" localSheetId="7" hidden="1">#REF!</definedName>
    <definedName name="BOB233705219B04FD1A06D2CE6DEC6353C" hidden="1">#REF!</definedName>
    <definedName name="BOB24327C8196F468786249F1A85AA780C" localSheetId="7" hidden="1">#REF!</definedName>
    <definedName name="BOB24327C8196F468786249F1A85AA780C" hidden="1">#REF!</definedName>
    <definedName name="BOB244851B5BA5439AA7D068255EAAE79C" localSheetId="7" hidden="1">#REF!</definedName>
    <definedName name="BOB244851B5BA5439AA7D068255EAAE79C" hidden="1">#REF!</definedName>
    <definedName name="BOB2514577E6AC4AC08DC6EB9E891C61DD" localSheetId="7" hidden="1">#REF!</definedName>
    <definedName name="BOB2514577E6AC4AC08DC6EB9E891C61DD" hidden="1">#REF!</definedName>
    <definedName name="BOB2516AD6A864495FA189C60BE763AE1C" localSheetId="7" hidden="1">#REF!</definedName>
    <definedName name="BOB2516AD6A864495FA189C60BE763AE1C" hidden="1">#REF!</definedName>
    <definedName name="BOB25B43322E764A10BEBB8EB5DFAA2055" localSheetId="7" hidden="1">#REF!</definedName>
    <definedName name="BOB25B43322E764A10BEBB8EB5DFAA2055" hidden="1">#REF!</definedName>
    <definedName name="BOB26C0F525DFB4ED49826EAA84967BD72" localSheetId="7" hidden="1">#REF!</definedName>
    <definedName name="BOB26C0F525DFB4ED49826EAA84967BD72" hidden="1">#REF!</definedName>
    <definedName name="BOB2748250A9C84D278866A4DB7FCDC99A" localSheetId="7" hidden="1">#REF!</definedName>
    <definedName name="BOB2748250A9C84D278866A4DB7FCDC99A" hidden="1">#REF!</definedName>
    <definedName name="BOB2796D9040FF4823BEE871D6151F2B42" localSheetId="7" hidden="1">#REF!</definedName>
    <definedName name="BOB2796D9040FF4823BEE871D6151F2B42" hidden="1">#REF!</definedName>
    <definedName name="BOB27A33EFD4C94DA0AFC511170C491AE3" localSheetId="7" hidden="1">#REF!</definedName>
    <definedName name="BOB27A33EFD4C94DA0AFC511170C491AE3" hidden="1">#REF!</definedName>
    <definedName name="BOB28EE6A984924B16BD3ABA29CA35AFA9" localSheetId="7" hidden="1">#REF!</definedName>
    <definedName name="BOB28EE6A984924B16BD3ABA29CA35AFA9" hidden="1">#REF!</definedName>
    <definedName name="BOB2921DE08B364AB7A76CDC90A8D3733E" localSheetId="7" hidden="1">#REF!</definedName>
    <definedName name="BOB2921DE08B364AB7A76CDC90A8D3733E" hidden="1">#REF!</definedName>
    <definedName name="BOB2CFA4D12AE844F7831B102D4746D815" localSheetId="7" hidden="1">#REF!</definedName>
    <definedName name="BOB2CFA4D12AE844F7831B102D4746D815" hidden="1">#REF!</definedName>
    <definedName name="BOB2F3225757294B1DAE06052E2E9660E7" localSheetId="7" hidden="1">#REF!</definedName>
    <definedName name="BOB2F3225757294B1DAE06052E2E9660E7" hidden="1">#REF!</definedName>
    <definedName name="BOB3069F0B36A6498EAD3D198812FEC157" localSheetId="7" hidden="1">#REF!</definedName>
    <definedName name="BOB3069F0B36A6498EAD3D198812FEC157" hidden="1">#REF!</definedName>
    <definedName name="BOB31A3C9F9C094D368C20DE0082E01019" localSheetId="7" hidden="1">#REF!</definedName>
    <definedName name="BOB31A3C9F9C094D368C20DE0082E01019" hidden="1">#REF!</definedName>
    <definedName name="BOB35954C1C0D54F8095124CD98C150EA3" localSheetId="7" hidden="1">#REF!</definedName>
    <definedName name="BOB35954C1C0D54F8095124CD98C150EA3" hidden="1">#REF!</definedName>
    <definedName name="BOB35D68B745F84C69A642F85D9A63E835" localSheetId="7" hidden="1">#REF!</definedName>
    <definedName name="BOB35D68B745F84C69A642F85D9A63E835" hidden="1">#REF!</definedName>
    <definedName name="BOB35F1C40C0AB4555AF97F5787FB83713" localSheetId="7" hidden="1">#REF!</definedName>
    <definedName name="BOB35F1C40C0AB4555AF97F5787FB83713" hidden="1">#REF!</definedName>
    <definedName name="BOB370C03D2DE044E68DCE8788611AA6FB" localSheetId="7" hidden="1">#REF!</definedName>
    <definedName name="BOB370C03D2DE044E68DCE8788611AA6FB" hidden="1">#REF!</definedName>
    <definedName name="BOB3A4537307344905A43CF20921F4C5B3" localSheetId="7" hidden="1">#REF!</definedName>
    <definedName name="BOB3A4537307344905A43CF20921F4C5B3" hidden="1">#REF!</definedName>
    <definedName name="BOB3BCB36131D84EEFB97F58B544FDC444" localSheetId="7" hidden="1">#REF!</definedName>
    <definedName name="BOB3BCB36131D84EEFB97F58B544FDC444" hidden="1">#REF!</definedName>
    <definedName name="BOB3F4B779FA184C5DA469B92136406B0C" localSheetId="7" hidden="1">#REF!</definedName>
    <definedName name="BOB3F4B779FA184C5DA469B92136406B0C" hidden="1">#REF!</definedName>
    <definedName name="BOB414CC1B6791433492D8B2A753F73D67" localSheetId="7" hidden="1">#REF!</definedName>
    <definedName name="BOB414CC1B6791433492D8B2A753F73D67" hidden="1">#REF!</definedName>
    <definedName name="BOB4166EB5D1864408AC3ED3AAA37FDD98" localSheetId="7" hidden="1">#REF!</definedName>
    <definedName name="BOB4166EB5D1864408AC3ED3AAA37FDD98" hidden="1">#REF!</definedName>
    <definedName name="BOB431E03C87CB49D3B2C4C9950A165708" localSheetId="7" hidden="1">#REF!</definedName>
    <definedName name="BOB431E03C87CB49D3B2C4C9950A165708" hidden="1">#REF!</definedName>
    <definedName name="BOB44E0A6BDE874CE9A465FD74774BE81F" localSheetId="7" hidden="1">#REF!</definedName>
    <definedName name="BOB44E0A6BDE874CE9A465FD74774BE81F" hidden="1">#REF!</definedName>
    <definedName name="BOB45643D04A4C41B7861A6302BDB0859B" localSheetId="7" hidden="1">#REF!</definedName>
    <definedName name="BOB45643D04A4C41B7861A6302BDB0859B" hidden="1">#REF!</definedName>
    <definedName name="BOB45646AC3B3E4144B02098F11E1BE218" localSheetId="7" hidden="1">#REF!</definedName>
    <definedName name="BOB45646AC3B3E4144B02098F11E1BE218" hidden="1">#REF!</definedName>
    <definedName name="BOB4586A828550422ABD776E0340E302DF" localSheetId="7" hidden="1">#REF!</definedName>
    <definedName name="BOB4586A828550422ABD776E0340E302DF" hidden="1">#REF!</definedName>
    <definedName name="BOB46273544B55485487A68363DC514394" localSheetId="7" hidden="1">#REF!</definedName>
    <definedName name="BOB46273544B55485487A68363DC514394" hidden="1">#REF!</definedName>
    <definedName name="BOB4800096716E48C1A9172593526EFEAD" localSheetId="7" hidden="1">#REF!</definedName>
    <definedName name="BOB4800096716E48C1A9172593526EFEAD" hidden="1">#REF!</definedName>
    <definedName name="BOB481AC291C3740BFAF71301D875A2B77" localSheetId="7" hidden="1">#REF!</definedName>
    <definedName name="BOB481AC291C3740BFAF71301D875A2B77" hidden="1">#REF!</definedName>
    <definedName name="BOB486C19B90794FA49CC4C80E3FE27AF2" localSheetId="7" hidden="1">#REF!</definedName>
    <definedName name="BOB486C19B90794FA49CC4C80E3FE27AF2" hidden="1">#REF!</definedName>
    <definedName name="BOB49BCA1E21DC4DA29340D592085D2779" localSheetId="7" hidden="1">#REF!</definedName>
    <definedName name="BOB49BCA1E21DC4DA29340D592085D2779" hidden="1">#REF!</definedName>
    <definedName name="BOB4BFD073814B4AA18C201726662C2F53" localSheetId="7" hidden="1">#REF!</definedName>
    <definedName name="BOB4BFD073814B4AA18C201726662C2F53" hidden="1">#REF!</definedName>
    <definedName name="BOB4C65C98DD3B4498BC7F11616DEF5C69" localSheetId="7" hidden="1">#REF!</definedName>
    <definedName name="BOB4C65C98DD3B4498BC7F11616DEF5C69" hidden="1">#REF!</definedName>
    <definedName name="BOB4CC1DB3A09C45848F90D768E4115638" localSheetId="7" hidden="1">#REF!</definedName>
    <definedName name="BOB4CC1DB3A09C45848F90D768E4115638" hidden="1">#REF!</definedName>
    <definedName name="BOB4DA37094F03480AB9FCA3D7D5C73B30" localSheetId="7" hidden="1">#REF!</definedName>
    <definedName name="BOB4DA37094F03480AB9FCA3D7D5C73B30" hidden="1">#REF!</definedName>
    <definedName name="BOB4DD5F215ED04851A64450224829D97E" localSheetId="7" hidden="1">#REF!</definedName>
    <definedName name="BOB4DD5F215ED04851A64450224829D97E" hidden="1">#REF!</definedName>
    <definedName name="BOB4DFA6F8824A481E9AC03EF0F2DD807D" localSheetId="7" hidden="1">#REF!</definedName>
    <definedName name="BOB4DFA6F8824A481E9AC03EF0F2DD807D" hidden="1">#REF!</definedName>
    <definedName name="BOB50F825418E24B3E94FB58B4AB0BDD9C" localSheetId="7" hidden="1">#REF!</definedName>
    <definedName name="BOB50F825418E24B3E94FB58B4AB0BDD9C" hidden="1">#REF!</definedName>
    <definedName name="BOB50FCBC3C6064927BCA9C6B80A009E3B" localSheetId="7" hidden="1">#REF!</definedName>
    <definedName name="BOB50FCBC3C6064927BCA9C6B80A009E3B" hidden="1">#REF!</definedName>
    <definedName name="BOB53054404610429586BA4C3425C98474" localSheetId="7" hidden="1">#REF!</definedName>
    <definedName name="BOB53054404610429586BA4C3425C98474" hidden="1">#REF!</definedName>
    <definedName name="BOB53144E71F874B94A61F6A532B1E0B71" localSheetId="7" hidden="1">#REF!</definedName>
    <definedName name="BOB53144E71F874B94A61F6A532B1E0B71" hidden="1">#REF!</definedName>
    <definedName name="BOB536726EE9CA4DDDB51120E26C41364C" localSheetId="7" hidden="1">#REF!</definedName>
    <definedName name="BOB536726EE9CA4DDDB51120E26C41364C" hidden="1">#REF!</definedName>
    <definedName name="BOB554F87DC24D476BBCDDF298DBC473CE" localSheetId="7" hidden="1">#REF!</definedName>
    <definedName name="BOB554F87DC24D476BBCDDF298DBC473CE" hidden="1">#REF!</definedName>
    <definedName name="BOB555A65334764F9A8FBA5748B232D1C4" localSheetId="7" hidden="1">#REF!</definedName>
    <definedName name="BOB555A65334764F9A8FBA5748B232D1C4" hidden="1">#REF!</definedName>
    <definedName name="BOB56B152B618449BF988064F84C5BF9CA" localSheetId="7" hidden="1">#REF!</definedName>
    <definedName name="BOB56B152B618449BF988064F84C5BF9CA" hidden="1">#REF!</definedName>
    <definedName name="BOB57A24AAAC7145AE87BE41FF1EBB9640" localSheetId="7" hidden="1">#REF!</definedName>
    <definedName name="BOB57A24AAAC7145AE87BE41FF1EBB9640" hidden="1">#REF!</definedName>
    <definedName name="BOB590ECB973E94CB5863B45FC69C608B2" localSheetId="7" hidden="1">#REF!</definedName>
    <definedName name="BOB590ECB973E94CB5863B45FC69C608B2" hidden="1">#REF!</definedName>
    <definedName name="BOB5929C824DE24EEE9D4B21553E17BBEF" localSheetId="7" hidden="1">#REF!</definedName>
    <definedName name="BOB5929C824DE24EEE9D4B21553E17BBEF" hidden="1">#REF!</definedName>
    <definedName name="BOB5A808434DE242B4BDD2C778AFE7A405" localSheetId="7" hidden="1">#REF!</definedName>
    <definedName name="BOB5A808434DE242B4BDD2C778AFE7A405" hidden="1">#REF!</definedName>
    <definedName name="BOB5AC1903C1F3430982427105EEEFE451" localSheetId="7" hidden="1">#REF!</definedName>
    <definedName name="BOB5AC1903C1F3430982427105EEEFE451" hidden="1">#REF!</definedName>
    <definedName name="BOB5C7D189C37C4E5883BD8B69F7C21D21" localSheetId="7" hidden="1">#REF!</definedName>
    <definedName name="BOB5C7D189C37C4E5883BD8B69F7C21D21" hidden="1">#REF!</definedName>
    <definedName name="BOB5CFDC23100C4325AD847FAFC48D0165" localSheetId="7" hidden="1">#REF!</definedName>
    <definedName name="BOB5CFDC23100C4325AD847FAFC48D0165" hidden="1">#REF!</definedName>
    <definedName name="BOB5D696DE3BAF4E3390F847501D236089" localSheetId="7" hidden="1">#REF!</definedName>
    <definedName name="BOB5D696DE3BAF4E3390F847501D236089" hidden="1">#REF!</definedName>
    <definedName name="BOB5DC2A88AABF455D92B3FDC9C874A598" localSheetId="7" hidden="1">#REF!</definedName>
    <definedName name="BOB5DC2A88AABF455D92B3FDC9C874A598" hidden="1">#REF!</definedName>
    <definedName name="BOB5F8BAD687D746C9BD23E021FF5B84BA" localSheetId="7" hidden="1">#REF!</definedName>
    <definedName name="BOB5F8BAD687D746C9BD23E021FF5B84BA" hidden="1">#REF!</definedName>
    <definedName name="BOB5F902B9A0804AA8A0F3E441787E7A7B" localSheetId="7" hidden="1">#REF!</definedName>
    <definedName name="BOB5F902B9A0804AA8A0F3E441787E7A7B" hidden="1">#REF!</definedName>
    <definedName name="BOB5FB333D8B3C4293BEEBA9CDB3E62F63" localSheetId="7" hidden="1">#REF!</definedName>
    <definedName name="BOB5FB333D8B3C4293BEEBA9CDB3E62F63" hidden="1">#REF!</definedName>
    <definedName name="BOB60B136FDC4B4CC9B3B040F2E4A1F3C6" localSheetId="7" hidden="1">#REF!</definedName>
    <definedName name="BOB60B136FDC4B4CC9B3B040F2E4A1F3C6" hidden="1">#REF!</definedName>
    <definedName name="BOB6137AF9D28842C39028E05500CC4634" localSheetId="7" hidden="1">#REF!</definedName>
    <definedName name="BOB6137AF9D28842C39028E05500CC4634" hidden="1">#REF!</definedName>
    <definedName name="BOB623CE90068B4AA0958E2DE08B266F18" localSheetId="7" hidden="1">#REF!</definedName>
    <definedName name="BOB623CE90068B4AA0958E2DE08B266F18" hidden="1">#REF!</definedName>
    <definedName name="BOB63D4F0F420D4D568C093DFC42F1D5BA" localSheetId="7" hidden="1">#REF!</definedName>
    <definedName name="BOB63D4F0F420D4D568C093DFC42F1D5BA" hidden="1">#REF!</definedName>
    <definedName name="BOB641FF9774FB48A09FCD68260676212A" localSheetId="7" hidden="1">#REF!</definedName>
    <definedName name="BOB641FF9774FB48A09FCD68260676212A" hidden="1">#REF!</definedName>
    <definedName name="BOB64689C8B9934B03B3673DDF51A3EEAA" localSheetId="7" hidden="1">#REF!</definedName>
    <definedName name="BOB64689C8B9934B03B3673DDF51A3EEAA" hidden="1">#REF!</definedName>
    <definedName name="BOB66D19F3CB6E4BA1ABB6C699FBF474F9" localSheetId="7" hidden="1">#REF!</definedName>
    <definedName name="BOB66D19F3CB6E4BA1ABB6C699FBF474F9" hidden="1">#REF!</definedName>
    <definedName name="BOB6744C0CD5244A6AAD96FBCFC4AE8B88" localSheetId="7" hidden="1">#REF!</definedName>
    <definedName name="BOB6744C0CD5244A6AAD96FBCFC4AE8B88" hidden="1">#REF!</definedName>
    <definedName name="BOB68A41B1F09E40A4BF8B1EF3BCAEA38C" localSheetId="7" hidden="1">#REF!</definedName>
    <definedName name="BOB68A41B1F09E40A4BF8B1EF3BCAEA38C" hidden="1">#REF!</definedName>
    <definedName name="BOB6AFD423B286404393C8FCB53174E0C6" localSheetId="7" hidden="1">#REF!</definedName>
    <definedName name="BOB6AFD423B286404393C8FCB53174E0C6" hidden="1">#REF!</definedName>
    <definedName name="BOB6DAF5E853C3412A893D96B4FAC910E4" localSheetId="7" hidden="1">#REF!</definedName>
    <definedName name="BOB6DAF5E853C3412A893D96B4FAC910E4" hidden="1">#REF!</definedName>
    <definedName name="BOB6F16D7441944E7CBE47B6F520696E66" localSheetId="7" hidden="1">#REF!</definedName>
    <definedName name="BOB6F16D7441944E7CBE47B6F520696E66" hidden="1">#REF!</definedName>
    <definedName name="BOB72D754205B04360A106523F910BAC5B" localSheetId="7" hidden="1">#REF!</definedName>
    <definedName name="BOB72D754205B04360A106523F910BAC5B" hidden="1">#REF!</definedName>
    <definedName name="BOB73106CAC35943C492818BC2CB6C2F6E" localSheetId="7" hidden="1">#REF!</definedName>
    <definedName name="BOB73106CAC35943C492818BC2CB6C2F6E" hidden="1">#REF!</definedName>
    <definedName name="BOB75B0257B3084506A9DDB782499CEFED" localSheetId="7" hidden="1">#REF!</definedName>
    <definedName name="BOB75B0257B3084506A9DDB782499CEFED" hidden="1">#REF!</definedName>
    <definedName name="BOB75B806BC67B4E459CB3289E9D0AB2BC" localSheetId="7" hidden="1">#REF!</definedName>
    <definedName name="BOB75B806BC67B4E459CB3289E9D0AB2BC" hidden="1">#REF!</definedName>
    <definedName name="BOB785F8B2DE554A95970CC9F57FD21C68" localSheetId="7" hidden="1">#REF!</definedName>
    <definedName name="BOB785F8B2DE554A95970CC9F57FD21C68" hidden="1">#REF!</definedName>
    <definedName name="BOB78B916EBF2A43AFB339AE73EBF3B56A" localSheetId="7" hidden="1">#REF!</definedName>
    <definedName name="BOB78B916EBF2A43AFB339AE73EBF3B56A" hidden="1">#REF!</definedName>
    <definedName name="BOB7917415E39C4673873B9E237385A17B" localSheetId="7" hidden="1">#REF!</definedName>
    <definedName name="BOB7917415E39C4673873B9E237385A17B" hidden="1">#REF!</definedName>
    <definedName name="BOB79EA41A7C874B54B00D1F1EDFD93E08" localSheetId="7" hidden="1">#REF!</definedName>
    <definedName name="BOB79EA41A7C874B54B00D1F1EDFD93E08" hidden="1">#REF!</definedName>
    <definedName name="BOB7A16818911B4076ADAC33CAC994ED1D" localSheetId="7" hidden="1">#REF!</definedName>
    <definedName name="BOB7A16818911B4076ADAC33CAC994ED1D" hidden="1">#REF!</definedName>
    <definedName name="BOB7C336B0E3DD41D5BBE1C42EC34D8F76" localSheetId="7" hidden="1">#REF!</definedName>
    <definedName name="BOB7C336B0E3DD41D5BBE1C42EC34D8F76" hidden="1">#REF!</definedName>
    <definedName name="BOB7E224DEE2684CE091C6A85CCBD61DDC" localSheetId="7" hidden="1">#REF!</definedName>
    <definedName name="BOB7E224DEE2684CE091C6A85CCBD61DDC" hidden="1">#REF!</definedName>
    <definedName name="BOB7F7D6A2026246ADA33923E97176C25B" localSheetId="7" hidden="1">#REF!</definedName>
    <definedName name="BOB7F7D6A2026246ADA33923E97176C25B" hidden="1">#REF!</definedName>
    <definedName name="BOB8068163E67144C39944946B02F60B6B" localSheetId="7" hidden="1">#REF!</definedName>
    <definedName name="BOB8068163E67144C39944946B02F60B6B" hidden="1">#REF!</definedName>
    <definedName name="BOB80BBDC0FF56498082B681C1E003F8F8" localSheetId="7" hidden="1">#REF!</definedName>
    <definedName name="BOB80BBDC0FF56498082B681C1E003F8F8" hidden="1">#REF!</definedName>
    <definedName name="BOB815B3B051EA4211B1A361F01FEA0F95" localSheetId="7" hidden="1">#REF!</definedName>
    <definedName name="BOB815B3B051EA4211B1A361F01FEA0F95" hidden="1">#REF!</definedName>
    <definedName name="BOB81E9BCD252C44CEAC2620B284D72FC5" localSheetId="7" hidden="1">#REF!</definedName>
    <definedName name="BOB81E9BCD252C44CEAC2620B284D72FC5" hidden="1">#REF!</definedName>
    <definedName name="BOB843FD65325246019133FE073EBECFF8" localSheetId="7" hidden="1">#REF!</definedName>
    <definedName name="BOB843FD65325246019133FE073EBECFF8" hidden="1">#REF!</definedName>
    <definedName name="BOB87E20CC1DFA4080BFED21A2E389A82F" localSheetId="7" hidden="1">#REF!</definedName>
    <definedName name="BOB87E20CC1DFA4080BFED21A2E389A82F" hidden="1">#REF!</definedName>
    <definedName name="BOB88FC9FAF90349E3AF6068C43034AE3F" localSheetId="7" hidden="1">#REF!</definedName>
    <definedName name="BOB88FC9FAF90349E3AF6068C43034AE3F" hidden="1">#REF!</definedName>
    <definedName name="BOB8963C7699894EC6BD75FD09087247ED" localSheetId="7" hidden="1">#REF!</definedName>
    <definedName name="BOB8963C7699894EC6BD75FD09087247ED" hidden="1">#REF!</definedName>
    <definedName name="BOB898DD3CBFAD48679F3CDA63D90A07E2" localSheetId="7" hidden="1">#REF!</definedName>
    <definedName name="BOB898DD3CBFAD48679F3CDA63D90A07E2" hidden="1">#REF!</definedName>
    <definedName name="BOB89D6A9229774B48AD91123CC1F802C9" localSheetId="7" hidden="1">#REF!</definedName>
    <definedName name="BOB89D6A9229774B48AD91123CC1F802C9" hidden="1">#REF!</definedName>
    <definedName name="BOB8A80BFBE8B44887871A756478AB6105" localSheetId="7" hidden="1">#REF!</definedName>
    <definedName name="BOB8A80BFBE8B44887871A756478AB6105" hidden="1">#REF!</definedName>
    <definedName name="BOB8B41A00BEE94F10B919A4FAB307F2A6" localSheetId="7" hidden="1">#REF!</definedName>
    <definedName name="BOB8B41A00BEE94F10B919A4FAB307F2A6" hidden="1">#REF!</definedName>
    <definedName name="BOB8BDF8743623498594932B235DAE98ED" localSheetId="7" hidden="1">#REF!</definedName>
    <definedName name="BOB8BDF8743623498594932B235DAE98ED" hidden="1">#REF!</definedName>
    <definedName name="BOB8BEB0EB84DA4285AF929DDEFDE59087" localSheetId="7" hidden="1">#REF!</definedName>
    <definedName name="BOB8BEB0EB84DA4285AF929DDEFDE59087" hidden="1">#REF!</definedName>
    <definedName name="BOB8D3DDC3196F446F9409EA82F695AF14" localSheetId="7" hidden="1">#REF!</definedName>
    <definedName name="BOB8D3DDC3196F446F9409EA82F695AF14" hidden="1">#REF!</definedName>
    <definedName name="BOB8E35667CF634CD8AA573FDF5B3C8F97" localSheetId="7" hidden="1">#REF!</definedName>
    <definedName name="BOB8E35667CF634CD8AA573FDF5B3C8F97" hidden="1">#REF!</definedName>
    <definedName name="BOB8F1A5BBEA144A618676E3BE70973AF6" localSheetId="7" hidden="1">#REF!</definedName>
    <definedName name="BOB8F1A5BBEA144A618676E3BE70973AF6" hidden="1">#REF!</definedName>
    <definedName name="BOB9438234B58F409890CA2786B625446C" localSheetId="7" hidden="1">#REF!</definedName>
    <definedName name="BOB9438234B58F409890CA2786B625446C" hidden="1">#REF!</definedName>
    <definedName name="BOB94D68D2D93F4630BF04E49D9790EF13" localSheetId="7" hidden="1">#REF!</definedName>
    <definedName name="BOB94D68D2D93F4630BF04E49D9790EF13" hidden="1">#REF!</definedName>
    <definedName name="BOB95BAFCDE8DE4601B6BB2193D7304A4F" localSheetId="7" hidden="1">#REF!</definedName>
    <definedName name="BOB95BAFCDE8DE4601B6BB2193D7304A4F" hidden="1">#REF!</definedName>
    <definedName name="BOB96D98F91EEB4046959B57CD1AD5668C" localSheetId="7" hidden="1">#REF!</definedName>
    <definedName name="BOB96D98F91EEB4046959B57CD1AD5668C" hidden="1">#REF!</definedName>
    <definedName name="BOB96E158EAAB2402489761553BE211213" localSheetId="7" hidden="1">#REF!</definedName>
    <definedName name="BOB96E158EAAB2402489761553BE211213" hidden="1">#REF!</definedName>
    <definedName name="BOB971260669DA41DA920AEEC0359CFD8E" localSheetId="7" hidden="1">#REF!</definedName>
    <definedName name="BOB971260669DA41DA920AEEC0359CFD8E" hidden="1">#REF!</definedName>
    <definedName name="BOB977D5FE53E24E2DACE7168FE33EDA5E" localSheetId="7" hidden="1">#REF!</definedName>
    <definedName name="BOB977D5FE53E24E2DACE7168FE33EDA5E" hidden="1">#REF!</definedName>
    <definedName name="BOB983ABDE211E47F99D8C6E3BFCE792A5" localSheetId="7" hidden="1">#REF!</definedName>
    <definedName name="BOB983ABDE211E47F99D8C6E3BFCE792A5" hidden="1">#REF!</definedName>
    <definedName name="BOB9C983D0233D4AA9ADA959C8B8AE2349" localSheetId="7" hidden="1">#REF!</definedName>
    <definedName name="BOB9C983D0233D4AA9ADA959C8B8AE2349" hidden="1">#REF!</definedName>
    <definedName name="BOB9CCCBF21AA542AB9910EE73D71A66E3" localSheetId="7" hidden="1">#REF!</definedName>
    <definedName name="BOB9CCCBF21AA542AB9910EE73D71A66E3" hidden="1">#REF!</definedName>
    <definedName name="BOB9D00F3A30A44A998F6AD6E91CCFC71A" localSheetId="7" hidden="1">#REF!</definedName>
    <definedName name="BOB9D00F3A30A44A998F6AD6E91CCFC71A" hidden="1">#REF!</definedName>
    <definedName name="BOB9DF43559100402BA5698BCA91B89487" localSheetId="7" hidden="1">#REF!</definedName>
    <definedName name="BOB9DF43559100402BA5698BCA91B89487" hidden="1">#REF!</definedName>
    <definedName name="BOB9DF6E14B4ED42DEB92E7A68AF4663F4" localSheetId="7" hidden="1">#REF!</definedName>
    <definedName name="BOB9DF6E14B4ED42DEB92E7A68AF4663F4" hidden="1">#REF!</definedName>
    <definedName name="BOB9E06B25AA7A4F2B99FC5632D22663DE" localSheetId="7" hidden="1">#REF!</definedName>
    <definedName name="BOB9E06B25AA7A4F2B99FC5632D22663DE" hidden="1">#REF!</definedName>
    <definedName name="BOB9ED00015E2A44CBA8C69BD5054E3FF7" localSheetId="7" hidden="1">#REF!</definedName>
    <definedName name="BOB9ED00015E2A44CBA8C69BD5054E3FF7" hidden="1">#REF!</definedName>
    <definedName name="BOB9F33779BC454864B9B5EE3A995D231A" localSheetId="7" hidden="1">#REF!</definedName>
    <definedName name="BOB9F33779BC454864B9B5EE3A995D231A" hidden="1">#REF!</definedName>
    <definedName name="BOBA06EC307E8B43ED91039A70D9BE667C" localSheetId="7" hidden="1">#REF!</definedName>
    <definedName name="BOBA06EC307E8B43ED91039A70D9BE667C" hidden="1">#REF!</definedName>
    <definedName name="BOBA0C21B703B144DDB3D62AC366306368" localSheetId="7" hidden="1">#REF!</definedName>
    <definedName name="BOBA0C21B703B144DDB3D62AC366306368" hidden="1">#REF!</definedName>
    <definedName name="BOBA1E34D0449543B08BAFAEFB8BA9AD71" localSheetId="7" hidden="1">#REF!</definedName>
    <definedName name="BOBA1E34D0449543B08BAFAEFB8BA9AD71" hidden="1">#REF!</definedName>
    <definedName name="BOBA25AB5362B74795882BCBA792F60A92" localSheetId="7" hidden="1">#REF!</definedName>
    <definedName name="BOBA25AB5362B74795882BCBA792F60A92" hidden="1">#REF!</definedName>
    <definedName name="BOBA39EB0332EB422FBD0AEEAEA45EBD25" localSheetId="7" hidden="1">#REF!</definedName>
    <definedName name="BOBA39EB0332EB422FBD0AEEAEA45EBD25" hidden="1">#REF!</definedName>
    <definedName name="BOBA4B56BE300540429E8D87244F54B96F" localSheetId="7" hidden="1">#REF!</definedName>
    <definedName name="BOBA4B56BE300540429E8D87244F54B96F" hidden="1">#REF!</definedName>
    <definedName name="BOBA622B809EDF4C67977C345EAA9650D1" localSheetId="7" hidden="1">#REF!</definedName>
    <definedName name="BOBA622B809EDF4C67977C345EAA9650D1" hidden="1">#REF!</definedName>
    <definedName name="BOBA879214D2E34D3E8FDEF46543B4C428" localSheetId="7" hidden="1">#REF!</definedName>
    <definedName name="BOBA879214D2E34D3E8FDEF46543B4C428" hidden="1">#REF!</definedName>
    <definedName name="BOBAC61B82F3524632A68B9AF4D5779C4F" localSheetId="7" hidden="1">#REF!</definedName>
    <definedName name="BOBAC61B82F3524632A68B9AF4D5779C4F" hidden="1">#REF!</definedName>
    <definedName name="BOBAD188914E2E4BECAC9712C91388A420" localSheetId="7" hidden="1">#REF!</definedName>
    <definedName name="BOBAD188914E2E4BECAC9712C91388A420" hidden="1">#REF!</definedName>
    <definedName name="BOBAD2DF94FE354CC5A269325E781FD2CF" localSheetId="7" hidden="1">#REF!</definedName>
    <definedName name="BOBAD2DF94FE354CC5A269325E781FD2CF" hidden="1">#REF!</definedName>
    <definedName name="BOBAE343B2FF574726BB743F319B5D5D7E" localSheetId="7" hidden="1">#REF!</definedName>
    <definedName name="BOBAE343B2FF574726BB743F319B5D5D7E" hidden="1">#REF!</definedName>
    <definedName name="BOBAEF31340C274F8589A2FC120A9E05F9" localSheetId="7" hidden="1">#REF!</definedName>
    <definedName name="BOBAEF31340C274F8589A2FC120A9E05F9" hidden="1">#REF!</definedName>
    <definedName name="BOBB0A1CCBFD264FE4A34BA3C855E58D12" localSheetId="7" hidden="1">#REF!</definedName>
    <definedName name="BOBB0A1CCBFD264FE4A34BA3C855E58D12" hidden="1">#REF!</definedName>
    <definedName name="BOBB1CC1CEA31440E7AF830E54000C02E8" localSheetId="7" hidden="1">#REF!</definedName>
    <definedName name="BOBB1CC1CEA31440E7AF830E54000C02E8" hidden="1">#REF!</definedName>
    <definedName name="BOBB42B2A4AC234DE88E3D9B89E32DF577" localSheetId="7" hidden="1">#REF!</definedName>
    <definedName name="BOBB42B2A4AC234DE88E3D9B89E32DF577" hidden="1">#REF!</definedName>
    <definedName name="BOBB5B222951234D4289B111A46CBC64D6" localSheetId="7" hidden="1">#REF!</definedName>
    <definedName name="BOBB5B222951234D4289B111A46CBC64D6" hidden="1">#REF!</definedName>
    <definedName name="BOBB84DE86ADE5473FB4312C4D42857FE8" localSheetId="7" hidden="1">#REF!</definedName>
    <definedName name="BOBB84DE86ADE5473FB4312C4D42857FE8" hidden="1">#REF!</definedName>
    <definedName name="BOBBAD129E07F4450BB6A3CFBFD1066722" localSheetId="7" hidden="1">#REF!</definedName>
    <definedName name="BOBBAD129E07F4450BB6A3CFBFD1066722" hidden="1">#REF!</definedName>
    <definedName name="BOBBB92CA9EAA846D59917E3A4F1DF6A6C" localSheetId="7" hidden="1">#REF!</definedName>
    <definedName name="BOBBB92CA9EAA846D59917E3A4F1DF6A6C" hidden="1">#REF!</definedName>
    <definedName name="BOBBDB4975780A45ABA4F071D455262739" localSheetId="7" hidden="1">#REF!</definedName>
    <definedName name="BOBBDB4975780A45ABA4F071D455262739" hidden="1">#REF!</definedName>
    <definedName name="BOBBDF26BE56914C87821762329D2A856D" localSheetId="7" hidden="1">#REF!</definedName>
    <definedName name="BOBBDF26BE56914C87821762329D2A856D" hidden="1">#REF!</definedName>
    <definedName name="BOBBED887F4A104A3F836916B62E13449D" localSheetId="7" hidden="1">#REF!</definedName>
    <definedName name="BOBBED887F4A104A3F836916B62E13449D" hidden="1">#REF!</definedName>
    <definedName name="BOBBF638FC72A64320B2A8BADE68D256D6" localSheetId="7" hidden="1">#REF!</definedName>
    <definedName name="BOBBF638FC72A64320B2A8BADE68D256D6" hidden="1">#REF!</definedName>
    <definedName name="BOBC00B4B88B2346D29D0707424742C6DF" localSheetId="7" hidden="1">#REF!</definedName>
    <definedName name="BOBC00B4B88B2346D29D0707424742C6DF" hidden="1">#REF!</definedName>
    <definedName name="BOBC0703E91A8E42DF9A02871F3D709E46" localSheetId="7" hidden="1">#REF!</definedName>
    <definedName name="BOBC0703E91A8E42DF9A02871F3D709E46" hidden="1">#REF!</definedName>
    <definedName name="BOBC0C2F2EB2A3456A8DE194B2E9DDCE2D" localSheetId="7" hidden="1">#REF!</definedName>
    <definedName name="BOBC0C2F2EB2A3456A8DE194B2E9DDCE2D" hidden="1">#REF!</definedName>
    <definedName name="BOBC148553AD3D4817A56CC953771ABA9A" localSheetId="7" hidden="1">#REF!</definedName>
    <definedName name="BOBC148553AD3D4817A56CC953771ABA9A" hidden="1">#REF!</definedName>
    <definedName name="BOBC3C3BB97B9545129BF4B4362E76F461" localSheetId="7" hidden="1">#REF!</definedName>
    <definedName name="BOBC3C3BB97B9545129BF4B4362E76F461" hidden="1">#REF!</definedName>
    <definedName name="BOBC5F25479BDE40F1ADC57F54D2B3B040" localSheetId="7" hidden="1">#REF!</definedName>
    <definedName name="BOBC5F25479BDE40F1ADC57F54D2B3B040" hidden="1">#REF!</definedName>
    <definedName name="BOBC616EB7D1504716BE7E266DDA452A45" localSheetId="7" hidden="1">#REF!</definedName>
    <definedName name="BOBC616EB7D1504716BE7E266DDA452A45" hidden="1">#REF!</definedName>
    <definedName name="BOBC6B84A1F4654EFC82D02F1B705B6F6B" localSheetId="7" hidden="1">#REF!</definedName>
    <definedName name="BOBC6B84A1F4654EFC82D02F1B705B6F6B" hidden="1">#REF!</definedName>
    <definedName name="BOBC6E035D335E4372997F95F12D0F7BE3" localSheetId="7" hidden="1">#REF!</definedName>
    <definedName name="BOBC6E035D335E4372997F95F12D0F7BE3" hidden="1">#REF!</definedName>
    <definedName name="BOBC756C1D8AB640AAA0D90EDDB02885F3" localSheetId="7" hidden="1">#REF!</definedName>
    <definedName name="BOBC756C1D8AB640AAA0D90EDDB02885F3" hidden="1">#REF!</definedName>
    <definedName name="BOBC87C2FAD82D4686A996185B7A62A292" localSheetId="7" hidden="1">#REF!</definedName>
    <definedName name="BOBC87C2FAD82D4686A996185B7A62A292" hidden="1">#REF!</definedName>
    <definedName name="BOBC99EC4754DE468795E5B2E2526D4023" localSheetId="7" hidden="1">#REF!</definedName>
    <definedName name="BOBC99EC4754DE468795E5B2E2526D4023" hidden="1">#REF!</definedName>
    <definedName name="BOBC9C8A58374240D789CE574D3689DB0C" localSheetId="7" hidden="1">#REF!</definedName>
    <definedName name="BOBC9C8A58374240D789CE574D3689DB0C" hidden="1">#REF!</definedName>
    <definedName name="BOBCBE4F13E5A94BCD9E7EA19A274FE655" localSheetId="7" hidden="1">#REF!</definedName>
    <definedName name="BOBCBE4F13E5A94BCD9E7EA19A274FE655" hidden="1">#REF!</definedName>
    <definedName name="BOBCC9081CC2D64AFD8C76668F83A80C0C" localSheetId="7" hidden="1">#REF!</definedName>
    <definedName name="BOBCC9081CC2D64AFD8C76668F83A80C0C" hidden="1">#REF!</definedName>
    <definedName name="BOBCD63972F107448D95E719CDDACECF6E" localSheetId="7" hidden="1">#REF!</definedName>
    <definedName name="BOBCD63972F107448D95E719CDDACECF6E" hidden="1">#REF!</definedName>
    <definedName name="BOBCDE1320DA624ADDA489B75DAEAFD8F6" localSheetId="7" hidden="1">#REF!</definedName>
    <definedName name="BOBCDE1320DA624ADDA489B75DAEAFD8F6" hidden="1">#REF!</definedName>
    <definedName name="BOBCF1F49461474B96B706BF3DEA61A9F6" localSheetId="7" hidden="1">#REF!</definedName>
    <definedName name="BOBCF1F49461474B96B706BF3DEA61A9F6" hidden="1">#REF!</definedName>
    <definedName name="BOBD0FB5BE49EB45B3B5F40BA0E00C0357" localSheetId="7" hidden="1">#REF!</definedName>
    <definedName name="BOBD0FB5BE49EB45B3B5F40BA0E00C0357" hidden="1">#REF!</definedName>
    <definedName name="BOBD11EA08DAD645179C79FB4211E00D66" localSheetId="7" hidden="1">#REF!</definedName>
    <definedName name="BOBD11EA08DAD645179C79FB4211E00D66" hidden="1">#REF!</definedName>
    <definedName name="BOBD2B65ADBD504999AB209FED82619978" localSheetId="7" hidden="1">#REF!</definedName>
    <definedName name="BOBD2B65ADBD504999AB209FED82619978" hidden="1">#REF!</definedName>
    <definedName name="BOBD3271EA548240A0B547D58D1907CD1D" localSheetId="7" hidden="1">#REF!</definedName>
    <definedName name="BOBD3271EA548240A0B547D58D1907CD1D" hidden="1">#REF!</definedName>
    <definedName name="BOBD4BD7A60F0B48B4A3EC0A8BA820741A" localSheetId="7" hidden="1">#REF!</definedName>
    <definedName name="BOBD4BD7A60F0B48B4A3EC0A8BA820741A" hidden="1">#REF!</definedName>
    <definedName name="BOBD6AEA05BBB94973848C614A3CC63AB4" localSheetId="7" hidden="1">#REF!</definedName>
    <definedName name="BOBD6AEA05BBB94973848C614A3CC63AB4" hidden="1">#REF!</definedName>
    <definedName name="BOBDBA71C20FD54DDBBEF42E0511B79B9E" localSheetId="7" hidden="1">#REF!</definedName>
    <definedName name="BOBDBA71C20FD54DDBBEF42E0511B79B9E" hidden="1">#REF!</definedName>
    <definedName name="BOBDD26D2194F341BBBD5169FEF8077AED" localSheetId="7" hidden="1">#REF!</definedName>
    <definedName name="BOBDD26D2194F341BBBD5169FEF8077AED" hidden="1">#REF!</definedName>
    <definedName name="BOBDE0DBB02BEC4CA984238D80A742EF47" localSheetId="7" hidden="1">#REF!</definedName>
    <definedName name="BOBDE0DBB02BEC4CA984238D80A742EF47" hidden="1">#REF!</definedName>
    <definedName name="BOBDEAF44429624BCA9CA4EA9D76C62D0F" localSheetId="7" hidden="1">#REF!</definedName>
    <definedName name="BOBDEAF44429624BCA9CA4EA9D76C62D0F" hidden="1">#REF!</definedName>
    <definedName name="BOBDFE2EA585A84C8286910B5A36ED8836" localSheetId="7" hidden="1">#REF!</definedName>
    <definedName name="BOBDFE2EA585A84C8286910B5A36ED8836" hidden="1">#REF!</definedName>
    <definedName name="BOBE007758CC1C4432907C07F7FC73AB52" localSheetId="7" hidden="1">#REF!</definedName>
    <definedName name="BOBE007758CC1C4432907C07F7FC73AB52" hidden="1">#REF!</definedName>
    <definedName name="BOBE066A6411C14FB1BE7AF1FDBE1B4D3E" localSheetId="7" hidden="1">#REF!</definedName>
    <definedName name="BOBE066A6411C14FB1BE7AF1FDBE1B4D3E" hidden="1">#REF!</definedName>
    <definedName name="BOBE20482693EE4658ADCC35F11B84490F" localSheetId="7" hidden="1">#REF!</definedName>
    <definedName name="BOBE20482693EE4658ADCC35F11B84490F" hidden="1">#REF!</definedName>
    <definedName name="BOBE37C80BCE184DA1826AB2785BC7CCBF" localSheetId="7" hidden="1">#REF!</definedName>
    <definedName name="BOBE37C80BCE184DA1826AB2785BC7CCBF" hidden="1">#REF!</definedName>
    <definedName name="BOBE3F78CD09004F1B9E7689611539677A" localSheetId="7" hidden="1">#REF!</definedName>
    <definedName name="BOBE3F78CD09004F1B9E7689611539677A" hidden="1">#REF!</definedName>
    <definedName name="BOBE40F119BCF0477B85AD7EFA9CC17246" localSheetId="7" hidden="1">#REF!</definedName>
    <definedName name="BOBE40F119BCF0477B85AD7EFA9CC17246" hidden="1">#REF!</definedName>
    <definedName name="BOBE556C6438784A788434A92B9B7E62F7" localSheetId="7" hidden="1">#REF!</definedName>
    <definedName name="BOBE556C6438784A788434A92B9B7E62F7" hidden="1">#REF!</definedName>
    <definedName name="BOBE578A18C7074F8381A042C205500C84" localSheetId="7" hidden="1">#REF!</definedName>
    <definedName name="BOBE578A18C7074F8381A042C205500C84" hidden="1">#REF!</definedName>
    <definedName name="BOBE63F1F481E948ED99B1780CA9DF6062" localSheetId="7" hidden="1">#REF!</definedName>
    <definedName name="BOBE63F1F481E948ED99B1780CA9DF6062" hidden="1">#REF!</definedName>
    <definedName name="BOBE7F4C49F32047C6B3C64C4C8ED0B771" localSheetId="7" hidden="1">#REF!</definedName>
    <definedName name="BOBE7F4C49F32047C6B3C64C4C8ED0B771" hidden="1">#REF!</definedName>
    <definedName name="BOBE83EF84707241C8A22E0B64CFFB3D08" localSheetId="7" hidden="1">#REF!</definedName>
    <definedName name="BOBE83EF84707241C8A22E0B64CFFB3D08" hidden="1">#REF!</definedName>
    <definedName name="BOBE994290E1954C8B84159E03FD0CBA34" localSheetId="7" hidden="1">#REF!</definedName>
    <definedName name="BOBE994290E1954C8B84159E03FD0CBA34" hidden="1">#REF!</definedName>
    <definedName name="BOBE9C3FE712384C59966B5531AE90912D" localSheetId="7" hidden="1">#REF!</definedName>
    <definedName name="BOBE9C3FE712384C59966B5531AE90912D" hidden="1">#REF!</definedName>
    <definedName name="BOBEB0F696C8F244CEBF1725F61F4A9574" localSheetId="7" hidden="1">#REF!</definedName>
    <definedName name="BOBEB0F696C8F244CEBF1725F61F4A9574" hidden="1">#REF!</definedName>
    <definedName name="BOBEBD2D7CE9464984ACCFFDBD71C35D43" localSheetId="7" hidden="1">#REF!</definedName>
    <definedName name="BOBEBD2D7CE9464984ACCFFDBD71C35D43" hidden="1">#REF!</definedName>
    <definedName name="BOBED63F80DAD54730837219B50E3A1422" localSheetId="7" hidden="1">#REF!</definedName>
    <definedName name="BOBED63F80DAD54730837219B50E3A1422" hidden="1">#REF!</definedName>
    <definedName name="BOBEDA7B8627424F3CBA65328E2FA21756" localSheetId="7" hidden="1">#REF!</definedName>
    <definedName name="BOBEDA7B8627424F3CBA65328E2FA21756" hidden="1">#REF!</definedName>
    <definedName name="BOBEEDE74E4E9B4A68A681599F8D83104A" localSheetId="7" hidden="1">#REF!</definedName>
    <definedName name="BOBEEDE74E4E9B4A68A681599F8D83104A" hidden="1">#REF!</definedName>
    <definedName name="BOBEF2B96B735E4056B6E00D00E5DA4EFE" localSheetId="7" hidden="1">#REF!</definedName>
    <definedName name="BOBEF2B96B735E4056B6E00D00E5DA4EFE" hidden="1">#REF!</definedName>
    <definedName name="BOBEF65ADE09144EED999D5E43CABD2854" localSheetId="7" hidden="1">#REF!</definedName>
    <definedName name="BOBEF65ADE09144EED999D5E43CABD2854" hidden="1">#REF!</definedName>
    <definedName name="BOBF139023124E44E6AF487456C878DF3C" localSheetId="7" hidden="1">#REF!</definedName>
    <definedName name="BOBF139023124E44E6AF487456C878DF3C" hidden="1">#REF!</definedName>
    <definedName name="BOBF15DDCB9F134D3FB34CAB2C6D2FAC27" localSheetId="7" hidden="1">#REF!</definedName>
    <definedName name="BOBF15DDCB9F134D3FB34CAB2C6D2FAC27" hidden="1">#REF!</definedName>
    <definedName name="BOBF24A91F29C94A95928FE509DC6A74E5" localSheetId="7" hidden="1">#REF!</definedName>
    <definedName name="BOBF24A91F29C94A95928FE509DC6A74E5" hidden="1">#REF!</definedName>
    <definedName name="BOBF3E36F94F964E81A3490910788F5EB9" localSheetId="7" hidden="1">#REF!</definedName>
    <definedName name="BOBF3E36F94F964E81A3490910788F5EB9" hidden="1">#REF!</definedName>
    <definedName name="BOBF43090B36094BD782BAB0CCBED28EBD" localSheetId="7" hidden="1">#REF!</definedName>
    <definedName name="BOBF43090B36094BD782BAB0CCBED28EBD" hidden="1">#REF!</definedName>
    <definedName name="BOBF677E5C426C49348C951FF36FB5DFD6" localSheetId="7" hidden="1">#REF!</definedName>
    <definedName name="BOBF677E5C426C49348C951FF36FB5DFD6" hidden="1">#REF!</definedName>
    <definedName name="BOBF9092BF2B974E268EF744C28CC6920D" localSheetId="7" hidden="1">#REF!</definedName>
    <definedName name="BOBF9092BF2B974E268EF744C28CC6920D" hidden="1">#REF!</definedName>
    <definedName name="BOBFA02FBAA5DF4289A76033ED7D4A47BB" localSheetId="7" hidden="1">#REF!</definedName>
    <definedName name="BOBFA02FBAA5DF4289A76033ED7D4A47BB" hidden="1">#REF!</definedName>
    <definedName name="BOBFBE0B9B25414BF49996476699DBD20C" localSheetId="7" hidden="1">#REF!</definedName>
    <definedName name="BOBFBE0B9B25414BF49996476699DBD20C" hidden="1">#REF!</definedName>
    <definedName name="BOBFD8FDB367D148B49F9621061B15D173" localSheetId="7" hidden="1">#REF!</definedName>
    <definedName name="BOBFD8FDB367D148B49F9621061B15D173" hidden="1">#REF!</definedName>
    <definedName name="BOBFDCFC52CF0C4EC395DB7241EF8C1889" localSheetId="7" hidden="1">#REF!</definedName>
    <definedName name="BOBFDCFC52CF0C4EC395DB7241EF8C1889" hidden="1">#REF!</definedName>
    <definedName name="BOC01D177CBBDD427481BA5FDFD40F5AE5" localSheetId="7" hidden="1">#REF!</definedName>
    <definedName name="BOC01D177CBBDD427481BA5FDFD40F5AE5" hidden="1">#REF!</definedName>
    <definedName name="BOC064353E1843461690690B9E94E5A3E1" localSheetId="7" hidden="1">#REF!</definedName>
    <definedName name="BOC064353E1843461690690B9E94E5A3E1" hidden="1">#REF!</definedName>
    <definedName name="BOC068C804C82B4B6F91509DCB1474EF22" localSheetId="7" hidden="1">#REF!</definedName>
    <definedName name="BOC068C804C82B4B6F91509DCB1474EF22" hidden="1">#REF!</definedName>
    <definedName name="BOC088E16737B64379B211406BFE435991" localSheetId="7" hidden="1">#REF!</definedName>
    <definedName name="BOC088E16737B64379B211406BFE435991" hidden="1">#REF!</definedName>
    <definedName name="BOC0A0444108B44EC283E6470EB558CC79" localSheetId="7" hidden="1">#REF!</definedName>
    <definedName name="BOC0A0444108B44EC283E6470EB558CC79" hidden="1">#REF!</definedName>
    <definedName name="BOC0AE5B3ADE2F4AD696CF12972AC6B1A8" localSheetId="7" hidden="1">#REF!</definedName>
    <definedName name="BOC0AE5B3ADE2F4AD696CF12972AC6B1A8" hidden="1">#REF!</definedName>
    <definedName name="BOC0BD8AB6FAE64D3EB6D0F482914480B2" localSheetId="7" hidden="1">#REF!</definedName>
    <definedName name="BOC0BD8AB6FAE64D3EB6D0F482914480B2" hidden="1">#REF!</definedName>
    <definedName name="BOC0DC73F84DC8446AA8FDC048BC689073" localSheetId="7" hidden="1">#REF!</definedName>
    <definedName name="BOC0DC73F84DC8446AA8FDC048BC689073" hidden="1">#REF!</definedName>
    <definedName name="BOC0E0E1A3AE184455822FAE0535CCA8F7" localSheetId="7" hidden="1">#REF!</definedName>
    <definedName name="BOC0E0E1A3AE184455822FAE0535CCA8F7" hidden="1">#REF!</definedName>
    <definedName name="BOC0E7FEC110324E1DB78A24BDBB3D73BC" localSheetId="7" hidden="1">#REF!</definedName>
    <definedName name="BOC0E7FEC110324E1DB78A24BDBB3D73BC" hidden="1">#REF!</definedName>
    <definedName name="BOC0F211612A17444B85F2FF9968EB8970" localSheetId="7" hidden="1">#REF!</definedName>
    <definedName name="BOC0F211612A17444B85F2FF9968EB8970" hidden="1">#REF!</definedName>
    <definedName name="BOC10A819F4DD440E3824B8F36717EDD03" localSheetId="7" hidden="1">#REF!</definedName>
    <definedName name="BOC10A819F4DD440E3824B8F36717EDD03" hidden="1">#REF!</definedName>
    <definedName name="BOC1539440B520473DA12E811B10059737" localSheetId="7" hidden="1">#REF!</definedName>
    <definedName name="BOC1539440B520473DA12E811B10059737" hidden="1">#REF!</definedName>
    <definedName name="BOC1551BDB6A604A389D8A0F74B69203DB" localSheetId="7" hidden="1">#REF!</definedName>
    <definedName name="BOC1551BDB6A604A389D8A0F74B69203DB" hidden="1">#REF!</definedName>
    <definedName name="BOC1784B13329F411297477226660730FA" localSheetId="7" hidden="1">#REF!</definedName>
    <definedName name="BOC1784B13329F411297477226660730FA" hidden="1">#REF!</definedName>
    <definedName name="BOC18828D4DC854519BC2C0447DEE4E2A1" localSheetId="7" hidden="1">#REF!</definedName>
    <definedName name="BOC18828D4DC854519BC2C0447DEE4E2A1" hidden="1">#REF!</definedName>
    <definedName name="BOC1A88BAAFF1D4318B5C925D2CD08F472" localSheetId="7" hidden="1">#REF!</definedName>
    <definedName name="BOC1A88BAAFF1D4318B5C925D2CD08F472" hidden="1">#REF!</definedName>
    <definedName name="BOC1A9B0FCB45F45FDBF8B963C51A176BC" localSheetId="7" hidden="1">#REF!</definedName>
    <definedName name="BOC1A9B0FCB45F45FDBF8B963C51A176BC" hidden="1">#REF!</definedName>
    <definedName name="BOC1C2C9B503A642DDBB388B5388CF6E7B" localSheetId="7" hidden="1">#REF!</definedName>
    <definedName name="BOC1C2C9B503A642DDBB388B5388CF6E7B" hidden="1">#REF!</definedName>
    <definedName name="BOC1CA993744DC4A92B434E603D5614989" localSheetId="7" hidden="1">#REF!</definedName>
    <definedName name="BOC1CA993744DC4A92B434E603D5614989" hidden="1">#REF!</definedName>
    <definedName name="BOC1EE1FE1425449BC9C1CB744013037A8" localSheetId="7" hidden="1">#REF!</definedName>
    <definedName name="BOC1EE1FE1425449BC9C1CB744013037A8" hidden="1">#REF!</definedName>
    <definedName name="BOC20C32AF9EB649F99901ED1577CA2557" localSheetId="7" hidden="1">#REF!</definedName>
    <definedName name="BOC20C32AF9EB649F99901ED1577CA2557" hidden="1">#REF!</definedName>
    <definedName name="BOC25F0BED50714A4BAD4C53BB50B4B1C8" localSheetId="7" hidden="1">#REF!</definedName>
    <definedName name="BOC25F0BED50714A4BAD4C53BB50B4B1C8" hidden="1">#REF!</definedName>
    <definedName name="BOC27623F8BEBD4355B87F823D0E69CF0E" localSheetId="7" hidden="1">#REF!</definedName>
    <definedName name="BOC27623F8BEBD4355B87F823D0E69CF0E" hidden="1">#REF!</definedName>
    <definedName name="BOC29594390AE04EE8B5B4369325DA8F41" localSheetId="7" hidden="1">#REF!</definedName>
    <definedName name="BOC29594390AE04EE8B5B4369325DA8F41" hidden="1">#REF!</definedName>
    <definedName name="BOC29AC8CC35BD41E295E7E8390F185042" localSheetId="7" hidden="1">#REF!</definedName>
    <definedName name="BOC29AC8CC35BD41E295E7E8390F185042" hidden="1">#REF!</definedName>
    <definedName name="BOC29DB12C610F455B8759268EABC720A2" localSheetId="7" hidden="1">#REF!</definedName>
    <definedName name="BOC29DB12C610F455B8759268EABC720A2" hidden="1">#REF!</definedName>
    <definedName name="BOC29ECE0A220B47C39879E7C93DC3337E" localSheetId="7" hidden="1">#REF!</definedName>
    <definedName name="BOC29ECE0A220B47C39879E7C93DC3337E" hidden="1">#REF!</definedName>
    <definedName name="BOC2A438FB6A4C4FEA8D068AB645AF56A1" localSheetId="7" hidden="1">#REF!</definedName>
    <definedName name="BOC2A438FB6A4C4FEA8D068AB645AF56A1" hidden="1">#REF!</definedName>
    <definedName name="BOC2A7526BE5E143A5AD09102DA6EF5E94" localSheetId="7" hidden="1">#REF!</definedName>
    <definedName name="BOC2A7526BE5E143A5AD09102DA6EF5E94" hidden="1">#REF!</definedName>
    <definedName name="BOC2CFE015C7CE4F3DB5CEED4ACD51B78F" localSheetId="7" hidden="1">#REF!</definedName>
    <definedName name="BOC2CFE015C7CE4F3DB5CEED4ACD51B78F" hidden="1">#REF!</definedName>
    <definedName name="BOC2E23476C9964C12A214B3F90DC8FD08" localSheetId="7" hidden="1">#REF!</definedName>
    <definedName name="BOC2E23476C9964C12A214B3F90DC8FD08" hidden="1">#REF!</definedName>
    <definedName name="BOC2F24A52E6E1470F87435FB2B7680302" localSheetId="7" hidden="1">#REF!</definedName>
    <definedName name="BOC2F24A52E6E1470F87435FB2B7680302" hidden="1">#REF!</definedName>
    <definedName name="BOC2F49472C4134C1A97AFC726D417C20F" localSheetId="7" hidden="1">#REF!</definedName>
    <definedName name="BOC2F49472C4134C1A97AFC726D417C20F" hidden="1">#REF!</definedName>
    <definedName name="BOC2FA9B82CDDD4E1A9AB0CA8AA483D147" localSheetId="7" hidden="1">#REF!</definedName>
    <definedName name="BOC2FA9B82CDDD4E1A9AB0CA8AA483D147" hidden="1">#REF!</definedName>
    <definedName name="BOC303FEACB34942EA82DFA5BF61B1FF8E" localSheetId="7" hidden="1">#REF!</definedName>
    <definedName name="BOC303FEACB34942EA82DFA5BF61B1FF8E" hidden="1">#REF!</definedName>
    <definedName name="BOC3154D1D3B3943E896F22C4C4EE4F053" localSheetId="7" hidden="1">#REF!</definedName>
    <definedName name="BOC3154D1D3B3943E896F22C4C4EE4F053" hidden="1">#REF!</definedName>
    <definedName name="BOC315735A4E80433F9FF31AB07A009414" localSheetId="7" hidden="1">#REF!</definedName>
    <definedName name="BOC315735A4E80433F9FF31AB07A009414" hidden="1">#REF!</definedName>
    <definedName name="BOC31AD40CDD6F47B0B2AE40BED7295F17" localSheetId="7" hidden="1">#REF!</definedName>
    <definedName name="BOC31AD40CDD6F47B0B2AE40BED7295F17" hidden="1">#REF!</definedName>
    <definedName name="BOC324B3A0FF6444F9B0786A5EC0E2B80E" localSheetId="7" hidden="1">#REF!</definedName>
    <definedName name="BOC324B3A0FF6444F9B0786A5EC0E2B80E" hidden="1">#REF!</definedName>
    <definedName name="BOC32813E8BDF34DE2B939F75CE472F6E9" localSheetId="7" hidden="1">#REF!</definedName>
    <definedName name="BOC32813E8BDF34DE2B939F75CE472F6E9" hidden="1">#REF!</definedName>
    <definedName name="BOC34BCB9B24C44DD4A38C505E8671CD57" localSheetId="7" hidden="1">#REF!</definedName>
    <definedName name="BOC34BCB9B24C44DD4A38C505E8671CD57" hidden="1">#REF!</definedName>
    <definedName name="BOC3521FE49F0E42F28D3F2FF7E505AD33" localSheetId="7" hidden="1">#REF!</definedName>
    <definedName name="BOC3521FE49F0E42F28D3F2FF7E505AD33" hidden="1">#REF!</definedName>
    <definedName name="BOC35FA4F7F05A41E08476A4D07661F00D" localSheetId="7" hidden="1">#REF!</definedName>
    <definedName name="BOC35FA4F7F05A41E08476A4D07661F00D" hidden="1">#REF!</definedName>
    <definedName name="BOC3619772E93746DDA2ACCE30233AC002" localSheetId="7" hidden="1">#REF!</definedName>
    <definedName name="BOC3619772E93746DDA2ACCE30233AC002" hidden="1">#REF!</definedName>
    <definedName name="BOC367D9FE80C949F081AA5D7A5EBEC3D5" localSheetId="7" hidden="1">#REF!</definedName>
    <definedName name="BOC367D9FE80C949F081AA5D7A5EBEC3D5" hidden="1">#REF!</definedName>
    <definedName name="BOC37E81FCD9C846F9B7808D3427EFA82D" localSheetId="7" hidden="1">#REF!</definedName>
    <definedName name="BOC37E81FCD9C846F9B7808D3427EFA82D" hidden="1">#REF!</definedName>
    <definedName name="BOC38E11DBA38B42A1801CC618A3C23123" localSheetId="7" hidden="1">#REF!</definedName>
    <definedName name="BOC38E11DBA38B42A1801CC618A3C23123" hidden="1">#REF!</definedName>
    <definedName name="BOC39801100A2F489BAD7981A5F9F45CDE" localSheetId="7" hidden="1">#REF!</definedName>
    <definedName name="BOC39801100A2F489BAD7981A5F9F45CDE" hidden="1">#REF!</definedName>
    <definedName name="BOC3A4216C227B406B9411942271417ECE" localSheetId="7" hidden="1">#REF!</definedName>
    <definedName name="BOC3A4216C227B406B9411942271417ECE" hidden="1">#REF!</definedName>
    <definedName name="BOC3FDD371FBC54EEB88BFC06685A1F905" localSheetId="7" hidden="1">#REF!</definedName>
    <definedName name="BOC3FDD371FBC54EEB88BFC06685A1F905" hidden="1">#REF!</definedName>
    <definedName name="BOC40456E4DFFD4DD5A8E66A7CED89F2D5" localSheetId="7" hidden="1">#REF!</definedName>
    <definedName name="BOC40456E4DFFD4DD5A8E66A7CED89F2D5" hidden="1">#REF!</definedName>
    <definedName name="BOC4246B522AA74DAC87B5B3962F4D1114" localSheetId="7" hidden="1">#REF!</definedName>
    <definedName name="BOC4246B522AA74DAC87B5B3962F4D1114" hidden="1">#REF!</definedName>
    <definedName name="BOC42974A676B14C5EA30579CBB3763614" localSheetId="7" hidden="1">#REF!</definedName>
    <definedName name="BOC42974A676B14C5EA30579CBB3763614" hidden="1">#REF!</definedName>
    <definedName name="BOC432A2DE38BB4D79A585A303499AC0C0" localSheetId="7" hidden="1">#REF!</definedName>
    <definedName name="BOC432A2DE38BB4D79A585A303499AC0C0" hidden="1">#REF!</definedName>
    <definedName name="BOC43C82C47AEC4DB0B99CBD1C7488D376" localSheetId="7" hidden="1">#REF!</definedName>
    <definedName name="BOC43C82C47AEC4DB0B99CBD1C7488D376" hidden="1">#REF!</definedName>
    <definedName name="BOC44A1FE699B74EE4B89747E3EBFB18CF" localSheetId="7" hidden="1">#REF!</definedName>
    <definedName name="BOC44A1FE699B74EE4B89747E3EBFB18CF" hidden="1">#REF!</definedName>
    <definedName name="BOC45491B17AE644948ACC99E3C63E06B4" localSheetId="7" hidden="1">#REF!</definedName>
    <definedName name="BOC45491B17AE644948ACC99E3C63E06B4" hidden="1">#REF!</definedName>
    <definedName name="BOC45C35992026484DB0C7A4D5972D7DD0" localSheetId="7" hidden="1">#REF!</definedName>
    <definedName name="BOC45C35992026484DB0C7A4D5972D7DD0" hidden="1">#REF!</definedName>
    <definedName name="BOC47E1C1683D0490E8562ACF74D7F6666" localSheetId="7" hidden="1">#REF!</definedName>
    <definedName name="BOC47E1C1683D0490E8562ACF74D7F6666" hidden="1">#REF!</definedName>
    <definedName name="BOC47FE2CE13614A6789F42917FA41F752" localSheetId="7" hidden="1">#REF!</definedName>
    <definedName name="BOC47FE2CE13614A6789F42917FA41F752" hidden="1">#REF!</definedName>
    <definedName name="BOC4806BB2869F47C5949207301C074802" localSheetId="7" hidden="1">#REF!</definedName>
    <definedName name="BOC4806BB2869F47C5949207301C074802" hidden="1">#REF!</definedName>
    <definedName name="BOC4A92C33BEBC413CA06C71E315C06313" localSheetId="7" hidden="1">#REF!</definedName>
    <definedName name="BOC4A92C33BEBC413CA06C71E315C06313" hidden="1">#REF!</definedName>
    <definedName name="BOC4AE99CC76A046A884C091D1EB6B7414" localSheetId="7" hidden="1">#REF!</definedName>
    <definedName name="BOC4AE99CC76A046A884C091D1EB6B7414" hidden="1">#REF!</definedName>
    <definedName name="BOC4AFE6470E2840EBB2E5E9A2BDAD6974" localSheetId="7" hidden="1">#REF!</definedName>
    <definedName name="BOC4AFE6470E2840EBB2E5E9A2BDAD6974" hidden="1">#REF!</definedName>
    <definedName name="BOC4B585A43B8C456C868C4B784F2A279A" localSheetId="7" hidden="1">#REF!</definedName>
    <definedName name="BOC4B585A43B8C456C868C4B784F2A279A" hidden="1">#REF!</definedName>
    <definedName name="BOC4D945102AB544F98693B409D84B3870" localSheetId="7" hidden="1">#REF!</definedName>
    <definedName name="BOC4D945102AB544F98693B409D84B3870" hidden="1">#REF!</definedName>
    <definedName name="BOC4DABBAADAC042C98329B34CB487F1D8" localSheetId="7" hidden="1">#REF!</definedName>
    <definedName name="BOC4DABBAADAC042C98329B34CB487F1D8" hidden="1">#REF!</definedName>
    <definedName name="BOC4E82EAB0D714891B15AD48461852AE2" localSheetId="7" hidden="1">#REF!</definedName>
    <definedName name="BOC4E82EAB0D714891B15AD48461852AE2" hidden="1">#REF!</definedName>
    <definedName name="BOC4EE34C40D8F4174A99F16CE764D0B4C" localSheetId="7" hidden="1">#REF!</definedName>
    <definedName name="BOC4EE34C40D8F4174A99F16CE764D0B4C" hidden="1">#REF!</definedName>
    <definedName name="BOC5097263205140BC896B549514FC39AD" localSheetId="7" hidden="1">#REF!</definedName>
    <definedName name="BOC5097263205140BC896B549514FC39AD" hidden="1">#REF!</definedName>
    <definedName name="BOC50BB646295A4618887ED9999D5C7323" localSheetId="7" hidden="1">#REF!</definedName>
    <definedName name="BOC50BB646295A4618887ED9999D5C7323" hidden="1">#REF!</definedName>
    <definedName name="BOC50D2EA5121E41C68FB8CE4F46636370" localSheetId="7" hidden="1">#REF!</definedName>
    <definedName name="BOC50D2EA5121E41C68FB8CE4F46636370" hidden="1">#REF!</definedName>
    <definedName name="BOC521BB511BDB473FB158EBCFCB2F0C69" localSheetId="7" hidden="1">#REF!</definedName>
    <definedName name="BOC521BB511BDB473FB158EBCFCB2F0C69" hidden="1">#REF!</definedName>
    <definedName name="BOC548665DC46C41B59734572C50FA31C3" localSheetId="7" hidden="1">#REF!</definedName>
    <definedName name="BOC548665DC46C41B59734572C50FA31C3" hidden="1">#REF!</definedName>
    <definedName name="BOC54ADBAF5FC7486B9EAF70C120439AAF" localSheetId="7" hidden="1">#REF!</definedName>
    <definedName name="BOC54ADBAF5FC7486B9EAF70C120439AAF" hidden="1">#REF!</definedName>
    <definedName name="BOC54FD1ABAB0142F082A930A908CF7584" localSheetId="7" hidden="1">#REF!</definedName>
    <definedName name="BOC54FD1ABAB0142F082A930A908CF7584" hidden="1">#REF!</definedName>
    <definedName name="BOC551D79366334E82AE629F5614260FB1" localSheetId="7" hidden="1">#REF!</definedName>
    <definedName name="BOC551D79366334E82AE629F5614260FB1" hidden="1">#REF!</definedName>
    <definedName name="BOC571F35F1B614E8FAB4F03B2DF6E4785" localSheetId="7" hidden="1">#REF!</definedName>
    <definedName name="BOC571F35F1B614E8FAB4F03B2DF6E4785" hidden="1">#REF!</definedName>
    <definedName name="BOC57FCE59C0E14DE39CF955F12D03F506" localSheetId="7" hidden="1">#REF!</definedName>
    <definedName name="BOC57FCE59C0E14DE39CF955F12D03F506" hidden="1">#REF!</definedName>
    <definedName name="BOC5A0D6CAB67B47D39EBF19C09E1AF54C" localSheetId="7" hidden="1">#REF!</definedName>
    <definedName name="BOC5A0D6CAB67B47D39EBF19C09E1AF54C" hidden="1">#REF!</definedName>
    <definedName name="BOC5A59211424643C78E930C16DF095F48" localSheetId="7" hidden="1">#REF!</definedName>
    <definedName name="BOC5A59211424643C78E930C16DF095F48" hidden="1">#REF!</definedName>
    <definedName name="BOC5DC3AFE24044BF09961A97B79AAE5EA" localSheetId="7" hidden="1">#REF!</definedName>
    <definedName name="BOC5DC3AFE24044BF09961A97B79AAE5EA" hidden="1">#REF!</definedName>
    <definedName name="BOC5E85909017A4F1DBBBC0F108B5DFCF3" localSheetId="7" hidden="1">#REF!</definedName>
    <definedName name="BOC5E85909017A4F1DBBBC0F108B5DFCF3" hidden="1">#REF!</definedName>
    <definedName name="BOC5F8D67F87474339B5B2CE9C76C22E79" localSheetId="7" hidden="1">#REF!</definedName>
    <definedName name="BOC5F8D67F87474339B5B2CE9C76C22E79" hidden="1">#REF!</definedName>
    <definedName name="BOC60AFE0780AF4558B86622894E971E31" localSheetId="7" hidden="1">#REF!</definedName>
    <definedName name="BOC60AFE0780AF4558B86622894E971E31" hidden="1">#REF!</definedName>
    <definedName name="BOC60ED7C5F74E40E0BF7A8920772E226E" localSheetId="7" hidden="1">#REF!</definedName>
    <definedName name="BOC60ED7C5F74E40E0BF7A8920772E226E" hidden="1">#REF!</definedName>
    <definedName name="BOC6141F14B6284390A1B5E3676CE28E79" localSheetId="7" hidden="1">#REF!</definedName>
    <definedName name="BOC6141F14B6284390A1B5E3676CE28E79" hidden="1">#REF!</definedName>
    <definedName name="BOC6366A28FA8F4AEFB8F9C2D6848CEF74" localSheetId="7" hidden="1">#REF!</definedName>
    <definedName name="BOC6366A28FA8F4AEFB8F9C2D6848CEF74" hidden="1">#REF!</definedName>
    <definedName name="BOC649CC2CF6AF4449A12100789D44D1F1" localSheetId="7" hidden="1">#REF!</definedName>
    <definedName name="BOC649CC2CF6AF4449A12100789D44D1F1" hidden="1">#REF!</definedName>
    <definedName name="BOC662DDADFA9D4C508FD70CB2A5855D9A" localSheetId="7" hidden="1">#REF!</definedName>
    <definedName name="BOC662DDADFA9D4C508FD70CB2A5855D9A" hidden="1">#REF!</definedName>
    <definedName name="BOC6798D786C1D44FF9630803C7EA399E8" localSheetId="7" hidden="1">#REF!</definedName>
    <definedName name="BOC6798D786C1D44FF9630803C7EA399E8" hidden="1">#REF!</definedName>
    <definedName name="BOC6A6D2ED3406474089CFED8A5C524FA3" localSheetId="7" hidden="1">#REF!</definedName>
    <definedName name="BOC6A6D2ED3406474089CFED8A5C524FA3" hidden="1">#REF!</definedName>
    <definedName name="BOC6B7B04C033D40EDA15577D2049EF493" localSheetId="7" hidden="1">#REF!</definedName>
    <definedName name="BOC6B7B04C033D40EDA15577D2049EF493" hidden="1">#REF!</definedName>
    <definedName name="BOC6BD7A19BDC64827A297ED7D3C0BC42F" localSheetId="7" hidden="1">#REF!</definedName>
    <definedName name="BOC6BD7A19BDC64827A297ED7D3C0BC42F" hidden="1">#REF!</definedName>
    <definedName name="BOC70447FAD3B54FA781FA88805346C75E" localSheetId="7" hidden="1">#REF!</definedName>
    <definedName name="BOC70447FAD3B54FA781FA88805346C75E" hidden="1">#REF!</definedName>
    <definedName name="BOC712B36FD12948A08C14D79025DDFD06" localSheetId="7" hidden="1">#REF!</definedName>
    <definedName name="BOC712B36FD12948A08C14D79025DDFD06" hidden="1">#REF!</definedName>
    <definedName name="BOC718D5B8CEC042CD9EE2F5384DF36CC4" localSheetId="7" hidden="1">#REF!</definedName>
    <definedName name="BOC718D5B8CEC042CD9EE2F5384DF36CC4" hidden="1">#REF!</definedName>
    <definedName name="BOC722ECDDCF3E4038B975D205FBDD7590" localSheetId="7" hidden="1">#REF!</definedName>
    <definedName name="BOC722ECDDCF3E4038B975D205FBDD7590" hidden="1">#REF!</definedName>
    <definedName name="BOC72F369AEE4A442294F0FBE8A740E35A" localSheetId="7" hidden="1">#REF!</definedName>
    <definedName name="BOC72F369AEE4A442294F0FBE8A740E35A" hidden="1">#REF!</definedName>
    <definedName name="BOC7467619FBCC4F4584C06511A7E01A12" localSheetId="7" hidden="1">#REF!</definedName>
    <definedName name="BOC7467619FBCC4F4584C06511A7E01A12" hidden="1">#REF!</definedName>
    <definedName name="BOC74D2CBAD51F43729F4A535C2284C912" localSheetId="7" hidden="1">#REF!</definedName>
    <definedName name="BOC74D2CBAD51F43729F4A535C2284C912" hidden="1">#REF!</definedName>
    <definedName name="BOC76312064DDF41F5BB43E7E4611B593E" localSheetId="7" hidden="1">#REF!</definedName>
    <definedName name="BOC76312064DDF41F5BB43E7E4611B593E" hidden="1">#REF!</definedName>
    <definedName name="BOC77AAE34A3B043918FD5D601292CA941" localSheetId="7" hidden="1">#REF!</definedName>
    <definedName name="BOC77AAE34A3B043918FD5D601292CA941" hidden="1">#REF!</definedName>
    <definedName name="BOC78F7247FF0049339A4672C5E22837DE" localSheetId="7" hidden="1">#REF!</definedName>
    <definedName name="BOC78F7247FF0049339A4672C5E22837DE" hidden="1">#REF!</definedName>
    <definedName name="BOC79A3BF1BCB84D9C8E6436475313C302" localSheetId="7" hidden="1">#REF!</definedName>
    <definedName name="BOC79A3BF1BCB84D9C8E6436475313C302" hidden="1">#REF!</definedName>
    <definedName name="BOC7A60730D4C142B58C2FE16571CB7F82" localSheetId="7" hidden="1">#REF!</definedName>
    <definedName name="BOC7A60730D4C142B58C2FE16571CB7F82" hidden="1">#REF!</definedName>
    <definedName name="BOC7B9F29F18074C178C027E62841B1AF1" localSheetId="7" hidden="1">#REF!</definedName>
    <definedName name="BOC7B9F29F18074C178C027E62841B1AF1" hidden="1">#REF!</definedName>
    <definedName name="BOC7E44841A12E4B45B0DC5619C9DFFF93" localSheetId="7" hidden="1">#REF!</definedName>
    <definedName name="BOC7E44841A12E4B45B0DC5619C9DFFF93" hidden="1">#REF!</definedName>
    <definedName name="BOC7E9C2D539CD4C8B9C86F4311B05F256" localSheetId="7" hidden="1">#REF!</definedName>
    <definedName name="BOC7E9C2D539CD4C8B9C86F4311B05F256" hidden="1">#REF!</definedName>
    <definedName name="BOC80B339F13D14610BE026C3FF23326C1" localSheetId="7" hidden="1">#REF!</definedName>
    <definedName name="BOC80B339F13D14610BE026C3FF23326C1" hidden="1">#REF!</definedName>
    <definedName name="BOC835672E74574E22A8B69F19348BEAFA" localSheetId="7" hidden="1">#REF!</definedName>
    <definedName name="BOC835672E74574E22A8B69F19348BEAFA" hidden="1">#REF!</definedName>
    <definedName name="BOC846CF4AA01345B8ADEB588E68E71F59" localSheetId="7" hidden="1">#REF!</definedName>
    <definedName name="BOC846CF4AA01345B8ADEB588E68E71F59" hidden="1">#REF!</definedName>
    <definedName name="BOC846F46005F342E1A5CEC236A5DC17A1" localSheetId="7" hidden="1">#REF!</definedName>
    <definedName name="BOC846F46005F342E1A5CEC236A5DC17A1" hidden="1">#REF!</definedName>
    <definedName name="BOC85E41D78B9F4E1EAA8BF1117ED32ED5" localSheetId="7" hidden="1">#REF!</definedName>
    <definedName name="BOC85E41D78B9F4E1EAA8BF1117ED32ED5" hidden="1">#REF!</definedName>
    <definedName name="BOC862F2775A294E719BF577E7725EF5B2" localSheetId="7" hidden="1">#REF!</definedName>
    <definedName name="BOC862F2775A294E719BF577E7725EF5B2" hidden="1">#REF!</definedName>
    <definedName name="BOC87F1B072D4448BAACD90FFB95A092C3" localSheetId="7" hidden="1">#REF!</definedName>
    <definedName name="BOC87F1B072D4448BAACD90FFB95A092C3" hidden="1">#REF!</definedName>
    <definedName name="BOC89AD8F0DAD2425791152E85842B4409" localSheetId="7" hidden="1">#REF!</definedName>
    <definedName name="BOC89AD8F0DAD2425791152E85842B4409" hidden="1">#REF!</definedName>
    <definedName name="BOC89C794E066C411FBC2CFD1C3D01D013" localSheetId="7" hidden="1">#REF!</definedName>
    <definedName name="BOC89C794E066C411FBC2CFD1C3D01D013" hidden="1">#REF!</definedName>
    <definedName name="BOC8A31ED5280A4A49B5D6706B0E16CDED" localSheetId="7" hidden="1">#REF!</definedName>
    <definedName name="BOC8A31ED5280A4A49B5D6706B0E16CDED" hidden="1">#REF!</definedName>
    <definedName name="BOC8B1D304B8A644288996F9DDFC497768" localSheetId="7" hidden="1">#REF!</definedName>
    <definedName name="BOC8B1D304B8A644288996F9DDFC497768" hidden="1">#REF!</definedName>
    <definedName name="BOC8C8A655DC95429ABF5807A4E06E5941" localSheetId="7" hidden="1">#REF!</definedName>
    <definedName name="BOC8C8A655DC95429ABF5807A4E06E5941" hidden="1">#REF!</definedName>
    <definedName name="BOC8CE0D383FFA449A8B3B5F4030DD1202" localSheetId="7" hidden="1">#REF!</definedName>
    <definedName name="BOC8CE0D383FFA449A8B3B5F4030DD1202" hidden="1">#REF!</definedName>
    <definedName name="BOC8EE9AF7B4EE49C38D48937DC9DD903A" localSheetId="7" hidden="1">#REF!</definedName>
    <definedName name="BOC8EE9AF7B4EE49C38D48937DC9DD903A" hidden="1">#REF!</definedName>
    <definedName name="BOC91846D9720D482C996A8DA529AA17F7" localSheetId="7" hidden="1">#REF!</definedName>
    <definedName name="BOC91846D9720D482C996A8DA529AA17F7" hidden="1">#REF!</definedName>
    <definedName name="BOC925251023C347A9AEC79647829D2722" localSheetId="7" hidden="1">#REF!</definedName>
    <definedName name="BOC925251023C347A9AEC79647829D2722" hidden="1">#REF!</definedName>
    <definedName name="BOC93DB641D27548D38BD9B69163B65948" localSheetId="7" hidden="1">#REF!</definedName>
    <definedName name="BOC93DB641D27548D38BD9B69163B65948" hidden="1">#REF!</definedName>
    <definedName name="BOC94D390F56534E8A9A0C5F57FDF6D061" localSheetId="7" hidden="1">#REF!</definedName>
    <definedName name="BOC94D390F56534E8A9A0C5F57FDF6D061" hidden="1">#REF!</definedName>
    <definedName name="BOC94F7404C9B243A3AA6518E8A6681EB6" localSheetId="7" hidden="1">#REF!</definedName>
    <definedName name="BOC94F7404C9B243A3AA6518E8A6681EB6" hidden="1">#REF!</definedName>
    <definedName name="BOC966CA2BF66E4EE388B498C4AAAEC9A4" localSheetId="7" hidden="1">#REF!</definedName>
    <definedName name="BOC966CA2BF66E4EE388B498C4AAAEC9A4" hidden="1">#REF!</definedName>
    <definedName name="BOC96F1FDA04AB4E25B16FC592E5006834" localSheetId="7" hidden="1">#REF!</definedName>
    <definedName name="BOC96F1FDA04AB4E25B16FC592E5006834" hidden="1">#REF!</definedName>
    <definedName name="BOC97D2F5C4D154C7AA58B4364963D8FBD" localSheetId="7" hidden="1">#REF!</definedName>
    <definedName name="BOC97D2F5C4D154C7AA58B4364963D8FBD" hidden="1">#REF!</definedName>
    <definedName name="BOC988EACDBE1F49ABA6E6FC5DDA92E141" localSheetId="7" hidden="1">#REF!</definedName>
    <definedName name="BOC988EACDBE1F49ABA6E6FC5DDA92E141" hidden="1">#REF!</definedName>
    <definedName name="BOC9C4F42613B148E5B7CDA9645496B10B" localSheetId="7" hidden="1">#REF!</definedName>
    <definedName name="BOC9C4F42613B148E5B7CDA9645496B10B" hidden="1">#REF!</definedName>
    <definedName name="BOC9C90B6554BD46BDBADD2ED0D8E53E29" localSheetId="7" hidden="1">#REF!</definedName>
    <definedName name="BOC9C90B6554BD46BDBADD2ED0D8E53E29" hidden="1">#REF!</definedName>
    <definedName name="BOC9E0C22145CA4D7480433C15C9419883" localSheetId="7" hidden="1">#REF!</definedName>
    <definedName name="BOC9E0C22145CA4D7480433C15C9419883" hidden="1">#REF!</definedName>
    <definedName name="BOCA0F4444A3B94F17869B59E758EBF840" localSheetId="7" hidden="1">#REF!</definedName>
    <definedName name="BOCA0F4444A3B94F17869B59E758EBF840" hidden="1">#REF!</definedName>
    <definedName name="BOCA2069E055E74E92951ABFD6543B0D89" localSheetId="7" hidden="1">#REF!</definedName>
    <definedName name="BOCA2069E055E74E92951ABFD6543B0D89" hidden="1">#REF!</definedName>
    <definedName name="BOCA26173544F24D43A30272E73205E6D5" localSheetId="7" hidden="1">#REF!</definedName>
    <definedName name="BOCA26173544F24D43A30272E73205E6D5" hidden="1">#REF!</definedName>
    <definedName name="BOCA37BB2928364FA080A704D9B6935A38" localSheetId="7" hidden="1">#REF!</definedName>
    <definedName name="BOCA37BB2928364FA080A704D9B6935A38" hidden="1">#REF!</definedName>
    <definedName name="BOCA420E974B2849B9962D5657CFDBAD92" localSheetId="7" hidden="1">#REF!</definedName>
    <definedName name="BOCA420E974B2849B9962D5657CFDBAD92" hidden="1">#REF!</definedName>
    <definedName name="BOCA70BACB5CB743EB8218BB731C77008A" localSheetId="7" hidden="1">#REF!</definedName>
    <definedName name="BOCA70BACB5CB743EB8218BB731C77008A" hidden="1">#REF!</definedName>
    <definedName name="BOCA747CF4AD9B4C42981EEC98A3E7FF45" localSheetId="7" hidden="1">#REF!</definedName>
    <definedName name="BOCA747CF4AD9B4C42981EEC98A3E7FF45" hidden="1">#REF!</definedName>
    <definedName name="BOCA78C32A61EE418793004AF172A4482C" localSheetId="7" hidden="1">#REF!</definedName>
    <definedName name="BOCA78C32A61EE418793004AF172A4482C" hidden="1">#REF!</definedName>
    <definedName name="BOCA88092B5F5A4DA28F14AB41CDB543C6" localSheetId="7" hidden="1">#REF!</definedName>
    <definedName name="BOCA88092B5F5A4DA28F14AB41CDB543C6" hidden="1">#REF!</definedName>
    <definedName name="BOCA949207E96C4EB7815ACDAB983FB530" localSheetId="7" hidden="1">#REF!</definedName>
    <definedName name="BOCA949207E96C4EB7815ACDAB983FB530" hidden="1">#REF!</definedName>
    <definedName name="BOCA9C05683F244FF98165DEA2B3D3C9E4" localSheetId="7" hidden="1">#REF!</definedName>
    <definedName name="BOCA9C05683F244FF98165DEA2B3D3C9E4" hidden="1">#REF!</definedName>
    <definedName name="BOCABB7573B2DE454B95A4A6D2EE85F895" localSheetId="7" hidden="1">#REF!</definedName>
    <definedName name="BOCABB7573B2DE454B95A4A6D2EE85F895" hidden="1">#REF!</definedName>
    <definedName name="BOCADD34512ACA4ACDAB9C793499F0DC29" localSheetId="7" hidden="1">#REF!</definedName>
    <definedName name="BOCADD34512ACA4ACDAB9C793499F0DC29" hidden="1">#REF!</definedName>
    <definedName name="BOCAE2983CE5BF411C913BDF42F691E86A" localSheetId="7" hidden="1">#REF!</definedName>
    <definedName name="BOCAE2983CE5BF411C913BDF42F691E86A" hidden="1">#REF!</definedName>
    <definedName name="BOCB1DDFD5C78F495798375537F7E4F144" localSheetId="7" hidden="1">#REF!</definedName>
    <definedName name="BOCB1DDFD5C78F495798375537F7E4F144" hidden="1">#REF!</definedName>
    <definedName name="BOCB64600ABD744F4E9BF49E8E48B22475" localSheetId="7" hidden="1">#REF!</definedName>
    <definedName name="BOCB64600ABD744F4E9BF49E8E48B22475" hidden="1">#REF!</definedName>
    <definedName name="BOCB83382EA45E49C9AA6A5735F4A999B2" localSheetId="7" hidden="1">#REF!</definedName>
    <definedName name="BOCB83382EA45E49C9AA6A5735F4A999B2" hidden="1">#REF!</definedName>
    <definedName name="BOCB8C31CBA64C48F0A1FD30F20D1334D8" localSheetId="7" hidden="1">#REF!</definedName>
    <definedName name="BOCB8C31CBA64C48F0A1FD30F20D1334D8" hidden="1">#REF!</definedName>
    <definedName name="BOCBABF145876446EE8F4E470BBBF8473E" localSheetId="7" hidden="1">#REF!</definedName>
    <definedName name="BOCBABF145876446EE8F4E470BBBF8473E" hidden="1">#REF!</definedName>
    <definedName name="BOCBD34E60E6AA457CA961A8A9CA00217A" localSheetId="7" hidden="1">#REF!</definedName>
    <definedName name="BOCBD34E60E6AA457CA961A8A9CA00217A" hidden="1">#REF!</definedName>
    <definedName name="BOCBEE9069E2AC44DFB651887692F146B8" localSheetId="7" hidden="1">#REF!</definedName>
    <definedName name="BOCBEE9069E2AC44DFB651887692F146B8" hidden="1">#REF!</definedName>
    <definedName name="BOCBF8C129E5374BD391DB4ACEE50A1990" localSheetId="7" hidden="1">#REF!</definedName>
    <definedName name="BOCBF8C129E5374BD391DB4ACEE50A1990" hidden="1">#REF!</definedName>
    <definedName name="BOCBF91FE7A6F04463B679517227837CAF" localSheetId="7" hidden="1">#REF!</definedName>
    <definedName name="BOCBF91FE7A6F04463B679517227837CAF" hidden="1">#REF!</definedName>
    <definedName name="BOCBFF6E4CD8F149D0BD969B0BA5E3C436" localSheetId="7" hidden="1">#REF!</definedName>
    <definedName name="BOCBFF6E4CD8F149D0BD969B0BA5E3C436" hidden="1">#REF!</definedName>
    <definedName name="BOCC00B7A2A65D4E469C31812A6139C465" localSheetId="7" hidden="1">#REF!</definedName>
    <definedName name="BOCC00B7A2A65D4E469C31812A6139C465" hidden="1">#REF!</definedName>
    <definedName name="BOCC0193B75B5D47F2977AD30935D5C692" localSheetId="7" hidden="1">#REF!</definedName>
    <definedName name="BOCC0193B75B5D47F2977AD30935D5C692" hidden="1">#REF!</definedName>
    <definedName name="BOCC0B5F002C4D474A89EBE6DAA86C82C1" localSheetId="7" hidden="1">#REF!</definedName>
    <definedName name="BOCC0B5F002C4D474A89EBE6DAA86C82C1" hidden="1">#REF!</definedName>
    <definedName name="BOCC0DB8C0C4E64F03ABB86A6300CBA31A" localSheetId="7" hidden="1">#REF!</definedName>
    <definedName name="BOCC0DB8C0C4E64F03ABB86A6300CBA31A" hidden="1">#REF!</definedName>
    <definedName name="BOCC1073A5C7304E24A629187E0DE33586" localSheetId="7" hidden="1">#REF!</definedName>
    <definedName name="BOCC1073A5C7304E24A629187E0DE33586" hidden="1">#REF!</definedName>
    <definedName name="BOCC13A66930E54975951F36C09344494B" localSheetId="7" hidden="1">#REF!</definedName>
    <definedName name="BOCC13A66930E54975951F36C09344494B" hidden="1">#REF!</definedName>
    <definedName name="BOCC17A104D1EE433FA48AF4647ED5598A" localSheetId="7" hidden="1">#REF!</definedName>
    <definedName name="BOCC17A104D1EE433FA48AF4647ED5598A" hidden="1">#REF!</definedName>
    <definedName name="BOCC1B942872DD47098B67EA877536332D" localSheetId="7" hidden="1">#REF!</definedName>
    <definedName name="BOCC1B942872DD47098B67EA877536332D" hidden="1">#REF!</definedName>
    <definedName name="BOCC292C0E6F7342308E5FDCCE81477B68" localSheetId="7" hidden="1">#REF!</definedName>
    <definedName name="BOCC292C0E6F7342308E5FDCCE81477B68" hidden="1">#REF!</definedName>
    <definedName name="BOCC337EF23BD9489C963DB92A1203D567" localSheetId="7" hidden="1">#REF!</definedName>
    <definedName name="BOCC337EF23BD9489C963DB92A1203D567" hidden="1">#REF!</definedName>
    <definedName name="BOCC4361344AA848038648692392314127" localSheetId="7" hidden="1">#REF!</definedName>
    <definedName name="BOCC4361344AA848038648692392314127" hidden="1">#REF!</definedName>
    <definedName name="BOCC5029A639754D12A9FA3A3AC477FDCB" localSheetId="7" hidden="1">#REF!</definedName>
    <definedName name="BOCC5029A639754D12A9FA3A3AC477FDCB" hidden="1">#REF!</definedName>
    <definedName name="BOCC518E763C334DFBA1B0A78C07D733EB" localSheetId="7" hidden="1">#REF!</definedName>
    <definedName name="BOCC518E763C334DFBA1B0A78C07D733EB" hidden="1">#REF!</definedName>
    <definedName name="BOCC5457DFB7FC48A4ABBC020404353359" localSheetId="7" hidden="1">#REF!</definedName>
    <definedName name="BOCC5457DFB7FC48A4ABBC020404353359" hidden="1">#REF!</definedName>
    <definedName name="BOCC6E7F5CE213484EA4D2FE1519B3E662" localSheetId="7" hidden="1">#REF!</definedName>
    <definedName name="BOCC6E7F5CE213484EA4D2FE1519B3E662" hidden="1">#REF!</definedName>
    <definedName name="BOCC7F2ECC59F84BA68D6A4AA647E2A081" localSheetId="7" hidden="1">#REF!</definedName>
    <definedName name="BOCC7F2ECC59F84BA68D6A4AA647E2A081" hidden="1">#REF!</definedName>
    <definedName name="BOCC9627A5B5BD454DB2C1BFD7013E9C23" localSheetId="7" hidden="1">#REF!</definedName>
    <definedName name="BOCC9627A5B5BD454DB2C1BFD7013E9C23" hidden="1">#REF!</definedName>
    <definedName name="BOCC99DCCA2C17425D841731E3656713ED" localSheetId="7" hidden="1">#REF!</definedName>
    <definedName name="BOCC99DCCA2C17425D841731E3656713ED" hidden="1">#REF!</definedName>
    <definedName name="BOCC9DCEE260044D21960A7669564F9BFB" localSheetId="7" hidden="1">#REF!</definedName>
    <definedName name="BOCC9DCEE260044D21960A7669564F9BFB" hidden="1">#REF!</definedName>
    <definedName name="BOCCDFB441F8184FDD873D3520738B35B5" localSheetId="7" hidden="1">#REF!</definedName>
    <definedName name="BOCCDFB441F8184FDD873D3520738B35B5" hidden="1">#REF!</definedName>
    <definedName name="BOCCE67B40A35A4E80A501E8B6A1BFD8C6" localSheetId="7" hidden="1">#REF!</definedName>
    <definedName name="BOCCE67B40A35A4E80A501E8B6A1BFD8C6" hidden="1">#REF!</definedName>
    <definedName name="BOCD096BEBFAC14955B919A450D658602C" localSheetId="7" hidden="1">#REF!</definedName>
    <definedName name="BOCD096BEBFAC14955B919A450D658602C" hidden="1">#REF!</definedName>
    <definedName name="BOCD183516A4FA41CF91B5A301E63934D9" localSheetId="7" hidden="1">#REF!</definedName>
    <definedName name="BOCD183516A4FA41CF91B5A301E63934D9" hidden="1">#REF!</definedName>
    <definedName name="BOCD2628B3DDEF4610BC8CF531D85A57EC" localSheetId="7" hidden="1">#REF!</definedName>
    <definedName name="BOCD2628B3DDEF4610BC8CF531D85A57EC" hidden="1">#REF!</definedName>
    <definedName name="BOCD5BAC9B074E4B468FDD9AB6322E1217" localSheetId="7" hidden="1">#REF!</definedName>
    <definedName name="BOCD5BAC9B074E4B468FDD9AB6322E1217" hidden="1">#REF!</definedName>
    <definedName name="BOCD893AE46A424471A06FADED43CFC3CB" localSheetId="7" hidden="1">#REF!</definedName>
    <definedName name="BOCD893AE46A424471A06FADED43CFC3CB" hidden="1">#REF!</definedName>
    <definedName name="BOCD8FE4111004468AA5BA927E893BB6DF" localSheetId="7" hidden="1">#REF!</definedName>
    <definedName name="BOCD8FE4111004468AA5BA927E893BB6DF" hidden="1">#REF!</definedName>
    <definedName name="BOCDC48B331AF74CE8AFB6992C51614A0E" localSheetId="7" hidden="1">#REF!</definedName>
    <definedName name="BOCDC48B331AF74CE8AFB6992C51614A0E" hidden="1">#REF!</definedName>
    <definedName name="BOCDD7D5D8C6C04A5E844F5D2B8D73A3D2" localSheetId="7" hidden="1">#REF!</definedName>
    <definedName name="BOCDD7D5D8C6C04A5E844F5D2B8D73A3D2" hidden="1">#REF!</definedName>
    <definedName name="BOCDDEA6242F4C48D2A71E567C8FB9D47F" localSheetId="7" hidden="1">#REF!</definedName>
    <definedName name="BOCDDEA6242F4C48D2A71E567C8FB9D47F" hidden="1">#REF!</definedName>
    <definedName name="BOCDE67EAC5E6F425183EE242FE6A2EE5C" localSheetId="7" hidden="1">#REF!</definedName>
    <definedName name="BOCDE67EAC5E6F425183EE242FE6A2EE5C" hidden="1">#REF!</definedName>
    <definedName name="BOCDE70D414FAD4589B74F3823E106CAB1" localSheetId="7" hidden="1">#REF!</definedName>
    <definedName name="BOCDE70D414FAD4589B74F3823E106CAB1" hidden="1">#REF!</definedName>
    <definedName name="BOCDE8A918D3F3479BBE076D24FFDE6B8B" localSheetId="7" hidden="1">#REF!</definedName>
    <definedName name="BOCDE8A918D3F3479BBE076D24FFDE6B8B" hidden="1">#REF!</definedName>
    <definedName name="BOCDEA5480E9884A6B9494273271172FB8" localSheetId="7" hidden="1">#REF!</definedName>
    <definedName name="BOCDEA5480E9884A6B9494273271172FB8" hidden="1">#REF!</definedName>
    <definedName name="BOCE22C2B44C544F05BCBE740FE5E2FBDD" localSheetId="7" hidden="1">#REF!</definedName>
    <definedName name="BOCE22C2B44C544F05BCBE740FE5E2FBDD" hidden="1">#REF!</definedName>
    <definedName name="BOCE2EB3526279437EB6BCC0A209FC2826" localSheetId="7" hidden="1">#REF!</definedName>
    <definedName name="BOCE2EB3526279437EB6BCC0A209FC2826" hidden="1">#REF!</definedName>
    <definedName name="BOCE3059B1E9634036B09C52CCF91D34AB" localSheetId="7" hidden="1">#REF!</definedName>
    <definedName name="BOCE3059B1E9634036B09C52CCF91D34AB" hidden="1">#REF!</definedName>
    <definedName name="BOCE3FFC92390E426AA27940C9DB66A6A4" localSheetId="7" hidden="1">#REF!</definedName>
    <definedName name="BOCE3FFC92390E426AA27940C9DB66A6A4" hidden="1">#REF!</definedName>
    <definedName name="BOCE4B3F6481B641CBB9ABEF1B46EB8B23" localSheetId="7" hidden="1">#REF!</definedName>
    <definedName name="BOCE4B3F6481B641CBB9ABEF1B46EB8B23" hidden="1">#REF!</definedName>
    <definedName name="BOCE4C3984BA0C487180E09F632079ABEC" localSheetId="7" hidden="1">#REF!</definedName>
    <definedName name="BOCE4C3984BA0C487180E09F632079ABEC" hidden="1">#REF!</definedName>
    <definedName name="BOCE58B1BB4D4946079E2B89FBCB3E1A53" localSheetId="7" hidden="1">#REF!</definedName>
    <definedName name="BOCE58B1BB4D4946079E2B89FBCB3E1A53" hidden="1">#REF!</definedName>
    <definedName name="BOCE6A7684D19741BA8403AA8D71D510FD" localSheetId="7" hidden="1">#REF!</definedName>
    <definedName name="BOCE6A7684D19741BA8403AA8D71D510FD" hidden="1">#REF!</definedName>
    <definedName name="BOCE719906CAE84AEA81AD459E28F5ABE6" localSheetId="7" hidden="1">#REF!</definedName>
    <definedName name="BOCE719906CAE84AEA81AD459E28F5ABE6" hidden="1">#REF!</definedName>
    <definedName name="BOCE87F77E438C4278845265E8CB6AD182" localSheetId="7" hidden="1">#REF!</definedName>
    <definedName name="BOCE87F77E438C4278845265E8CB6AD182" hidden="1">#REF!</definedName>
    <definedName name="BOCEB18810BC52495C8BFA7C134246C933" localSheetId="7" hidden="1">#REF!</definedName>
    <definedName name="BOCEB18810BC52495C8BFA7C134246C933" hidden="1">#REF!</definedName>
    <definedName name="BOCEB2C6227A36411987D1275F24154C00" localSheetId="7" hidden="1">#REF!</definedName>
    <definedName name="BOCEB2C6227A36411987D1275F24154C00" hidden="1">#REF!</definedName>
    <definedName name="BOCEDC51E922984D63BBC2AAEDEE1466D0" localSheetId="7" hidden="1">#REF!</definedName>
    <definedName name="BOCEDC51E922984D63BBC2AAEDEE1466D0" hidden="1">#REF!</definedName>
    <definedName name="BOCF013E59A6FE4CB39BE977AB806FEF84" localSheetId="7" hidden="1">#REF!</definedName>
    <definedName name="BOCF013E59A6FE4CB39BE977AB806FEF84" hidden="1">#REF!</definedName>
    <definedName name="BOCF03B7F041A745058AB60253B2B1E8A1" localSheetId="7" hidden="1">#REF!</definedName>
    <definedName name="BOCF03B7F041A745058AB60253B2B1E8A1" hidden="1">#REF!</definedName>
    <definedName name="BOCF058CC4130E48C6A0B70625BE214BF9" localSheetId="7" hidden="1">#REF!</definedName>
    <definedName name="BOCF058CC4130E48C6A0B70625BE214BF9" hidden="1">#REF!</definedName>
    <definedName name="BOCF1786D062BC4964AA2C1D78D03EC286" localSheetId="7" hidden="1">#REF!</definedName>
    <definedName name="BOCF1786D062BC4964AA2C1D78D03EC286" hidden="1">#REF!</definedName>
    <definedName name="BOCF19F8472BF6473FB22C74A0CD343AF5" localSheetId="7" hidden="1">#REF!</definedName>
    <definedName name="BOCF19F8472BF6473FB22C74A0CD343AF5" hidden="1">#REF!</definedName>
    <definedName name="BOCF253532EABB4AEB947D43F759F0FA3F" localSheetId="7" hidden="1">#REF!</definedName>
    <definedName name="BOCF253532EABB4AEB947D43F759F0FA3F" hidden="1">#REF!</definedName>
    <definedName name="BOCF39D6DAAA1740B2B4E4D127CF7CA05E" localSheetId="7" hidden="1">#REF!</definedName>
    <definedName name="BOCF39D6DAAA1740B2B4E4D127CF7CA05E" hidden="1">#REF!</definedName>
    <definedName name="BOCF4602996ECA498BA537951B302F853F" localSheetId="7" hidden="1">#REF!</definedName>
    <definedName name="BOCF4602996ECA498BA537951B302F853F" hidden="1">#REF!</definedName>
    <definedName name="BOCF4D39A87BD748108BA6D4D9A9695712" localSheetId="7" hidden="1">#REF!</definedName>
    <definedName name="BOCF4D39A87BD748108BA6D4D9A9695712" hidden="1">#REF!</definedName>
    <definedName name="BOCF5137D56518438AB724BFFAD93500A6" localSheetId="7" hidden="1">#REF!</definedName>
    <definedName name="BOCF5137D56518438AB724BFFAD93500A6" hidden="1">#REF!</definedName>
    <definedName name="BOCF6429C50019446F9BFC110D2A6246D8" localSheetId="7" hidden="1">#REF!</definedName>
    <definedName name="BOCF6429C50019446F9BFC110D2A6246D8" hidden="1">#REF!</definedName>
    <definedName name="BOCF7CFF612ABC4FB09C0C94035B7021BD" localSheetId="7" hidden="1">#REF!</definedName>
    <definedName name="BOCF7CFF612ABC4FB09C0C94035B7021BD" hidden="1">#REF!</definedName>
    <definedName name="BOCF9CA0704DC54C68B04E2D3046044015" localSheetId="7" hidden="1">#REF!</definedName>
    <definedName name="BOCF9CA0704DC54C68B04E2D3046044015" hidden="1">#REF!</definedName>
    <definedName name="BOCFA5328B3F944CDD8F47EB596C29E278" localSheetId="7" hidden="1">#REF!</definedName>
    <definedName name="BOCFA5328B3F944CDD8F47EB596C29E278" hidden="1">#REF!</definedName>
    <definedName name="BOCFB74067062F447C9F55100E2525DCA2" localSheetId="7" hidden="1">#REF!</definedName>
    <definedName name="BOCFB74067062F447C9F55100E2525DCA2" hidden="1">#REF!</definedName>
    <definedName name="BOCFB8D9F218144E8796426AA03BCE629A" localSheetId="7" hidden="1">#REF!</definedName>
    <definedName name="BOCFB8D9F218144E8796426AA03BCE629A" hidden="1">#REF!</definedName>
    <definedName name="BOCFBD89DF6C404F6AB16576F7B47030B8" localSheetId="7" hidden="1">#REF!</definedName>
    <definedName name="BOCFBD89DF6C404F6AB16576F7B47030B8" hidden="1">#REF!</definedName>
    <definedName name="BOCFCA41D30C85461D9B55F7CB48CBA394" localSheetId="7" hidden="1">#REF!</definedName>
    <definedName name="BOCFCA41D30C85461D9B55F7CB48CBA394" hidden="1">#REF!</definedName>
    <definedName name="BOCFD359AB04D047B09DBD913A3AE3AA47" localSheetId="7" hidden="1">#REF!</definedName>
    <definedName name="BOCFD359AB04D047B09DBD913A3AE3AA47" hidden="1">#REF!</definedName>
    <definedName name="BOCFD7F4F3B02E435EAA15E1B8F7D5A48B" localSheetId="7" hidden="1">#REF!</definedName>
    <definedName name="BOCFD7F4F3B02E435EAA15E1B8F7D5A48B" hidden="1">#REF!</definedName>
    <definedName name="BOCFED7BC9D1BA44C2BBD225C69298B521" localSheetId="7" hidden="1">#REF!</definedName>
    <definedName name="BOCFED7BC9D1BA44C2BBD225C69298B521" hidden="1">#REF!</definedName>
    <definedName name="BOCFEF142BB35A4F92BA2E21AD98B6C41D" localSheetId="7" hidden="1">#REF!</definedName>
    <definedName name="BOCFEF142BB35A4F92BA2E21AD98B6C41D" hidden="1">#REF!</definedName>
    <definedName name="BOCFF94A1EBEFF4C9F845F4E44DACEB4D1" localSheetId="7" hidden="1">#REF!</definedName>
    <definedName name="BOCFF94A1EBEFF4C9F845F4E44DACEB4D1" hidden="1">#REF!</definedName>
    <definedName name="BOD00D20D307A34537BD2902A1C9882EA8" localSheetId="7" hidden="1">#REF!</definedName>
    <definedName name="BOD00D20D307A34537BD2902A1C9882EA8" hidden="1">#REF!</definedName>
    <definedName name="BOD01B864E9ACA458791FD2FAA4EEB3854" localSheetId="7" hidden="1">#REF!</definedName>
    <definedName name="BOD01B864E9ACA458791FD2FAA4EEB3854" hidden="1">#REF!</definedName>
    <definedName name="BOD025F501021346B3B821D6FE7DF6F35A" localSheetId="7" hidden="1">#REF!</definedName>
    <definedName name="BOD025F501021346B3B821D6FE7DF6F35A" hidden="1">#REF!</definedName>
    <definedName name="BOD02EBA5F29C649B1946A06C70AA8E42D" localSheetId="7" hidden="1">#REF!</definedName>
    <definedName name="BOD02EBA5F29C649B1946A06C70AA8E42D" hidden="1">#REF!</definedName>
    <definedName name="BOD03DF0E5A70F4A17A71B9189479404C0" localSheetId="7" hidden="1">#REF!</definedName>
    <definedName name="BOD03DF0E5A70F4A17A71B9189479404C0" hidden="1">#REF!</definedName>
    <definedName name="BOD06234B0E7EC40E0B0AECE2962F31392" localSheetId="7" hidden="1">#REF!</definedName>
    <definedName name="BOD06234B0E7EC40E0B0AECE2962F31392" hidden="1">#REF!</definedName>
    <definedName name="BOD0641E3DA37642A0B3ED38011F842E47" localSheetId="7" hidden="1">#REF!</definedName>
    <definedName name="BOD0641E3DA37642A0B3ED38011F842E47" hidden="1">#REF!</definedName>
    <definedName name="BOD07447F983084AEA84D05BABB99B7034" localSheetId="7" hidden="1">#REF!</definedName>
    <definedName name="BOD07447F983084AEA84D05BABB99B7034" hidden="1">#REF!</definedName>
    <definedName name="BOD09441C969D4401C8C65CD43B2E053EF" localSheetId="7" hidden="1">#REF!</definedName>
    <definedName name="BOD09441C969D4401C8C65CD43B2E053EF" hidden="1">#REF!</definedName>
    <definedName name="BOD09D018D10664FCBBA2401A2305904D0" localSheetId="7" hidden="1">#REF!</definedName>
    <definedName name="BOD09D018D10664FCBBA2401A2305904D0" hidden="1">#REF!</definedName>
    <definedName name="BOD0BCA926C32449299EC2D3BC7AD8C220" localSheetId="7" hidden="1">#REF!</definedName>
    <definedName name="BOD0BCA926C32449299EC2D3BC7AD8C220" hidden="1">#REF!</definedName>
    <definedName name="BOD0C429BD03D74FA9B317443A6CBCD5FC" localSheetId="7" hidden="1">#REF!</definedName>
    <definedName name="BOD0C429BD03D74FA9B317443A6CBCD5FC" hidden="1">#REF!</definedName>
    <definedName name="BOD0CE8EC8474B4995B4CD14FF8D9C1C24" localSheetId="7" hidden="1">#REF!</definedName>
    <definedName name="BOD0CE8EC8474B4995B4CD14FF8D9C1C24" hidden="1">#REF!</definedName>
    <definedName name="BOD0CEC8320B7347A7BA88AACE9FDFB2B5" localSheetId="7" hidden="1">#REF!</definedName>
    <definedName name="BOD0CEC8320B7347A7BA88AACE9FDFB2B5" hidden="1">#REF!</definedName>
    <definedName name="BOD0D54FB8435344F98469BC2AE568D540" localSheetId="7" hidden="1">#REF!</definedName>
    <definedName name="BOD0D54FB8435344F98469BC2AE568D540" hidden="1">#REF!</definedName>
    <definedName name="BOD0EDEBB7C90C4787A6CF09CA2F23A3E9" localSheetId="7" hidden="1">#REF!</definedName>
    <definedName name="BOD0EDEBB7C90C4787A6CF09CA2F23A3E9" hidden="1">#REF!</definedName>
    <definedName name="BOD0F156F2FD2D432A876719E2F96907C1" localSheetId="7" hidden="1">#REF!</definedName>
    <definedName name="BOD0F156F2FD2D432A876719E2F96907C1" hidden="1">#REF!</definedName>
    <definedName name="BOD10BE462DEF147A8863250FA171960B0" localSheetId="7" hidden="1">#REF!</definedName>
    <definedName name="BOD10BE462DEF147A8863250FA171960B0" hidden="1">#REF!</definedName>
    <definedName name="BOD11BAA4AB1F4457998D797A64447D9F8" localSheetId="7" hidden="1">#REF!</definedName>
    <definedName name="BOD11BAA4AB1F4457998D797A64447D9F8" hidden="1">#REF!</definedName>
    <definedName name="BOD123DB381CCB4CAA8352F46C48F0319E" localSheetId="7" hidden="1">#REF!</definedName>
    <definedName name="BOD123DB381CCB4CAA8352F46C48F0319E" hidden="1">#REF!</definedName>
    <definedName name="BOD1508CE0F2E1496EABDFC76F8F052B3A" localSheetId="7" hidden="1">#REF!</definedName>
    <definedName name="BOD1508CE0F2E1496EABDFC76F8F052B3A" hidden="1">#REF!</definedName>
    <definedName name="BOD155D2730DAE4A8BBA6B85EFBE04FD29" localSheetId="7" hidden="1">#REF!</definedName>
    <definedName name="BOD155D2730DAE4A8BBA6B85EFBE04FD29" hidden="1">#REF!</definedName>
    <definedName name="BOD158F96701B54B14AF71AF160B3AF69E" localSheetId="7" hidden="1">#REF!</definedName>
    <definedName name="BOD158F96701B54B14AF71AF160B3AF69E" hidden="1">#REF!</definedName>
    <definedName name="BOD189604040FF46CF8CF51BC7B07056E5" localSheetId="7" hidden="1">#REF!</definedName>
    <definedName name="BOD189604040FF46CF8CF51BC7B07056E5" hidden="1">#REF!</definedName>
    <definedName name="BOD19DE0D47C3744F0B585C3A17C487725" localSheetId="7" hidden="1">#REF!</definedName>
    <definedName name="BOD19DE0D47C3744F0B585C3A17C487725" hidden="1">#REF!</definedName>
    <definedName name="BOD19FC8BDDD0544DF9365B820E37F4ECD" localSheetId="7" hidden="1">#REF!</definedName>
    <definedName name="BOD19FC8BDDD0544DF9365B820E37F4ECD" hidden="1">#REF!</definedName>
    <definedName name="BOD1B1D200B84C4D909CCADFF13B127211" localSheetId="7" hidden="1">#REF!</definedName>
    <definedName name="BOD1B1D200B84C4D909CCADFF13B127211" hidden="1">#REF!</definedName>
    <definedName name="BOD1C14481C6C44630986B4BAF461B4D89" localSheetId="7" hidden="1">#REF!</definedName>
    <definedName name="BOD1C14481C6C44630986B4BAF461B4D89" hidden="1">#REF!</definedName>
    <definedName name="BOD1CCACF6301948D1A5622378D138B21A" localSheetId="7" hidden="1">#REF!</definedName>
    <definedName name="BOD1CCACF6301948D1A5622378D138B21A" hidden="1">#REF!</definedName>
    <definedName name="BOD1DB464CF37D4321B5325F7A95BE4AA0" localSheetId="7" hidden="1">#REF!</definedName>
    <definedName name="BOD1DB464CF37D4321B5325F7A95BE4AA0" hidden="1">#REF!</definedName>
    <definedName name="BOD2389B6266864C389EAA477669D00BD9" localSheetId="7" hidden="1">#REF!</definedName>
    <definedName name="BOD2389B6266864C389EAA477669D00BD9" hidden="1">#REF!</definedName>
    <definedName name="BOD2640703D9F74E47B72DFE0E10068136" localSheetId="7" hidden="1">#REF!</definedName>
    <definedName name="BOD2640703D9F74E47B72DFE0E10068136" hidden="1">#REF!</definedName>
    <definedName name="BOD27D45F62EB54E2980082E967E337D04" localSheetId="7" hidden="1">#REF!</definedName>
    <definedName name="BOD27D45F62EB54E2980082E967E337D04" hidden="1">#REF!</definedName>
    <definedName name="BOD2A468AD4D844DDFBCFCBA1364752E2B" localSheetId="7" hidden="1">#REF!</definedName>
    <definedName name="BOD2A468AD4D844DDFBCFCBA1364752E2B" hidden="1">#REF!</definedName>
    <definedName name="BOD2D01353270F46669EC98C9BD4011151" localSheetId="7" hidden="1">#REF!</definedName>
    <definedName name="BOD2D01353270F46669EC98C9BD4011151" hidden="1">#REF!</definedName>
    <definedName name="BOD2F1034D8B6848308D1D1EE119D16FED" localSheetId="7" hidden="1">#REF!</definedName>
    <definedName name="BOD2F1034D8B6848308D1D1EE119D16FED" hidden="1">#REF!</definedName>
    <definedName name="BOD2FD1D09FE1C4EAB8DD8414D24E34DFF" localSheetId="7" hidden="1">#REF!</definedName>
    <definedName name="BOD2FD1D09FE1C4EAB8DD8414D24E34DFF" hidden="1">#REF!</definedName>
    <definedName name="BOD382E2287772456198502D1DFF18CF1C" localSheetId="7" hidden="1">#REF!</definedName>
    <definedName name="BOD382E2287772456198502D1DFF18CF1C" hidden="1">#REF!</definedName>
    <definedName name="BOD38FB5A2DEDF4401B8EEB9C7AB5789A4" localSheetId="7" hidden="1">#REF!</definedName>
    <definedName name="BOD38FB5A2DEDF4401B8EEB9C7AB5789A4" hidden="1">#REF!</definedName>
    <definedName name="BOD399C073B699436F92D049B3A1B78EF0" localSheetId="7" hidden="1">#REF!</definedName>
    <definedName name="BOD399C073B699436F92D049B3A1B78EF0" hidden="1">#REF!</definedName>
    <definedName name="BOD3C79E66D0274E6DAA8586F0933B9578" localSheetId="7" hidden="1">#REF!</definedName>
    <definedName name="BOD3C79E66D0274E6DAA8586F0933B9578" hidden="1">#REF!</definedName>
    <definedName name="BOD3D0C0A584E84E6FA521754EE40615DD" localSheetId="7" hidden="1">#REF!</definedName>
    <definedName name="BOD3D0C0A584E84E6FA521754EE40615DD" hidden="1">#REF!</definedName>
    <definedName name="BOD3E68A0E81DB46A69228F2363D7B6447" localSheetId="7" hidden="1">#REF!</definedName>
    <definedName name="BOD3E68A0E81DB46A69228F2363D7B6447" hidden="1">#REF!</definedName>
    <definedName name="BOD3E763770AFE4858B29B1357C8F33624" localSheetId="7" hidden="1">#REF!</definedName>
    <definedName name="BOD3E763770AFE4858B29B1357C8F33624" hidden="1">#REF!</definedName>
    <definedName name="BOD3EE49996BC04B738ECF49068472833E" localSheetId="7" hidden="1">#REF!</definedName>
    <definedName name="BOD3EE49996BC04B738ECF49068472833E" hidden="1">#REF!</definedName>
    <definedName name="BOD3FE0BA0E3B249EDA894A099109970DF" localSheetId="7" hidden="1">#REF!</definedName>
    <definedName name="BOD3FE0BA0E3B249EDA894A099109970DF" hidden="1">#REF!</definedName>
    <definedName name="BOD3FFF5416CD0453891FD02F23BD819F2" localSheetId="7" hidden="1">#REF!</definedName>
    <definedName name="BOD3FFF5416CD0453891FD02F23BD819F2" hidden="1">#REF!</definedName>
    <definedName name="BOD41F02E8477541369D6B6DDF20899910" localSheetId="7" hidden="1">#REF!</definedName>
    <definedName name="BOD41F02E8477541369D6B6DDF20899910" hidden="1">#REF!</definedName>
    <definedName name="BOD43F28D0194846E287BD1393DADCDA1A" localSheetId="7" hidden="1">#REF!</definedName>
    <definedName name="BOD43F28D0194846E287BD1393DADCDA1A" hidden="1">#REF!</definedName>
    <definedName name="BOD4419EE9665D4303ABDFFA017828D1DE" localSheetId="7" hidden="1">#REF!</definedName>
    <definedName name="BOD4419EE9665D4303ABDFFA017828D1DE" hidden="1">#REF!</definedName>
    <definedName name="BOD443956B7D0F4E9BA51414AFFF96EF4F" localSheetId="7" hidden="1">#REF!</definedName>
    <definedName name="BOD443956B7D0F4E9BA51414AFFF96EF4F" hidden="1">#REF!</definedName>
    <definedName name="BOD44B093C8A3B43C69517F319DDBC024C" localSheetId="7" hidden="1">#REF!</definedName>
    <definedName name="BOD44B093C8A3B43C69517F319DDBC024C" hidden="1">#REF!</definedName>
    <definedName name="BOD47A3077E33F4912A40A249BE7C3920F" localSheetId="7" hidden="1">#REF!</definedName>
    <definedName name="BOD47A3077E33F4912A40A249BE7C3920F" hidden="1">#REF!</definedName>
    <definedName name="BOD483FBFFE2DD4A0BB523C2C7FD6B86C0" localSheetId="7" hidden="1">#REF!</definedName>
    <definedName name="BOD483FBFFE2DD4A0BB523C2C7FD6B86C0" hidden="1">#REF!</definedName>
    <definedName name="BOD49807B79205439FA6689415E219F0C0" localSheetId="7" hidden="1">#REF!</definedName>
    <definedName name="BOD49807B79205439FA6689415E219F0C0" hidden="1">#REF!</definedName>
    <definedName name="BOD4A2965FE11C4079B7A2098910AE513A" localSheetId="7" hidden="1">#REF!</definedName>
    <definedName name="BOD4A2965FE11C4079B7A2098910AE513A" hidden="1">#REF!</definedName>
    <definedName name="BOD4AB5A42BF64491E8EECA1A1E85577C9" localSheetId="7" hidden="1">#REF!</definedName>
    <definedName name="BOD4AB5A42BF64491E8EECA1A1E85577C9" hidden="1">#REF!</definedName>
    <definedName name="BOD4ABD36A784740978404D3318D6B3D39" localSheetId="7" hidden="1">#REF!</definedName>
    <definedName name="BOD4ABD36A784740978404D3318D6B3D39" hidden="1">#REF!</definedName>
    <definedName name="BOD4AF55763DD0452990FD179E623BD974" localSheetId="7" hidden="1">#REF!</definedName>
    <definedName name="BOD4AF55763DD0452990FD179E623BD974" hidden="1">#REF!</definedName>
    <definedName name="BOD4BB6224A16E478991FA9ADD5BB3B6D4" localSheetId="7" hidden="1">#REF!</definedName>
    <definedName name="BOD4BB6224A16E478991FA9ADD5BB3B6D4" hidden="1">#REF!</definedName>
    <definedName name="BOD4C7C51C86B54E25A7F441384587DC76" localSheetId="7" hidden="1">#REF!</definedName>
    <definedName name="BOD4C7C51C86B54E25A7F441384587DC76" hidden="1">#REF!</definedName>
    <definedName name="BOD4D270BE46C441F29B124EB408AFC8DB" localSheetId="7" hidden="1">#REF!</definedName>
    <definedName name="BOD4D270BE46C441F29B124EB408AFC8DB" hidden="1">#REF!</definedName>
    <definedName name="BOD4D2CCDB2EC040D4803E7A19EC8373AE" localSheetId="7" hidden="1">#REF!</definedName>
    <definedName name="BOD4D2CCDB2EC040D4803E7A19EC8373AE" hidden="1">#REF!</definedName>
    <definedName name="BOD4DBC99BEF3F4CC2B4134C9BFF16C0C4" localSheetId="7" hidden="1">#REF!</definedName>
    <definedName name="BOD4DBC99BEF3F4CC2B4134C9BFF16C0C4" hidden="1">#REF!</definedName>
    <definedName name="BOD4DDA5FF2B314317A8623775F8472A36" localSheetId="7" hidden="1">#REF!</definedName>
    <definedName name="BOD4DDA5FF2B314317A8623775F8472A36" hidden="1">#REF!</definedName>
    <definedName name="BOD5080FAF841D41ADBC06E384343657AC" localSheetId="7" hidden="1">#REF!</definedName>
    <definedName name="BOD5080FAF841D41ADBC06E384343657AC" hidden="1">#REF!</definedName>
    <definedName name="BOD5191168FC95488F903BD7312CDDB5FC" localSheetId="7" hidden="1">#REF!</definedName>
    <definedName name="BOD5191168FC95488F903BD7312CDDB5FC" hidden="1">#REF!</definedName>
    <definedName name="BOD5271E7F4E8D4A94BB1D0028FDBAD030" localSheetId="7" hidden="1">#REF!</definedName>
    <definedName name="BOD5271E7F4E8D4A94BB1D0028FDBAD030" hidden="1">#REF!</definedName>
    <definedName name="BOD5499A3B642B4F46A68CC8B6E5F3D0E5" localSheetId="7" hidden="1">#REF!</definedName>
    <definedName name="BOD5499A3B642B4F46A68CC8B6E5F3D0E5" hidden="1">#REF!</definedName>
    <definedName name="BOD5506E57C2A44988916A88D224B69048" localSheetId="7" hidden="1">#REF!</definedName>
    <definedName name="BOD5506E57C2A44988916A88D224B69048" hidden="1">#REF!</definedName>
    <definedName name="BOD55F64E4EB6644A99BE672B05A7371E6" localSheetId="7" hidden="1">#REF!</definedName>
    <definedName name="BOD55F64E4EB6644A99BE672B05A7371E6" hidden="1">#REF!</definedName>
    <definedName name="BOD562093C45B440BEA9EEB61FAE4EE62B" localSheetId="7" hidden="1">#REF!</definedName>
    <definedName name="BOD562093C45B440BEA9EEB61FAE4EE62B" hidden="1">#REF!</definedName>
    <definedName name="BOD5673F90B82C4003A7B8552C51BF0AB9" localSheetId="7" hidden="1">#REF!</definedName>
    <definedName name="BOD5673F90B82C4003A7B8552C51BF0AB9" hidden="1">#REF!</definedName>
    <definedName name="BOD577199D269F43E28EF15ED690ED4CBA" localSheetId="7" hidden="1">#REF!</definedName>
    <definedName name="BOD577199D269F43E28EF15ED690ED4CBA" hidden="1">#REF!</definedName>
    <definedName name="BOD57BF2845ED544659E9D7E5369EEC653" localSheetId="7" hidden="1">#REF!</definedName>
    <definedName name="BOD57BF2845ED544659E9D7E5369EEC653" hidden="1">#REF!</definedName>
    <definedName name="BOD57C8CEA6D994AF388361E833A1ECD5D" localSheetId="7" hidden="1">#REF!</definedName>
    <definedName name="BOD57C8CEA6D994AF388361E833A1ECD5D" hidden="1">#REF!</definedName>
    <definedName name="BOD57FBE816D354E65B9126D11F25A25D2" localSheetId="7" hidden="1">#REF!</definedName>
    <definedName name="BOD57FBE816D354E65B9126D11F25A25D2" hidden="1">#REF!</definedName>
    <definedName name="BOD587687835FB41E2BDF02E76FCD69A32" localSheetId="7" hidden="1">#REF!</definedName>
    <definedName name="BOD587687835FB41E2BDF02E76FCD69A32" hidden="1">#REF!</definedName>
    <definedName name="BOD59AF596C26940B9AAF3251F051FCD76" localSheetId="7" hidden="1">#REF!</definedName>
    <definedName name="BOD59AF596C26940B9AAF3251F051FCD76" hidden="1">#REF!</definedName>
    <definedName name="BOD5A06ADDAD364269ADEAE3BBCCA35C04" localSheetId="7" hidden="1">#REF!</definedName>
    <definedName name="BOD5A06ADDAD364269ADEAE3BBCCA35C04" hidden="1">#REF!</definedName>
    <definedName name="BOD5B6CFDB789E4F88B332EDDF2F2013FF" localSheetId="7" hidden="1">#REF!</definedName>
    <definedName name="BOD5B6CFDB789E4F88B332EDDF2F2013FF" hidden="1">#REF!</definedName>
    <definedName name="BOD5C18DAD0E654C0D92E8E22B5723E754" localSheetId="7" hidden="1">#REF!</definedName>
    <definedName name="BOD5C18DAD0E654C0D92E8E22B5723E754" hidden="1">#REF!</definedName>
    <definedName name="BOD5EC8EAA10B64FE49322C3F027402577" localSheetId="7" hidden="1">#REF!</definedName>
    <definedName name="BOD5EC8EAA10B64FE49322C3F027402577" hidden="1">#REF!</definedName>
    <definedName name="BOD5EF7586D9FD400A843ACC27936BB6D5" localSheetId="7" hidden="1">#REF!</definedName>
    <definedName name="BOD5EF7586D9FD400A843ACC27936BB6D5" hidden="1">#REF!</definedName>
    <definedName name="BOD6245451BDC4410AB3A38DAF660088AB" localSheetId="7" hidden="1">#REF!</definedName>
    <definedName name="BOD6245451BDC4410AB3A38DAF660088AB" hidden="1">#REF!</definedName>
    <definedName name="BOD63A3B340FBD4FAC9CA23C2ADAA0C335" localSheetId="7" hidden="1">#REF!</definedName>
    <definedName name="BOD63A3B340FBD4FAC9CA23C2ADAA0C335" hidden="1">#REF!</definedName>
    <definedName name="BOD66BB8861A444106B3BE5E688167385A" localSheetId="7" hidden="1">#REF!</definedName>
    <definedName name="BOD66BB8861A444106B3BE5E688167385A" hidden="1">#REF!</definedName>
    <definedName name="BOD69B38D568974F078A13643BC113FDA0" localSheetId="7" hidden="1">#REF!</definedName>
    <definedName name="BOD69B38D568974F078A13643BC113FDA0" hidden="1">#REF!</definedName>
    <definedName name="BOD6ABCE167D484601A9A66CAED0E5D3CD" localSheetId="7" hidden="1">#REF!</definedName>
    <definedName name="BOD6ABCE167D484601A9A66CAED0E5D3CD" hidden="1">#REF!</definedName>
    <definedName name="BOD6C12215834E4D5DAA04124E2355F16C" localSheetId="7" hidden="1">#REF!</definedName>
    <definedName name="BOD6C12215834E4D5DAA04124E2355F16C" hidden="1">#REF!</definedName>
    <definedName name="BOD6D27E258E544CFBA0B1449EC45302FA" localSheetId="7" hidden="1">#REF!</definedName>
    <definedName name="BOD6D27E258E544CFBA0B1449EC45302FA" hidden="1">#REF!</definedName>
    <definedName name="BOD6DA6B773BDA4000AC78EFBB0622A416" localSheetId="7" hidden="1">#REF!</definedName>
    <definedName name="BOD6DA6B773BDA4000AC78EFBB0622A416" hidden="1">#REF!</definedName>
    <definedName name="BOD6DF8387F7134F55A1693D7822F5DD2F" localSheetId="7" hidden="1">#REF!</definedName>
    <definedName name="BOD6DF8387F7134F55A1693D7822F5DD2F" hidden="1">#REF!</definedName>
    <definedName name="BOD6EAEB1EF2F1411790738BCE06B20F80" localSheetId="7" hidden="1">#REF!</definedName>
    <definedName name="BOD6EAEB1EF2F1411790738BCE06B20F80" hidden="1">#REF!</definedName>
    <definedName name="BOD7160CD599CF43F5B18D7BB5B20C6A51" localSheetId="7" hidden="1">#REF!</definedName>
    <definedName name="BOD7160CD599CF43F5B18D7BB5B20C6A51" hidden="1">#REF!</definedName>
    <definedName name="BOD71B557DEE694BFABE51A2FC5E509DE1" localSheetId="7" hidden="1">#REF!</definedName>
    <definedName name="BOD71B557DEE694BFABE51A2FC5E509DE1" hidden="1">#REF!</definedName>
    <definedName name="BOD728D365A95E49AFB783848C807E0087" localSheetId="7" hidden="1">#REF!</definedName>
    <definedName name="BOD728D365A95E49AFB783848C807E0087" hidden="1">#REF!</definedName>
    <definedName name="BOD72A092C22EE4D299EBD8EA36B5C6F61" localSheetId="7" hidden="1">#REF!</definedName>
    <definedName name="BOD72A092C22EE4D299EBD8EA36B5C6F61" hidden="1">#REF!</definedName>
    <definedName name="BOD72D8E9EC7054C0A86D4101AB9743F84" localSheetId="7" hidden="1">#REF!</definedName>
    <definedName name="BOD72D8E9EC7054C0A86D4101AB9743F84" hidden="1">#REF!</definedName>
    <definedName name="BOD74097164A6A4891893516D2AF7F2301" localSheetId="7" hidden="1">#REF!</definedName>
    <definedName name="BOD74097164A6A4891893516D2AF7F2301" hidden="1">#REF!</definedName>
    <definedName name="BOD749EAE820454E2BA2F43987F69DC95E" localSheetId="7" hidden="1">#REF!</definedName>
    <definedName name="BOD749EAE820454E2BA2F43987F69DC95E" hidden="1">#REF!</definedName>
    <definedName name="BOD74D58AC68F544DABFE797E916A2FF8A" localSheetId="7" hidden="1">#REF!</definedName>
    <definedName name="BOD74D58AC68F544DABFE797E916A2FF8A" hidden="1">#REF!</definedName>
    <definedName name="BOD7640A48D8364E0B8C7F205028A0866E" localSheetId="7" hidden="1">#REF!</definedName>
    <definedName name="BOD7640A48D8364E0B8C7F205028A0866E" hidden="1">#REF!</definedName>
    <definedName name="BOD769EC4032B545BD97687A572AF045AE" localSheetId="7" hidden="1">#REF!</definedName>
    <definedName name="BOD769EC4032B545BD97687A572AF045AE" hidden="1">#REF!</definedName>
    <definedName name="BOD770ED31977A491EAD8ECC80DE440511" localSheetId="7" hidden="1">#REF!</definedName>
    <definedName name="BOD770ED31977A491EAD8ECC80DE440511" hidden="1">#REF!</definedName>
    <definedName name="BOD77766D6D64F47E7B5FEEEDEB6D7BCEE" localSheetId="7" hidden="1">#REF!</definedName>
    <definedName name="BOD77766D6D64F47E7B5FEEEDEB6D7BCEE" hidden="1">#REF!</definedName>
    <definedName name="BOD795DD784DDB463799B6371A658ED1E9" localSheetId="7" hidden="1">#REF!</definedName>
    <definedName name="BOD795DD784DDB463799B6371A658ED1E9" hidden="1">#REF!</definedName>
    <definedName name="BOD795EECE7BEC41E0B33EB25155D4E189" localSheetId="7" hidden="1">#REF!</definedName>
    <definedName name="BOD795EECE7BEC41E0B33EB25155D4E189" hidden="1">#REF!</definedName>
    <definedName name="BOD7B55B3300004A918E4504738E295AA1" localSheetId="7" hidden="1">#REF!</definedName>
    <definedName name="BOD7B55B3300004A918E4504738E295AA1" hidden="1">#REF!</definedName>
    <definedName name="BOD7C02CE5C0874A31A6E46A1BCDF0866E" localSheetId="7" hidden="1">#REF!</definedName>
    <definedName name="BOD7C02CE5C0874A31A6E46A1BCDF0866E" hidden="1">#REF!</definedName>
    <definedName name="BOD7C3EB924A764A7090BF4D18D128C374" localSheetId="7" hidden="1">#REF!</definedName>
    <definedName name="BOD7C3EB924A764A7090BF4D18D128C374" hidden="1">#REF!</definedName>
    <definedName name="BOD7C6AE0CE34A4DFAA805727D1F3A5B93" localSheetId="7" hidden="1">#REF!</definedName>
    <definedName name="BOD7C6AE0CE34A4DFAA805727D1F3A5B93" hidden="1">#REF!</definedName>
    <definedName name="BOD7CDD5402A404FEA8664ADBAEEFD1498" localSheetId="7" hidden="1">#REF!</definedName>
    <definedName name="BOD7CDD5402A404FEA8664ADBAEEFD1498" hidden="1">#REF!</definedName>
    <definedName name="BOD7EDA359E8AF4665ACAF9A1E7B8B2135" localSheetId="7" hidden="1">#REF!</definedName>
    <definedName name="BOD7EDA359E8AF4665ACAF9A1E7B8B2135" hidden="1">#REF!</definedName>
    <definedName name="BOD7F31633D9DB4278ACEB0343B1C39CE4" localSheetId="7" hidden="1">#REF!</definedName>
    <definedName name="BOD7F31633D9DB4278ACEB0343B1C39CE4" hidden="1">#REF!</definedName>
    <definedName name="BOD80088F1E01F461099025B5502DC3FC9" localSheetId="7" hidden="1">#REF!</definedName>
    <definedName name="BOD80088F1E01F461099025B5502DC3FC9" hidden="1">#REF!</definedName>
    <definedName name="BOD8055422545E48AD94734A758C8AC2E3" localSheetId="7" hidden="1">#REF!</definedName>
    <definedName name="BOD8055422545E48AD94734A758C8AC2E3" hidden="1">#REF!</definedName>
    <definedName name="BOD819584C197C456D9F6F1C59BB4B1D06" localSheetId="7" hidden="1">#REF!</definedName>
    <definedName name="BOD819584C197C456D9F6F1C59BB4B1D06" hidden="1">#REF!</definedName>
    <definedName name="BOD81F4F25ECE0463D85A3D31E27FD8298" localSheetId="7" hidden="1">#REF!</definedName>
    <definedName name="BOD81F4F25ECE0463D85A3D31E27FD8298" hidden="1">#REF!</definedName>
    <definedName name="BOD820A67CDA904009B50B5E075F57CB51" localSheetId="7" hidden="1">#REF!</definedName>
    <definedName name="BOD820A67CDA904009B50B5E075F57CB51" hidden="1">#REF!</definedName>
    <definedName name="BOD821629A0CEE44C4A9C7E1571A741563" localSheetId="7" hidden="1">#REF!</definedName>
    <definedName name="BOD821629A0CEE44C4A9C7E1571A741563" hidden="1">#REF!</definedName>
    <definedName name="BOD83AB8217BD540C59E77C28126E60049" localSheetId="7" hidden="1">#REF!</definedName>
    <definedName name="BOD83AB8217BD540C59E77C28126E60049" hidden="1">#REF!</definedName>
    <definedName name="BOD84A5E45F43042E880BFEBB37D10C898" localSheetId="7" hidden="1">#REF!</definedName>
    <definedName name="BOD84A5E45F43042E880BFEBB37D10C898" hidden="1">#REF!</definedName>
    <definedName name="BOD863960C13594646A45C84E1F0A731D7" localSheetId="7" hidden="1">#REF!</definedName>
    <definedName name="BOD863960C13594646A45C84E1F0A731D7" hidden="1">#REF!</definedName>
    <definedName name="BOD86A2D0925E444AA955A5A2DDCD628F8" localSheetId="7" hidden="1">#REF!</definedName>
    <definedName name="BOD86A2D0925E444AA955A5A2DDCD628F8" hidden="1">#REF!</definedName>
    <definedName name="BOD86BAC629DFE4402AA786A1C6A248371" localSheetId="7" hidden="1">#REF!</definedName>
    <definedName name="BOD86BAC629DFE4402AA786A1C6A248371" hidden="1">#REF!</definedName>
    <definedName name="BOD876F6AB11C04A07995D596D3AC95DB6" localSheetId="7" hidden="1">#REF!</definedName>
    <definedName name="BOD876F6AB11C04A07995D596D3AC95DB6" hidden="1">#REF!</definedName>
    <definedName name="BOD89DFC8216624D629D00A589B92D4E52" localSheetId="7" hidden="1">#REF!</definedName>
    <definedName name="BOD89DFC8216624D629D00A589B92D4E52" hidden="1">#REF!</definedName>
    <definedName name="BOD8BBEBB2EBE4402BB6499F08F10C9033" localSheetId="7" hidden="1">#REF!</definedName>
    <definedName name="BOD8BBEBB2EBE4402BB6499F08F10C9033" hidden="1">#REF!</definedName>
    <definedName name="BOD8D7C1102E1242A296AC0C9123792B78" localSheetId="7" hidden="1">#REF!</definedName>
    <definedName name="BOD8D7C1102E1242A296AC0C9123792B78" hidden="1">#REF!</definedName>
    <definedName name="BOD8D83484CAA7480DB89F3B3FC6C96F98" localSheetId="7" hidden="1">#REF!</definedName>
    <definedName name="BOD8D83484CAA7480DB89F3B3FC6C96F98" hidden="1">#REF!</definedName>
    <definedName name="BOD8D9BD4D0D924DDB8CE130E3FEC3D70A" localSheetId="7" hidden="1">#REF!</definedName>
    <definedName name="BOD8D9BD4D0D924DDB8CE130E3FEC3D70A" hidden="1">#REF!</definedName>
    <definedName name="BOD8E3AB3F421645FE933D315BCAA6AE22" localSheetId="7" hidden="1">#REF!</definedName>
    <definedName name="BOD8E3AB3F421645FE933D315BCAA6AE22" hidden="1">#REF!</definedName>
    <definedName name="BOD8EC4DEF3833472A93351C13F78F78D2" localSheetId="7" hidden="1">#REF!</definedName>
    <definedName name="BOD8EC4DEF3833472A93351C13F78F78D2" hidden="1">#REF!</definedName>
    <definedName name="BOD8EC914762F44CB3B0E2838738655D0F" localSheetId="7" hidden="1">#REF!</definedName>
    <definedName name="BOD8EC914762F44CB3B0E2838738655D0F" hidden="1">#REF!</definedName>
    <definedName name="BOD8FDA379F47148EA8F07416A3AEABE85" localSheetId="7" hidden="1">#REF!</definedName>
    <definedName name="BOD8FDA379F47148EA8F07416A3AEABE85" hidden="1">#REF!</definedName>
    <definedName name="BOD9120A8176A2463DABBA70074145475D" localSheetId="7" hidden="1">#REF!</definedName>
    <definedName name="BOD9120A8176A2463DABBA70074145475D" hidden="1">#REF!</definedName>
    <definedName name="BOD913F5377AFD4EE18D182EE154542AFE" localSheetId="7" hidden="1">#REF!</definedName>
    <definedName name="BOD913F5377AFD4EE18D182EE154542AFE" hidden="1">#REF!</definedName>
    <definedName name="BOD915A2BC7A3D46F88CE2625FAD55BDE9" localSheetId="7" hidden="1">#REF!</definedName>
    <definedName name="BOD915A2BC7A3D46F88CE2625FAD55BDE9" hidden="1">#REF!</definedName>
    <definedName name="BOD91A0F78AF9742F1B85B2F41D81645C3" localSheetId="7" hidden="1">#REF!</definedName>
    <definedName name="BOD91A0F78AF9742F1B85B2F41D81645C3" hidden="1">#REF!</definedName>
    <definedName name="BOD91A84BEB60F44D2B1638286327D13E1" localSheetId="7" hidden="1">#REF!</definedName>
    <definedName name="BOD91A84BEB60F44D2B1638286327D13E1" hidden="1">#REF!</definedName>
    <definedName name="BOD91BBD7ABABF42F5877EDB1107AE022C" localSheetId="7" hidden="1">#REF!</definedName>
    <definedName name="BOD91BBD7ABABF42F5877EDB1107AE022C" hidden="1">#REF!</definedName>
    <definedName name="BOD9330B4F02C94A3AA355F587D25E7ABC" localSheetId="7" hidden="1">#REF!</definedName>
    <definedName name="BOD9330B4F02C94A3AA355F587D25E7ABC" hidden="1">#REF!</definedName>
    <definedName name="BOD94533B08BB74C67A3892B1E704FD62E" localSheetId="7" hidden="1">#REF!</definedName>
    <definedName name="BOD94533B08BB74C67A3892B1E704FD62E" hidden="1">#REF!</definedName>
    <definedName name="BOD98B719157F5455B9B1956B5C9FAD0DB" localSheetId="7" hidden="1">#REF!</definedName>
    <definedName name="BOD98B719157F5455B9B1956B5C9FAD0DB" hidden="1">#REF!</definedName>
    <definedName name="BOD9A6A21EB9094E55B8064375CD152215" localSheetId="7" hidden="1">#REF!</definedName>
    <definedName name="BOD9A6A21EB9094E55B8064375CD152215" hidden="1">#REF!</definedName>
    <definedName name="BOD9AFA7F5DD424AD98484029152190372" localSheetId="7" hidden="1">#REF!</definedName>
    <definedName name="BOD9AFA7F5DD424AD98484029152190372" hidden="1">#REF!</definedName>
    <definedName name="BOD9D46865DC3E47E18A6BEB24AABDC3BA" localSheetId="7" hidden="1">#REF!</definedName>
    <definedName name="BOD9D46865DC3E47E18A6BEB24AABDC3BA" hidden="1">#REF!</definedName>
    <definedName name="BOD9DAB3BD9F954BF0A6E3018AB19D59DD" localSheetId="7" hidden="1">#REF!</definedName>
    <definedName name="BOD9DAB3BD9F954BF0A6E3018AB19D59DD" hidden="1">#REF!</definedName>
    <definedName name="BOD9F90AE5BF294978996A1A6E90C427B6" localSheetId="7" hidden="1">#REF!</definedName>
    <definedName name="BOD9F90AE5BF294978996A1A6E90C427B6" hidden="1">#REF!</definedName>
    <definedName name="BOD9FF7D5EF1534634AC2AAAFC97574D8F" localSheetId="7" hidden="1">#REF!</definedName>
    <definedName name="BOD9FF7D5EF1534634AC2AAAFC97574D8F" hidden="1">#REF!</definedName>
    <definedName name="BODA1C7ED2DE744113B58E7FFBF807B3E9" localSheetId="7" hidden="1">#REF!</definedName>
    <definedName name="BODA1C7ED2DE744113B58E7FFBF807B3E9" hidden="1">#REF!</definedName>
    <definedName name="BODA503D8F340A4E77899C98E160ACD84D" localSheetId="7" hidden="1">#REF!</definedName>
    <definedName name="BODA503D8F340A4E77899C98E160ACD84D" hidden="1">#REF!</definedName>
    <definedName name="BODA5C3346DC604BCBA4D7D012889B6086" localSheetId="7" hidden="1">#REF!</definedName>
    <definedName name="BODA5C3346DC604BCBA4D7D012889B6086" hidden="1">#REF!</definedName>
    <definedName name="BODA7D2B5174854BB998D067F44B9A39C3" localSheetId="7" hidden="1">#REF!</definedName>
    <definedName name="BODA7D2B5174854BB998D067F44B9A39C3" hidden="1">#REF!</definedName>
    <definedName name="BODA97F6D7EFBD436CAC537424B7FAF25C" localSheetId="7" hidden="1">#REF!</definedName>
    <definedName name="BODA97F6D7EFBD436CAC537424B7FAF25C" hidden="1">#REF!</definedName>
    <definedName name="BODA9EE11FBAB54B67A503D228C803CEC8" localSheetId="7" hidden="1">#REF!</definedName>
    <definedName name="BODA9EE11FBAB54B67A503D228C803CEC8" hidden="1">#REF!</definedName>
    <definedName name="BODAB76DDE52474AA083A279C37035A93E" localSheetId="7" hidden="1">#REF!</definedName>
    <definedName name="BODAB76DDE52474AA083A279C37035A93E" hidden="1">#REF!</definedName>
    <definedName name="BODAC79E38903146C8862E1D8C08A863A9" localSheetId="7" hidden="1">#REF!</definedName>
    <definedName name="BODAC79E38903146C8862E1D8C08A863A9" hidden="1">#REF!</definedName>
    <definedName name="BODACE2CD372314405B981E8EF445FE0BE" localSheetId="7" hidden="1">#REF!</definedName>
    <definedName name="BODACE2CD372314405B981E8EF445FE0BE" hidden="1">#REF!</definedName>
    <definedName name="BODACFC7023B8447709676D554D24C01C6" localSheetId="7" hidden="1">#REF!</definedName>
    <definedName name="BODACFC7023B8447709676D554D24C01C6" hidden="1">#REF!</definedName>
    <definedName name="BODAD12DC7FFE642F2AD7207D60E24177A" localSheetId="7" hidden="1">#REF!</definedName>
    <definedName name="BODAD12DC7FFE642F2AD7207D60E24177A" hidden="1">#REF!</definedName>
    <definedName name="BODAD2B34B5B9E485D90D16EF2FE151FBF" localSheetId="7" hidden="1">#REF!</definedName>
    <definedName name="BODAD2B34B5B9E485D90D16EF2FE151FBF" hidden="1">#REF!</definedName>
    <definedName name="BODAD80D85F17D4716B517C93DA72D29EC" localSheetId="7" hidden="1">#REF!</definedName>
    <definedName name="BODAD80D85F17D4716B517C93DA72D29EC" hidden="1">#REF!</definedName>
    <definedName name="BODAF3FF99536E4449B96F8517C1D40BAF" localSheetId="7" hidden="1">#REF!</definedName>
    <definedName name="BODAF3FF99536E4449B96F8517C1D40BAF" hidden="1">#REF!</definedName>
    <definedName name="BODB018BF574654A278285E97CBE10286D" localSheetId="7" hidden="1">#REF!</definedName>
    <definedName name="BODB018BF574654A278285E97CBE10286D" hidden="1">#REF!</definedName>
    <definedName name="BODB05842B35DE450AB48BFF717965597C" localSheetId="7" hidden="1">#REF!</definedName>
    <definedName name="BODB05842B35DE450AB48BFF717965597C" hidden="1">#REF!</definedName>
    <definedName name="BODB0CA4AED99045898DA64FE684AF5420" localSheetId="7" hidden="1">#REF!</definedName>
    <definedName name="BODB0CA4AED99045898DA64FE684AF5420" hidden="1">#REF!</definedName>
    <definedName name="BODB1CDB422F2249009F4FA6019AEE15E9" localSheetId="7" hidden="1">#REF!</definedName>
    <definedName name="BODB1CDB422F2249009F4FA6019AEE15E9" hidden="1">#REF!</definedName>
    <definedName name="BODB2B5B8F4D674DF79CD96632AB2ABEDB" localSheetId="7" hidden="1">#REF!</definedName>
    <definedName name="BODB2B5B8F4D674DF79CD96632AB2ABEDB" hidden="1">#REF!</definedName>
    <definedName name="BODB40E99AE6104716A83D854D77CA28E4" localSheetId="7" hidden="1">#REF!</definedName>
    <definedName name="BODB40E99AE6104716A83D854D77CA28E4" hidden="1">#REF!</definedName>
    <definedName name="BODB48499DBB1945A3866B046DD9917D79" localSheetId="7" hidden="1">#REF!</definedName>
    <definedName name="BODB48499DBB1945A3866B046DD9917D79" hidden="1">#REF!</definedName>
    <definedName name="BODB48D7E1892947B0A933D5AFC765FEB7" localSheetId="7" hidden="1">#REF!</definedName>
    <definedName name="BODB48D7E1892947B0A933D5AFC765FEB7" hidden="1">#REF!</definedName>
    <definedName name="BODB5F48B9BCCB4EC5A5C488B7B3A42841" localSheetId="7" hidden="1">#REF!</definedName>
    <definedName name="BODB5F48B9BCCB4EC5A5C488B7B3A42841" hidden="1">#REF!</definedName>
    <definedName name="BODB68E47616DC41BB8445169C15A862BF" localSheetId="7" hidden="1">#REF!</definedName>
    <definedName name="BODB68E47616DC41BB8445169C15A862BF" hidden="1">#REF!</definedName>
    <definedName name="BODB6D893A01484C34A1B09351ACBED6CA" localSheetId="7" hidden="1">#REF!</definedName>
    <definedName name="BODB6D893A01484C34A1B09351ACBED6CA" hidden="1">#REF!</definedName>
    <definedName name="BODBAF6180BB834F0394C39A0E2944FA3D" localSheetId="7" hidden="1">#REF!</definedName>
    <definedName name="BODBAF6180BB834F0394C39A0E2944FA3D" hidden="1">#REF!</definedName>
    <definedName name="BODBB7F33E09B74D9A89411D82972E5964" localSheetId="7" hidden="1">#REF!</definedName>
    <definedName name="BODBB7F33E09B74D9A89411D82972E5964" hidden="1">#REF!</definedName>
    <definedName name="BODBEF66510FC84146AA890A2499B68E68" localSheetId="7" hidden="1">#REF!</definedName>
    <definedName name="BODBEF66510FC84146AA890A2499B68E68" hidden="1">#REF!</definedName>
    <definedName name="BODC016493789C4A4285BD039409C250A3" localSheetId="7" hidden="1">#REF!</definedName>
    <definedName name="BODC016493789C4A4285BD039409C250A3" hidden="1">#REF!</definedName>
    <definedName name="BODC2A33CE251D4E1A95CA023BD5C4102D" localSheetId="7" hidden="1">#REF!</definedName>
    <definedName name="BODC2A33CE251D4E1A95CA023BD5C4102D" hidden="1">#REF!</definedName>
    <definedName name="BODC61EAF181124473BD42563BEE60657F" localSheetId="7" hidden="1">#REF!</definedName>
    <definedName name="BODC61EAF181124473BD42563BEE60657F" hidden="1">#REF!</definedName>
    <definedName name="BODC7363FE54714D159E8293C245AD5808" localSheetId="7" hidden="1">#REF!</definedName>
    <definedName name="BODC7363FE54714D159E8293C245AD5808" hidden="1">#REF!</definedName>
    <definedName name="BODC7F1AC3FA03417CB82C4588ECF5BBDE" localSheetId="7" hidden="1">#REF!</definedName>
    <definedName name="BODC7F1AC3FA03417CB82C4588ECF5BBDE" hidden="1">#REF!</definedName>
    <definedName name="BODC9DE9D5B5B44E60BA1D890251950D15" localSheetId="7" hidden="1">#REF!</definedName>
    <definedName name="BODC9DE9D5B5B44E60BA1D890251950D15" hidden="1">#REF!</definedName>
    <definedName name="BODCA107DFD4784EE3B57EBC3B127B7FA5" localSheetId="7" hidden="1">#REF!</definedName>
    <definedName name="BODCA107DFD4784EE3B57EBC3B127B7FA5" hidden="1">#REF!</definedName>
    <definedName name="BODCCE8B42A7F64623A72ADB4E781BDC7E" localSheetId="7" hidden="1">#REF!</definedName>
    <definedName name="BODCCE8B42A7F64623A72ADB4E781BDC7E" hidden="1">#REF!</definedName>
    <definedName name="BODCF0649AB2244E289647016FEDA97A54" localSheetId="7" hidden="1">#REF!</definedName>
    <definedName name="BODCF0649AB2244E289647016FEDA97A54" hidden="1">#REF!</definedName>
    <definedName name="BODD2087D320D24376B7280B1F6220B40B" localSheetId="7" hidden="1">#REF!</definedName>
    <definedName name="BODD2087D320D24376B7280B1F6220B40B" hidden="1">#REF!</definedName>
    <definedName name="BODD4754A695D344028402FC83CF7B3576" localSheetId="7" hidden="1">#REF!</definedName>
    <definedName name="BODD4754A695D344028402FC83CF7B3576" hidden="1">#REF!</definedName>
    <definedName name="BODD755A827656474CA9CD92D4833EF786" localSheetId="7" hidden="1">#REF!</definedName>
    <definedName name="BODD755A827656474CA9CD92D4833EF786" hidden="1">#REF!</definedName>
    <definedName name="BODD89A406C1B24EF1B2482E0AA4E60B13" localSheetId="7" hidden="1">#REF!</definedName>
    <definedName name="BODD89A406C1B24EF1B2482E0AA4E60B13" hidden="1">#REF!</definedName>
    <definedName name="BODDB53E80A0C14F1684FD6E861D3FE32B" localSheetId="7" hidden="1">#REF!</definedName>
    <definedName name="BODDB53E80A0C14F1684FD6E861D3FE32B" hidden="1">#REF!</definedName>
    <definedName name="BODDC44598CB434A76A6AA1715A98DB8A8" localSheetId="7" hidden="1">#REF!</definedName>
    <definedName name="BODDC44598CB434A76A6AA1715A98DB8A8" hidden="1">#REF!</definedName>
    <definedName name="BODDC743715E02496C87C81FEB85942FE5" localSheetId="7" hidden="1">#REF!</definedName>
    <definedName name="BODDC743715E02496C87C81FEB85942FE5" hidden="1">#REF!</definedName>
    <definedName name="BODDDEF5002DE24C7298CE31FB13FB76D6" localSheetId="7" hidden="1">#REF!</definedName>
    <definedName name="BODDDEF5002DE24C7298CE31FB13FB76D6" hidden="1">#REF!</definedName>
    <definedName name="BODDE95C1950174F1EBB6BCBCB66E680CA" localSheetId="7" hidden="1">#REF!</definedName>
    <definedName name="BODDE95C1950174F1EBB6BCBCB66E680CA" hidden="1">#REF!</definedName>
    <definedName name="BODDEC922A0CF44B5392D511AC7102D677" localSheetId="7" hidden="1">#REF!</definedName>
    <definedName name="BODDEC922A0CF44B5392D511AC7102D677" hidden="1">#REF!</definedName>
    <definedName name="BODDF6FB76CD674073ACF87B1328B4E80F" localSheetId="7" hidden="1">#REF!</definedName>
    <definedName name="BODDF6FB76CD674073ACF87B1328B4E80F" hidden="1">#REF!</definedName>
    <definedName name="BODDFE44BA99F64083BBA7339CFA74BFBE" localSheetId="7" hidden="1">#REF!</definedName>
    <definedName name="BODDFE44BA99F64083BBA7339CFA74BFBE" hidden="1">#REF!</definedName>
    <definedName name="BODE119F9E71DC4F50913AE32313DE73CF" localSheetId="7" hidden="1">#REF!</definedName>
    <definedName name="BODE119F9E71DC4F50913AE32313DE73CF" hidden="1">#REF!</definedName>
    <definedName name="BODE1641CE86DE4E36AFA534FF0EF90E78" localSheetId="7" hidden="1">#REF!</definedName>
    <definedName name="BODE1641CE86DE4E36AFA534FF0EF90E78" hidden="1">#REF!</definedName>
    <definedName name="BODE29C5086FFF495E81629B77D0961A3A" localSheetId="7" hidden="1">#REF!</definedName>
    <definedName name="BODE29C5086FFF495E81629B77D0961A3A" hidden="1">#REF!</definedName>
    <definedName name="BODE3A258494DD414AA95A52BAA23D2059" localSheetId="7" hidden="1">#REF!</definedName>
    <definedName name="BODE3A258494DD414AA95A52BAA23D2059" hidden="1">#REF!</definedName>
    <definedName name="BODE41A91BFA784A2C9BE77C8AA248B615" localSheetId="7" hidden="1">#REF!</definedName>
    <definedName name="BODE41A91BFA784A2C9BE77C8AA248B615" hidden="1">#REF!</definedName>
    <definedName name="BODE5409DD7E114A6DAB0724DBB6DDB2FA" localSheetId="7" hidden="1">#REF!</definedName>
    <definedName name="BODE5409DD7E114A6DAB0724DBB6DDB2FA" hidden="1">#REF!</definedName>
    <definedName name="BODE5ED6D3AEB342E4A54CCD365989FA6B" localSheetId="7" hidden="1">#REF!</definedName>
    <definedName name="BODE5ED6D3AEB342E4A54CCD365989FA6B" hidden="1">#REF!</definedName>
    <definedName name="BODE80FD65652846BB8707B7B880A419BA" localSheetId="7" hidden="1">#REF!</definedName>
    <definedName name="BODE80FD65652846BB8707B7B880A419BA" hidden="1">#REF!</definedName>
    <definedName name="BODE851A24413141F1A320849F8F6379DB" localSheetId="7" hidden="1">#REF!</definedName>
    <definedName name="BODE851A24413141F1A320849F8F6379DB" hidden="1">#REF!</definedName>
    <definedName name="BODE8725677D0E43C6A8B705069E37DD1B" localSheetId="7" hidden="1">#REF!</definedName>
    <definedName name="BODE8725677D0E43C6A8B705069E37DD1B" hidden="1">#REF!</definedName>
    <definedName name="BODE96755A19514B8693BC876DDA62A6E5" localSheetId="7" hidden="1">#REF!</definedName>
    <definedName name="BODE96755A19514B8693BC876DDA62A6E5" hidden="1">#REF!</definedName>
    <definedName name="BODEB30F0B20F4466C941005FF85B26FE6" localSheetId="7" hidden="1">#REF!</definedName>
    <definedName name="BODEB30F0B20F4466C941005FF85B26FE6" hidden="1">#REF!</definedName>
    <definedName name="BODEB3F58880F9421F9853E67ED9D2EA06" localSheetId="7" hidden="1">#REF!</definedName>
    <definedName name="BODEB3F58880F9421F9853E67ED9D2EA06" hidden="1">#REF!</definedName>
    <definedName name="BODEC97613E7A147029A19B0961BB5A16F" localSheetId="7" hidden="1">#REF!</definedName>
    <definedName name="BODEC97613E7A147029A19B0961BB5A16F" hidden="1">#REF!</definedName>
    <definedName name="BODEDE32DB61CC404583477C946D747B0A" localSheetId="7" hidden="1">#REF!</definedName>
    <definedName name="BODEDE32DB61CC404583477C946D747B0A" hidden="1">#REF!</definedName>
    <definedName name="BODEEB4AD856F94FE7BA2579D6652BB72D" localSheetId="7" hidden="1">#REF!</definedName>
    <definedName name="BODEEB4AD856F94FE7BA2579D6652BB72D" hidden="1">#REF!</definedName>
    <definedName name="BODF060FA8044A4E50BE04B4F58397A674" localSheetId="7" hidden="1">#REF!</definedName>
    <definedName name="BODF060FA8044A4E50BE04B4F58397A674" hidden="1">#REF!</definedName>
    <definedName name="BODF1A307A491946748E75C858D89DFB21" localSheetId="7" hidden="1">#REF!</definedName>
    <definedName name="BODF1A307A491946748E75C858D89DFB21" hidden="1">#REF!</definedName>
    <definedName name="BODF24E661B6944B4BBBA04E34632A902F" localSheetId="7" hidden="1">#REF!</definedName>
    <definedName name="BODF24E661B6944B4BBBA04E34632A902F" hidden="1">#REF!</definedName>
    <definedName name="BODF4573E846314BFD8304F30BB2FBD600" localSheetId="7" hidden="1">#REF!</definedName>
    <definedName name="BODF4573E846314BFD8304F30BB2FBD600" hidden="1">#REF!</definedName>
    <definedName name="BODF4C57CFA2F041BCBE0CB0FEB0E1B905" localSheetId="7" hidden="1">#REF!</definedName>
    <definedName name="BODF4C57CFA2F041BCBE0CB0FEB0E1B905" hidden="1">#REF!</definedName>
    <definedName name="BODF4E525B1962417095F71DD4C93FD427" localSheetId="7" hidden="1">#REF!</definedName>
    <definedName name="BODF4E525B1962417095F71DD4C93FD427" hidden="1">#REF!</definedName>
    <definedName name="BODF512209B1674CEB97E697DB32EB03E9" localSheetId="7" hidden="1">#REF!</definedName>
    <definedName name="BODF512209B1674CEB97E697DB32EB03E9" hidden="1">#REF!</definedName>
    <definedName name="BODF51483C5CC1498DBEB718FCEBAD12BD" localSheetId="7" hidden="1">#REF!</definedName>
    <definedName name="BODF51483C5CC1498DBEB718FCEBAD12BD" hidden="1">#REF!</definedName>
    <definedName name="BODF562BA6968F4850850AD2AE20E99B29" localSheetId="7" hidden="1">#REF!</definedName>
    <definedName name="BODF562BA6968F4850850AD2AE20E99B29" hidden="1">#REF!</definedName>
    <definedName name="BODF5A317A8D6E4BD69E79E427749B9571" localSheetId="7" hidden="1">#REF!</definedName>
    <definedName name="BODF5A317A8D6E4BD69E79E427749B9571" hidden="1">#REF!</definedName>
    <definedName name="BODF7521D4EC6942F4BE2163044CD547EC" localSheetId="7" hidden="1">#REF!</definedName>
    <definedName name="BODF7521D4EC6942F4BE2163044CD547EC" hidden="1">#REF!</definedName>
    <definedName name="BODFA0CBD421804CAEBDE0FAA6CE3C149A" localSheetId="7" hidden="1">#REF!</definedName>
    <definedName name="BODFA0CBD421804CAEBDE0FAA6CE3C149A" hidden="1">#REF!</definedName>
    <definedName name="BODFA725AB2698411689C04DC132376A6A" localSheetId="7" hidden="1">#REF!</definedName>
    <definedName name="BODFA725AB2698411689C04DC132376A6A" hidden="1">#REF!</definedName>
    <definedName name="BODFCA0FAEF8CC4E0E9429D5F84E8B4245" localSheetId="7" hidden="1">#REF!</definedName>
    <definedName name="BODFCA0FAEF8CC4E0E9429D5F84E8B4245" hidden="1">#REF!</definedName>
    <definedName name="BODFD882B300C2480790A0B1576FC7F572" localSheetId="7" hidden="1">#REF!</definedName>
    <definedName name="BODFD882B300C2480790A0B1576FC7F572" hidden="1">#REF!</definedName>
    <definedName name="BOE03210C7B4844714989687E0FC794760" localSheetId="7" hidden="1">#REF!</definedName>
    <definedName name="BOE03210C7B4844714989687E0FC794760" hidden="1">#REF!</definedName>
    <definedName name="BOE04B58B9CECC4E0F80BA0C80C90071E5" localSheetId="7" hidden="1">#REF!</definedName>
    <definedName name="BOE04B58B9CECC4E0F80BA0C80C90071E5" hidden="1">#REF!</definedName>
    <definedName name="BOE05375BB51514B06BE12F354AE5B907E" localSheetId="7" hidden="1">#REF!</definedName>
    <definedName name="BOE05375BB51514B06BE12F354AE5B907E" hidden="1">#REF!</definedName>
    <definedName name="BOE0625B7582BE4FA69DDA7260591900EC" localSheetId="7" hidden="1">#REF!</definedName>
    <definedName name="BOE0625B7582BE4FA69DDA7260591900EC" hidden="1">#REF!</definedName>
    <definedName name="BOE0EF6E88AF2840DFB601622BEBCB3B2E" localSheetId="7" hidden="1">#REF!</definedName>
    <definedName name="BOE0EF6E88AF2840DFB601622BEBCB3B2E" hidden="1">#REF!</definedName>
    <definedName name="BOE10F5D7946324D97B740F42317573286" localSheetId="7" hidden="1">#REF!</definedName>
    <definedName name="BOE10F5D7946324D97B740F42317573286" hidden="1">#REF!</definedName>
    <definedName name="BOE11340A57C3E426F817367501F6B68AC" localSheetId="7" hidden="1">#REF!</definedName>
    <definedName name="BOE11340A57C3E426F817367501F6B68AC" hidden="1">#REF!</definedName>
    <definedName name="BOE124D67C6FFF46AF8912BC0E430B9A4B" localSheetId="7" hidden="1">#REF!</definedName>
    <definedName name="BOE124D67C6FFF46AF8912BC0E430B9A4B" hidden="1">#REF!</definedName>
    <definedName name="BOE126288D2B4A4ED2B1E9925D1EB43D01" localSheetId="7" hidden="1">#REF!</definedName>
    <definedName name="BOE126288D2B4A4ED2B1E9925D1EB43D01" hidden="1">#REF!</definedName>
    <definedName name="BOE126CF0C7C7D46C0B94272C92D045FF4" localSheetId="7" hidden="1">#REF!</definedName>
    <definedName name="BOE126CF0C7C7D46C0B94272C92D045FF4" hidden="1">#REF!</definedName>
    <definedName name="BOE131481E782442D9ACA35A108ED161F8" localSheetId="7" hidden="1">#REF!</definedName>
    <definedName name="BOE131481E782442D9ACA35A108ED161F8" hidden="1">#REF!</definedName>
    <definedName name="BOE134860CE2464473A7990949BEE2CAB0" localSheetId="7" hidden="1">#REF!</definedName>
    <definedName name="BOE134860CE2464473A7990949BEE2CAB0" hidden="1">#REF!</definedName>
    <definedName name="BOE1722E65EC074F66A9C7AC977E15DD59" localSheetId="7" hidden="1">#REF!</definedName>
    <definedName name="BOE1722E65EC074F66A9C7AC977E15DD59" hidden="1">#REF!</definedName>
    <definedName name="BOE177DF1E3F9F4C948ED0D22AC9F25FBD" localSheetId="7" hidden="1">#REF!</definedName>
    <definedName name="BOE177DF1E3F9F4C948ED0D22AC9F25FBD" hidden="1">#REF!</definedName>
    <definedName name="BOE17E507DD2F449A6A55329BBBAF9F00F" localSheetId="7" hidden="1">#REF!</definedName>
    <definedName name="BOE17E507DD2F449A6A55329BBBAF9F00F" hidden="1">#REF!</definedName>
    <definedName name="BOE187F1752E364C41A8E9FA389F7AA402" localSheetId="7" hidden="1">#REF!</definedName>
    <definedName name="BOE187F1752E364C41A8E9FA389F7AA402" hidden="1">#REF!</definedName>
    <definedName name="BOE194CE557BD44C0F889873C6DF4F7C4E" localSheetId="7" hidden="1">#REF!</definedName>
    <definedName name="BOE194CE557BD44C0F889873C6DF4F7C4E" hidden="1">#REF!</definedName>
    <definedName name="BOE1BA5D01A52941188BFD956298246068" localSheetId="7" hidden="1">#REF!</definedName>
    <definedName name="BOE1BA5D01A52941188BFD956298246068" hidden="1">#REF!</definedName>
    <definedName name="BOE1C12244FA464B31A22A5CB89E4C480D" localSheetId="7" hidden="1">#REF!</definedName>
    <definedName name="BOE1C12244FA464B31A22A5CB89E4C480D" hidden="1">#REF!</definedName>
    <definedName name="BOE1CDD30EAACD4463978E15D6320C0F4F" localSheetId="7" hidden="1">#REF!</definedName>
    <definedName name="BOE1CDD30EAACD4463978E15D6320C0F4F" hidden="1">#REF!</definedName>
    <definedName name="BOE1D92BEC47884DB4A6135EDC40946B05" localSheetId="7" hidden="1">#REF!</definedName>
    <definedName name="BOE1D92BEC47884DB4A6135EDC40946B05" hidden="1">#REF!</definedName>
    <definedName name="BOE1DB13B3C8D04545AB4F6B2938DC6A29" localSheetId="7" hidden="1">#REF!</definedName>
    <definedName name="BOE1DB13B3C8D04545AB4F6B2938DC6A29" hidden="1">#REF!</definedName>
    <definedName name="BOE1F01C8F7A254954B52E860432CB8DBC" localSheetId="7" hidden="1">#REF!</definedName>
    <definedName name="BOE1F01C8F7A254954B52E860432CB8DBC" hidden="1">#REF!</definedName>
    <definedName name="BOE1FA1F72CE9B492692A2485EE2006718" localSheetId="7" hidden="1">#REF!</definedName>
    <definedName name="BOE1FA1F72CE9B492692A2485EE2006718" hidden="1">#REF!</definedName>
    <definedName name="BOE21DD87D17354E2A8C337288C887FD47" localSheetId="7" hidden="1">#REF!</definedName>
    <definedName name="BOE21DD87D17354E2A8C337288C887FD47" hidden="1">#REF!</definedName>
    <definedName name="BOE227E0829C62424C9FA332DCABBA37DB" localSheetId="7" hidden="1">#REF!</definedName>
    <definedName name="BOE227E0829C62424C9FA332DCABBA37DB" hidden="1">#REF!</definedName>
    <definedName name="BOE238A3A8550440D68A11C93B3A711181" localSheetId="7" hidden="1">#REF!</definedName>
    <definedName name="BOE238A3A8550440D68A11C93B3A711181" hidden="1">#REF!</definedName>
    <definedName name="BOE249C2B5CE9A4FACA991FAAB6FFC9DC7" localSheetId="7" hidden="1">#REF!</definedName>
    <definedName name="BOE249C2B5CE9A4FACA991FAAB6FFC9DC7" hidden="1">#REF!</definedName>
    <definedName name="BOE24A7DBEC635448C9125001E4A5378A4" localSheetId="7" hidden="1">#REF!</definedName>
    <definedName name="BOE24A7DBEC635448C9125001E4A5378A4" hidden="1">#REF!</definedName>
    <definedName name="BOE25A8F18629B431DB8A286293D138D42" localSheetId="7" hidden="1">#REF!</definedName>
    <definedName name="BOE25A8F18629B431DB8A286293D138D42" hidden="1">#REF!</definedName>
    <definedName name="BOE26420FBB6C848A79291E529D420286D" localSheetId="7" hidden="1">#REF!</definedName>
    <definedName name="BOE26420FBB6C848A79291E529D420286D" hidden="1">#REF!</definedName>
    <definedName name="BOE279FB33D6CF4BF7AC4E31CC6213D908" localSheetId="7" hidden="1">#REF!</definedName>
    <definedName name="BOE279FB33D6CF4BF7AC4E31CC6213D908" hidden="1">#REF!</definedName>
    <definedName name="BOE281B1BAD05348A8AB18747CD5CDBADE" localSheetId="7" hidden="1">#REF!</definedName>
    <definedName name="BOE281B1BAD05348A8AB18747CD5CDBADE" hidden="1">#REF!</definedName>
    <definedName name="BOE295CAA26ACB4BD0AEAC297D293E1B0B" localSheetId="7" hidden="1">#REF!</definedName>
    <definedName name="BOE295CAA26ACB4BD0AEAC297D293E1B0B" hidden="1">#REF!</definedName>
    <definedName name="BOE2A43DC28CA44E2FAA92C81EFC2C1CC7" localSheetId="7" hidden="1">#REF!</definedName>
    <definedName name="BOE2A43DC28CA44E2FAA92C81EFC2C1CC7" hidden="1">#REF!</definedName>
    <definedName name="BOE2C95CCD137C41BA872D881CE2A9C868" localSheetId="7" hidden="1">#REF!</definedName>
    <definedName name="BOE2C95CCD137C41BA872D881CE2A9C868" hidden="1">#REF!</definedName>
    <definedName name="BOE2E511636ED3492AA7B7DD51A3980463" localSheetId="7" hidden="1">#REF!</definedName>
    <definedName name="BOE2E511636ED3492AA7B7DD51A3980463" hidden="1">#REF!</definedName>
    <definedName name="BOE2F1FE149C604834A1A635DDB7F44B65" localSheetId="7" hidden="1">#REF!</definedName>
    <definedName name="BOE2F1FE149C604834A1A635DDB7F44B65" hidden="1">#REF!</definedName>
    <definedName name="BOE30B47B57B624CD48C29FB58D06FB0CF" localSheetId="7" hidden="1">#REF!</definedName>
    <definedName name="BOE30B47B57B624CD48C29FB58D06FB0CF" hidden="1">#REF!</definedName>
    <definedName name="BOE3352FF601B142219C686D471EF9D98D" localSheetId="7" hidden="1">#REF!</definedName>
    <definedName name="BOE3352FF601B142219C686D471EF9D98D" hidden="1">#REF!</definedName>
    <definedName name="BOE36F97AAAE3344FCA46F208CC30200E4" localSheetId="7" hidden="1">#REF!</definedName>
    <definedName name="BOE36F97AAAE3344FCA46F208CC30200E4" hidden="1">#REF!</definedName>
    <definedName name="BOE38A59541A9141B8BBD5C5A071F60FAA" localSheetId="7" hidden="1">#REF!</definedName>
    <definedName name="BOE38A59541A9141B8BBD5C5A071F60FAA" hidden="1">#REF!</definedName>
    <definedName name="BOE38B822C71FD43248B2F3C74896A93EA" localSheetId="7" hidden="1">#REF!</definedName>
    <definedName name="BOE38B822C71FD43248B2F3C74896A93EA" hidden="1">#REF!</definedName>
    <definedName name="BOE38BB26790264161A4233751759FA3A8" localSheetId="7" hidden="1">#REF!</definedName>
    <definedName name="BOE38BB26790264161A4233751759FA3A8" hidden="1">#REF!</definedName>
    <definedName name="BOE39FD1BCEC0147879CDB578F98E62459" localSheetId="7" hidden="1">#REF!</definedName>
    <definedName name="BOE39FD1BCEC0147879CDB578F98E62459" hidden="1">#REF!</definedName>
    <definedName name="BOE3D6AF8FDAEB453C9EB66F1F157DF7C4" localSheetId="7" hidden="1">#REF!</definedName>
    <definedName name="BOE3D6AF8FDAEB453C9EB66F1F157DF7C4" hidden="1">#REF!</definedName>
    <definedName name="BOE3DDA3DD138146FDBEB43260455C84EE" localSheetId="7" hidden="1">#REF!</definedName>
    <definedName name="BOE3DDA3DD138146FDBEB43260455C84EE" hidden="1">#REF!</definedName>
    <definedName name="BOE3DDED1C009F4205B31618EC3B2867D7" localSheetId="7" hidden="1">#REF!</definedName>
    <definedName name="BOE3DDED1C009F4205B31618EC3B2867D7" hidden="1">#REF!</definedName>
    <definedName name="BOE3E32C3F13DE4703A5E467F477E72ACF" localSheetId="7" hidden="1">#REF!</definedName>
    <definedName name="BOE3E32C3F13DE4703A5E467F477E72ACF" hidden="1">#REF!</definedName>
    <definedName name="BOE3FE3BC47AB148DC96694417DFBA9F3F" localSheetId="7" hidden="1">#REF!</definedName>
    <definedName name="BOE3FE3BC47AB148DC96694417DFBA9F3F" hidden="1">#REF!</definedName>
    <definedName name="BOE41D48D0CCB04FAABD77789596C0036C" localSheetId="7" hidden="1">#REF!</definedName>
    <definedName name="BOE41D48D0CCB04FAABD77789596C0036C" hidden="1">#REF!</definedName>
    <definedName name="BOE42268062A5A48F78DF9748D5E66B1CB" localSheetId="7" hidden="1">#REF!</definedName>
    <definedName name="BOE42268062A5A48F78DF9748D5E66B1CB" hidden="1">#REF!</definedName>
    <definedName name="BOE431ACA35E5C4E96A006FF3CA7248A98" localSheetId="7" hidden="1">#REF!</definedName>
    <definedName name="BOE431ACA35E5C4E96A006FF3CA7248A98" hidden="1">#REF!</definedName>
    <definedName name="BOE456B9F4BD294D72AD00E4939A0EF4E9" localSheetId="7" hidden="1">#REF!</definedName>
    <definedName name="BOE456B9F4BD294D72AD00E4939A0EF4E9" hidden="1">#REF!</definedName>
    <definedName name="BOE4683F9665834815B4E5F536FF0AA361" localSheetId="7" hidden="1">#REF!</definedName>
    <definedName name="BOE4683F9665834815B4E5F536FF0AA361" hidden="1">#REF!</definedName>
    <definedName name="BOE471A7F8D6D049AC80BFC39F94E8EDB8" localSheetId="7" hidden="1">#REF!</definedName>
    <definedName name="BOE471A7F8D6D049AC80BFC39F94E8EDB8" hidden="1">#REF!</definedName>
    <definedName name="BOE47595993AF645A3A402D682C1EF4FD7" localSheetId="7" hidden="1">#REF!</definedName>
    <definedName name="BOE47595993AF645A3A402D682C1EF4FD7" hidden="1">#REF!</definedName>
    <definedName name="BOE49595A5B2384DA29FD875E76119439E" localSheetId="7" hidden="1">#REF!</definedName>
    <definedName name="BOE49595A5B2384DA29FD875E76119439E" hidden="1">#REF!</definedName>
    <definedName name="BOE4A461711AB74C63940D555F4EA82723" localSheetId="7" hidden="1">#REF!</definedName>
    <definedName name="BOE4A461711AB74C63940D555F4EA82723" hidden="1">#REF!</definedName>
    <definedName name="BOE4C3A468B2414682841BAF8938725373" localSheetId="7" hidden="1">#REF!</definedName>
    <definedName name="BOE4C3A468B2414682841BAF8938725373" hidden="1">#REF!</definedName>
    <definedName name="BOE4CB2A93502E4BFDAA19C832125C584E" localSheetId="7" hidden="1">#REF!</definedName>
    <definedName name="BOE4CB2A93502E4BFDAA19C832125C584E" hidden="1">#REF!</definedName>
    <definedName name="BOE4CF34E91D8A4792993B5B5818952B8B" localSheetId="7" hidden="1">#REF!</definedName>
    <definedName name="BOE4CF34E91D8A4792993B5B5818952B8B" hidden="1">#REF!</definedName>
    <definedName name="BOE4FF744ED0B54AA68085FA0DFABA1341" localSheetId="7" hidden="1">#REF!</definedName>
    <definedName name="BOE4FF744ED0B54AA68085FA0DFABA1341" hidden="1">#REF!</definedName>
    <definedName name="BOE5010A3452004CB4A9E1439AE09D2C54" localSheetId="7" hidden="1">#REF!</definedName>
    <definedName name="BOE5010A3452004CB4A9E1439AE09D2C54" hidden="1">#REF!</definedName>
    <definedName name="BOE50358D48E114271B6C338E53F60AC9C" localSheetId="7" hidden="1">#REF!</definedName>
    <definedName name="BOE50358D48E114271B6C338E53F60AC9C" hidden="1">#REF!</definedName>
    <definedName name="BOE504E75D8AC54BC19B663904FB4F8F54" localSheetId="7" hidden="1">#REF!</definedName>
    <definedName name="BOE504E75D8AC54BC19B663904FB4F8F54" hidden="1">#REF!</definedName>
    <definedName name="BOE50C224610DF43AF93920127E2D2A111" localSheetId="7" hidden="1">#REF!</definedName>
    <definedName name="BOE50C224610DF43AF93920127E2D2A111" hidden="1">#REF!</definedName>
    <definedName name="BOE50C9B6517AE47CABEC8B7EA3E38B2FD" localSheetId="7" hidden="1">#REF!</definedName>
    <definedName name="BOE50C9B6517AE47CABEC8B7EA3E38B2FD" hidden="1">#REF!</definedName>
    <definedName name="BOE51D73F477FB49AAA110D5BD65312EF6" localSheetId="7" hidden="1">#REF!</definedName>
    <definedName name="BOE51D73F477FB49AAA110D5BD65312EF6" hidden="1">#REF!</definedName>
    <definedName name="BOE52763E262BC48A1AE28453F05FB60E5" localSheetId="7" hidden="1">#REF!</definedName>
    <definedName name="BOE52763E262BC48A1AE28453F05FB60E5" hidden="1">#REF!</definedName>
    <definedName name="BOE5336D8B995B40859375B9452D457296" localSheetId="7" hidden="1">#REF!</definedName>
    <definedName name="BOE5336D8B995B40859375B9452D457296" hidden="1">#REF!</definedName>
    <definedName name="BOE538955665584B4AB9D75916ED84D2CF" localSheetId="7" hidden="1">#REF!</definedName>
    <definedName name="BOE538955665584B4AB9D75916ED84D2CF" hidden="1">#REF!</definedName>
    <definedName name="BOE5402E2AC2014250B9C9945BE2982764" localSheetId="7" hidden="1">#REF!</definedName>
    <definedName name="BOE5402E2AC2014250B9C9945BE2982764" hidden="1">#REF!</definedName>
    <definedName name="BOE55DE8E865E24889812BAD1C7F5EC598" localSheetId="7" hidden="1">#REF!</definedName>
    <definedName name="BOE55DE8E865E24889812BAD1C7F5EC598" hidden="1">#REF!</definedName>
    <definedName name="BOE563E8EAB65F49FBBBDADD4B98F2E71F" localSheetId="7" hidden="1">#REF!</definedName>
    <definedName name="BOE563E8EAB65F49FBBBDADD4B98F2E71F" hidden="1">#REF!</definedName>
    <definedName name="BOE59230E316544104905DF75D99E60D84" localSheetId="7" hidden="1">#REF!</definedName>
    <definedName name="BOE59230E316544104905DF75D99E60D84" hidden="1">#REF!</definedName>
    <definedName name="BOE5DD279B6E1642ADBD44BEFB0B027382" localSheetId="7" hidden="1">#REF!</definedName>
    <definedName name="BOE5DD279B6E1642ADBD44BEFB0B027382" hidden="1">#REF!</definedName>
    <definedName name="BOE5E138DEE8FC496DA776D8F7029DAC31" localSheetId="7" hidden="1">#REF!</definedName>
    <definedName name="BOE5E138DEE8FC496DA776D8F7029DAC31" hidden="1">#REF!</definedName>
    <definedName name="BOE5FA4AD47585443DBE7AA947E26EF44A" localSheetId="7" hidden="1">#REF!</definedName>
    <definedName name="BOE5FA4AD47585443DBE7AA947E26EF44A" hidden="1">#REF!</definedName>
    <definedName name="BOE5FFD4578679405A9442527C2884AF78" localSheetId="7" hidden="1">#REF!</definedName>
    <definedName name="BOE5FFD4578679405A9442527C2884AF78" hidden="1">#REF!</definedName>
    <definedName name="BOE61100E0BABE4FFEA4E0F9DBB8A6F105" localSheetId="7" hidden="1">#REF!</definedName>
    <definedName name="BOE61100E0BABE4FFEA4E0F9DBB8A6F105" hidden="1">#REF!</definedName>
    <definedName name="BOE6190CE2D21F4DB0A22E547B7358A85B" localSheetId="7" hidden="1">#REF!</definedName>
    <definedName name="BOE6190CE2D21F4DB0A22E547B7358A85B" hidden="1">#REF!</definedName>
    <definedName name="BOE65AB8CA082645A99D25E456C034769C" localSheetId="7" hidden="1">#REF!</definedName>
    <definedName name="BOE65AB8CA082645A99D25E456C034769C" hidden="1">#REF!</definedName>
    <definedName name="BOE665EF3EEE4C413F96EB7C819E49B70E" localSheetId="7" hidden="1">#REF!</definedName>
    <definedName name="BOE665EF3EEE4C413F96EB7C819E49B70E" hidden="1">#REF!</definedName>
    <definedName name="BOE67B2C194CD845498737676B97A9038F" localSheetId="7" hidden="1">#REF!</definedName>
    <definedName name="BOE67B2C194CD845498737676B97A9038F" hidden="1">#REF!</definedName>
    <definedName name="BOE67CA3A6628C4F2884F1BA96413D8F13" localSheetId="7" hidden="1">#REF!</definedName>
    <definedName name="BOE67CA3A6628C4F2884F1BA96413D8F13" hidden="1">#REF!</definedName>
    <definedName name="BOE68E1B978E0247FF9524E72471B8C81B" localSheetId="7" hidden="1">#REF!</definedName>
    <definedName name="BOE68E1B978E0247FF9524E72471B8C81B" hidden="1">#REF!</definedName>
    <definedName name="BOE698B28538944A48ACDD65AF9F043E45" localSheetId="7" hidden="1">#REF!</definedName>
    <definedName name="BOE698B28538944A48ACDD65AF9F043E45" hidden="1">#REF!</definedName>
    <definedName name="BOE69D4628A5464912BF64112D6D709129" localSheetId="7" hidden="1">#REF!</definedName>
    <definedName name="BOE69D4628A5464912BF64112D6D709129" hidden="1">#REF!</definedName>
    <definedName name="BOE69D6F9D6DA14EDFAD780990A898AE72" localSheetId="7" hidden="1">#REF!</definedName>
    <definedName name="BOE69D6F9D6DA14EDFAD780990A898AE72" hidden="1">#REF!</definedName>
    <definedName name="BOE6B1909FA4EE426095C9BBA525257450" localSheetId="7" hidden="1">#REF!</definedName>
    <definedName name="BOE6B1909FA4EE426095C9BBA525257450" hidden="1">#REF!</definedName>
    <definedName name="BOE6B50E9D3C884DE0A0C6668138F2200E" localSheetId="7" hidden="1">#REF!</definedName>
    <definedName name="BOE6B50E9D3C884DE0A0C6668138F2200E" hidden="1">#REF!</definedName>
    <definedName name="BOE6B56886257B4559942C200833098B6B" localSheetId="7" hidden="1">#REF!</definedName>
    <definedName name="BOE6B56886257B4559942C200833098B6B" hidden="1">#REF!</definedName>
    <definedName name="BOE6DED64122AA4112B52EED89FCDA92AB" localSheetId="7" hidden="1">#REF!</definedName>
    <definedName name="BOE6DED64122AA4112B52EED89FCDA92AB" hidden="1">#REF!</definedName>
    <definedName name="BOE6EE0D3B0A5E43528C4C8A2780845D00" localSheetId="7" hidden="1">#REF!</definedName>
    <definedName name="BOE6EE0D3B0A5E43528C4C8A2780845D00" hidden="1">#REF!</definedName>
    <definedName name="BOE701376F1C954F918B407A6A50B7F2B8" localSheetId="7" hidden="1">#REF!</definedName>
    <definedName name="BOE701376F1C954F918B407A6A50B7F2B8" hidden="1">#REF!</definedName>
    <definedName name="BOE70CB10CCF2F42EB970A3317CAD637BE" localSheetId="7" hidden="1">#REF!</definedName>
    <definedName name="BOE70CB10CCF2F42EB970A3317CAD637BE" hidden="1">#REF!</definedName>
    <definedName name="BOE718F9C0123F4E58B3E431D3F6E4BB9D" localSheetId="7" hidden="1">#REF!</definedName>
    <definedName name="BOE718F9C0123F4E58B3E431D3F6E4BB9D" hidden="1">#REF!</definedName>
    <definedName name="BOE71BDAC2F766434CB9BCB80A0762EDEF" localSheetId="7" hidden="1">#REF!</definedName>
    <definedName name="BOE71BDAC2F766434CB9BCB80A0762EDEF" hidden="1">#REF!</definedName>
    <definedName name="BOE71F1D916B4445DCB4A85A9D02B6F689" localSheetId="7" hidden="1">#REF!</definedName>
    <definedName name="BOE71F1D916B4445DCB4A85A9D02B6F689" hidden="1">#REF!</definedName>
    <definedName name="BOE7268FEB29114316877CA4422DF5354D" localSheetId="7" hidden="1">#REF!</definedName>
    <definedName name="BOE7268FEB29114316877CA4422DF5354D" hidden="1">#REF!</definedName>
    <definedName name="BOE73CE46B3FA84887A3767F9DB95C5286" localSheetId="7" hidden="1">#REF!</definedName>
    <definedName name="BOE73CE46B3FA84887A3767F9DB95C5286" hidden="1">#REF!</definedName>
    <definedName name="BOE747B72D09594B2D86084D4E1B69DBD7" localSheetId="7" hidden="1">#REF!</definedName>
    <definedName name="BOE747B72D09594B2D86084D4E1B69DBD7" hidden="1">#REF!</definedName>
    <definedName name="BOE75C2EB5C8904C50AC1F9BD2FF07BB23" localSheetId="7" hidden="1">#REF!</definedName>
    <definedName name="BOE75C2EB5C8904C50AC1F9BD2FF07BB23" hidden="1">#REF!</definedName>
    <definedName name="BOE75C82C1D59541EBA2DBDC910E93861B" localSheetId="7" hidden="1">#REF!</definedName>
    <definedName name="BOE75C82C1D59541EBA2DBDC910E93861B" hidden="1">#REF!</definedName>
    <definedName name="BOE765D7375AAC4554BD106DEFA692D54F" localSheetId="7" hidden="1">#REF!</definedName>
    <definedName name="BOE765D7375AAC4554BD106DEFA692D54F" hidden="1">#REF!</definedName>
    <definedName name="BOE7922BE0BE304A409E7E98BA28C81C92" localSheetId="7" hidden="1">#REF!</definedName>
    <definedName name="BOE7922BE0BE304A409E7E98BA28C81C92" hidden="1">#REF!</definedName>
    <definedName name="BOE79BD316E2CC40ABB48E0719461C81B9" localSheetId="7" hidden="1">#REF!</definedName>
    <definedName name="BOE79BD316E2CC40ABB48E0719461C81B9" hidden="1">#REF!</definedName>
    <definedName name="BOE7A4281EB07341AB9558F270A04AA1D1" localSheetId="7" hidden="1">#REF!</definedName>
    <definedName name="BOE7A4281EB07341AB9558F270A04AA1D1" hidden="1">#REF!</definedName>
    <definedName name="BOE7A5C030C4AD4A099FA92927D5A20793" localSheetId="7" hidden="1">#REF!</definedName>
    <definedName name="BOE7A5C030C4AD4A099FA92927D5A20793" hidden="1">#REF!</definedName>
    <definedName name="BOE7A5C76FB28243CDBC7B251BEB8DAF8F" localSheetId="7" hidden="1">#REF!</definedName>
    <definedName name="BOE7A5C76FB28243CDBC7B251BEB8DAF8F" hidden="1">#REF!</definedName>
    <definedName name="BOE7BEA210B6C64FD596C5ADF438443E4A" localSheetId="7" hidden="1">#REF!</definedName>
    <definedName name="BOE7BEA210B6C64FD596C5ADF438443E4A" hidden="1">#REF!</definedName>
    <definedName name="BOE7D8BF6EC29344AF8F246C710B3E2BB4" localSheetId="7" hidden="1">#REF!</definedName>
    <definedName name="BOE7D8BF6EC29344AF8F246C710B3E2BB4" hidden="1">#REF!</definedName>
    <definedName name="BOE7E0B163339E41F287E96F1FDAA05EEE" localSheetId="7" hidden="1">#REF!</definedName>
    <definedName name="BOE7E0B163339E41F287E96F1FDAA05EEE" hidden="1">#REF!</definedName>
    <definedName name="BOE7E6AF352ADC4672BE41F94823E5C314" localSheetId="7" hidden="1">#REF!</definedName>
    <definedName name="BOE7E6AF352ADC4672BE41F94823E5C314" hidden="1">#REF!</definedName>
    <definedName name="BOE81864B994374D2DA87DACC8A9EF9A76" localSheetId="7" hidden="1">#REF!</definedName>
    <definedName name="BOE81864B994374D2DA87DACC8A9EF9A76" hidden="1">#REF!</definedName>
    <definedName name="BOE825860785CB41919B208F0EC53D1848" localSheetId="7" hidden="1">#REF!</definedName>
    <definedName name="BOE825860785CB41919B208F0EC53D1848" hidden="1">#REF!</definedName>
    <definedName name="BOE84392C0B349440CAC181B821A7CB77E" localSheetId="7" hidden="1">#REF!</definedName>
    <definedName name="BOE84392C0B349440CAC181B821A7CB77E" hidden="1">#REF!</definedName>
    <definedName name="BOE86870180B4D49138A781F075E5D9AD3" localSheetId="7" hidden="1">#REF!</definedName>
    <definedName name="BOE86870180B4D49138A781F075E5D9AD3" hidden="1">#REF!</definedName>
    <definedName name="BOE8A262F704954D878C5EF3CF3CE6D6D9" localSheetId="7" hidden="1">#REF!</definedName>
    <definedName name="BOE8A262F704954D878C5EF3CF3CE6D6D9" hidden="1">#REF!</definedName>
    <definedName name="BOE8A4AB5EBA0144D3BD7BF78579160C95" localSheetId="7" hidden="1">#REF!</definedName>
    <definedName name="BOE8A4AB5EBA0144D3BD7BF78579160C95" hidden="1">#REF!</definedName>
    <definedName name="BOE8CA2BD3EF104FC6BC59834EB7049A1B" localSheetId="7" hidden="1">#REF!</definedName>
    <definedName name="BOE8CA2BD3EF104FC6BC59834EB7049A1B" hidden="1">#REF!</definedName>
    <definedName name="BOE8D61581F13B40F1B6CDA07C612C76E2" localSheetId="7" hidden="1">#REF!</definedName>
    <definedName name="BOE8D61581F13B40F1B6CDA07C612C76E2" hidden="1">#REF!</definedName>
    <definedName name="BOE8E41DEF8F0D4192B0E7AEC0EE6EBEE7" localSheetId="7" hidden="1">#REF!</definedName>
    <definedName name="BOE8E41DEF8F0D4192B0E7AEC0EE6EBEE7" hidden="1">#REF!</definedName>
    <definedName name="BOE8F8E972CB9F4F689140BA5DB8052273" localSheetId="7" hidden="1">#REF!</definedName>
    <definedName name="BOE8F8E972CB9F4F689140BA5DB8052273" hidden="1">#REF!</definedName>
    <definedName name="BOE8FB7C81215A4F0188653AA50BAA6301" localSheetId="7" hidden="1">#REF!</definedName>
    <definedName name="BOE8FB7C81215A4F0188653AA50BAA6301" hidden="1">#REF!</definedName>
    <definedName name="BOE91A460666D645D783D8DAFC0B7C92CA" localSheetId="7" hidden="1">#REF!</definedName>
    <definedName name="BOE91A460666D645D783D8DAFC0B7C92CA" hidden="1">#REF!</definedName>
    <definedName name="BOE91E5E377031441FB1A8331FBE45DD34" localSheetId="7" hidden="1">#REF!</definedName>
    <definedName name="BOE91E5E377031441FB1A8331FBE45DD34" hidden="1">#REF!</definedName>
    <definedName name="BOE932ECA8B6664AF2AC5D4D2ADC684709" localSheetId="7" hidden="1">#REF!</definedName>
    <definedName name="BOE932ECA8B6664AF2AC5D4D2ADC684709" hidden="1">#REF!</definedName>
    <definedName name="BOE93E6AABB17B437193A853C8C9843072" localSheetId="7" hidden="1">#REF!</definedName>
    <definedName name="BOE93E6AABB17B437193A853C8C9843072" hidden="1">#REF!</definedName>
    <definedName name="BOE9496CF545124AAFB9DF22FE2F9C9AE7" localSheetId="7" hidden="1">#REF!</definedName>
    <definedName name="BOE9496CF545124AAFB9DF22FE2F9C9AE7" hidden="1">#REF!</definedName>
    <definedName name="BOE96A53AC7AFF4053B8F3FB11079FB89C" localSheetId="7" hidden="1">#REF!</definedName>
    <definedName name="BOE96A53AC7AFF4053B8F3FB11079FB89C" hidden="1">#REF!</definedName>
    <definedName name="BOE97ED64874134F43B409DCCF6FA4CC41" localSheetId="7" hidden="1">#REF!</definedName>
    <definedName name="BOE97ED64874134F43B409DCCF6FA4CC41" hidden="1">#REF!</definedName>
    <definedName name="BOE99ABB5748F84E2FAFAC53B5919917BC" localSheetId="7" hidden="1">#REF!</definedName>
    <definedName name="BOE99ABB5748F84E2FAFAC53B5919917BC" hidden="1">#REF!</definedName>
    <definedName name="BOE9C6D47142654AF2972F4142B9312CA3" localSheetId="7" hidden="1">#REF!</definedName>
    <definedName name="BOE9C6D47142654AF2972F4142B9312CA3" hidden="1">#REF!</definedName>
    <definedName name="BOE9D0835678D64A8EB6FD0EB7DC1A7C3A" localSheetId="7" hidden="1">#REF!</definedName>
    <definedName name="BOE9D0835678D64A8EB6FD0EB7DC1A7C3A" hidden="1">#REF!</definedName>
    <definedName name="BOE9D33D7E971A4E02916C1D9C88075565" localSheetId="7" hidden="1">#REF!</definedName>
    <definedName name="BOE9D33D7E971A4E02916C1D9C88075565" hidden="1">#REF!</definedName>
    <definedName name="BOE9DD370BBD874743BDDF05A2A1A823F7" localSheetId="7" hidden="1">#REF!</definedName>
    <definedName name="BOE9DD370BBD874743BDDF05A2A1A823F7" hidden="1">#REF!</definedName>
    <definedName name="BOE9ED2502ADBE4F0F933503F97A0FE9B0" localSheetId="7" hidden="1">#REF!</definedName>
    <definedName name="BOE9ED2502ADBE4F0F933503F97A0FE9B0" hidden="1">#REF!</definedName>
    <definedName name="BOE9F00E3E853C4D968D34007EB8C84481" localSheetId="7" hidden="1">#REF!</definedName>
    <definedName name="BOE9F00E3E853C4D968D34007EB8C84481" hidden="1">#REF!</definedName>
    <definedName name="BOEA05963DDC7B4412B15C1C2FFD89D702" localSheetId="7" hidden="1">#REF!</definedName>
    <definedName name="BOEA05963DDC7B4412B15C1C2FFD89D702" hidden="1">#REF!</definedName>
    <definedName name="BOEA0DFAF908D645F1A47A75B866433F10" localSheetId="7" hidden="1">#REF!</definedName>
    <definedName name="BOEA0DFAF908D645F1A47A75B866433F10" hidden="1">#REF!</definedName>
    <definedName name="BOEA1BD8F5CC774EDF8F0FA0F04D1C973D" localSheetId="7" hidden="1">#REF!</definedName>
    <definedName name="BOEA1BD8F5CC774EDF8F0FA0F04D1C973D" hidden="1">#REF!</definedName>
    <definedName name="BOEA1CA5C09A984965B72A22FEC935262C" localSheetId="7" hidden="1">#REF!</definedName>
    <definedName name="BOEA1CA5C09A984965B72A22FEC935262C" hidden="1">#REF!</definedName>
    <definedName name="BOEA1D790BA73F412E83436817677F4D62" localSheetId="7" hidden="1">#REF!</definedName>
    <definedName name="BOEA1D790BA73F412E83436817677F4D62" hidden="1">#REF!</definedName>
    <definedName name="BOEA223DDE5AAA4EBC89CDC58EEEB613B3" localSheetId="7" hidden="1">#REF!</definedName>
    <definedName name="BOEA223DDE5AAA4EBC89CDC58EEEB613B3" hidden="1">#REF!</definedName>
    <definedName name="BOEA478579C3C84E8DA24091D036493483" localSheetId="7" hidden="1">#REF!</definedName>
    <definedName name="BOEA478579C3C84E8DA24091D036493483" hidden="1">#REF!</definedName>
    <definedName name="BOEA5060540B904A85AE390916E05E66D6" localSheetId="7" hidden="1">#REF!</definedName>
    <definedName name="BOEA5060540B904A85AE390916E05E66D6" hidden="1">#REF!</definedName>
    <definedName name="BOEA50CA3A5D3B4B30B7C99A42E809F3E8" localSheetId="7" hidden="1">#REF!</definedName>
    <definedName name="BOEA50CA3A5D3B4B30B7C99A42E809F3E8" hidden="1">#REF!</definedName>
    <definedName name="BOEA5EC29684064FBA8F500E8A3DF4B6CF" localSheetId="7" hidden="1">#REF!</definedName>
    <definedName name="BOEA5EC29684064FBA8F500E8A3DF4B6CF" hidden="1">#REF!</definedName>
    <definedName name="BOEA7398B89D014F62BE236C4BC1A4E59D" localSheetId="7" hidden="1">#REF!</definedName>
    <definedName name="BOEA7398B89D014F62BE236C4BC1A4E59D" hidden="1">#REF!</definedName>
    <definedName name="BOEA8DEFC804894D2ABDE2074F34C127B5" localSheetId="7" hidden="1">#REF!</definedName>
    <definedName name="BOEA8DEFC804894D2ABDE2074F34C127B5" hidden="1">#REF!</definedName>
    <definedName name="BOEA958995C7F4437BB646B597A49430B4" localSheetId="7" hidden="1">#REF!</definedName>
    <definedName name="BOEA958995C7F4437BB646B597A49430B4" hidden="1">#REF!</definedName>
    <definedName name="BOEAA0B12EA530426D90A879CB7ED5A371" localSheetId="7" hidden="1">#REF!</definedName>
    <definedName name="BOEAA0B12EA530426D90A879CB7ED5A371" hidden="1">#REF!</definedName>
    <definedName name="BOEAA23917B6D84CF288D0D3B69AD175FD" localSheetId="7" hidden="1">#REF!</definedName>
    <definedName name="BOEAA23917B6D84CF288D0D3B69AD175FD" hidden="1">#REF!</definedName>
    <definedName name="BOEAA3740AF37B4F689C4DB03851E75765" localSheetId="7" hidden="1">#REF!</definedName>
    <definedName name="BOEAA3740AF37B4F689C4DB03851E75765" hidden="1">#REF!</definedName>
    <definedName name="BOEAA4EF60DAA04FC6B5FF619DB1CA444F" localSheetId="7" hidden="1">#REF!</definedName>
    <definedName name="BOEAA4EF60DAA04FC6B5FF619DB1CA444F" hidden="1">#REF!</definedName>
    <definedName name="BOEAAC956E479048E88453AC8E1C5729D3" localSheetId="7" hidden="1">#REF!</definedName>
    <definedName name="BOEAAC956E479048E88453AC8E1C5729D3" hidden="1">#REF!</definedName>
    <definedName name="BOEAB8045AB1B44845BA83E6B07D2D7BB8" localSheetId="7" hidden="1">#REF!</definedName>
    <definedName name="BOEAB8045AB1B44845BA83E6B07D2D7BB8" hidden="1">#REF!</definedName>
    <definedName name="BOEAE3C0BD3E2A4666846BBBF1169ED320" localSheetId="7" hidden="1">#REF!</definedName>
    <definedName name="BOEAE3C0BD3E2A4666846BBBF1169ED320" hidden="1">#REF!</definedName>
    <definedName name="BOEB2BC4B6CA5A48A8B9D2292862CE4363" localSheetId="7" hidden="1">#REF!</definedName>
    <definedName name="BOEB2BC4B6CA5A48A8B9D2292862CE4363" hidden="1">#REF!</definedName>
    <definedName name="BOEB38E74DAFD34C46A0CF084CA1A35B16" localSheetId="7" hidden="1">#REF!</definedName>
    <definedName name="BOEB38E74DAFD34C46A0CF084CA1A35B16" hidden="1">#REF!</definedName>
    <definedName name="BOEB52586B678548BFBBD2D4AA0C356347" localSheetId="7" hidden="1">#REF!</definedName>
    <definedName name="BOEB52586B678548BFBBD2D4AA0C356347" hidden="1">#REF!</definedName>
    <definedName name="BOEB6038EE456144BEB69DC79628A805A6" localSheetId="7" hidden="1">#REF!</definedName>
    <definedName name="BOEB6038EE456144BEB69DC79628A805A6" hidden="1">#REF!</definedName>
    <definedName name="BOEB7880DD51D043BE82716274DD7771F7" localSheetId="7" hidden="1">#REF!</definedName>
    <definedName name="BOEB7880DD51D043BE82716274DD7771F7" hidden="1">#REF!</definedName>
    <definedName name="BOEB7B664897DD4AE68E93F9CEDD2665BE" localSheetId="7" hidden="1">#REF!</definedName>
    <definedName name="BOEB7B664897DD4AE68E93F9CEDD2665BE" hidden="1">#REF!</definedName>
    <definedName name="BOEB84DC20AF114391B01D86907B9A57AC" localSheetId="7" hidden="1">#REF!</definedName>
    <definedName name="BOEB84DC20AF114391B01D86907B9A57AC" hidden="1">#REF!</definedName>
    <definedName name="BOEBA1991E69454772B1FE5EC9D689F99E" localSheetId="7" hidden="1">#REF!</definedName>
    <definedName name="BOEBA1991E69454772B1FE5EC9D689F99E" hidden="1">#REF!</definedName>
    <definedName name="BOEBA6F8334DE044789F21887B97866497" localSheetId="7" hidden="1">#REF!</definedName>
    <definedName name="BOEBA6F8334DE044789F21887B97866497" hidden="1">#REF!</definedName>
    <definedName name="BOEBC7584DADE54D09BFC440D6975B876A" localSheetId="7" hidden="1">#REF!</definedName>
    <definedName name="BOEBC7584DADE54D09BFC440D6975B876A" hidden="1">#REF!</definedName>
    <definedName name="BOEBD3DFD0E70048B8837C57B4E88C3E0A" localSheetId="7" hidden="1">#REF!</definedName>
    <definedName name="BOEBD3DFD0E70048B8837C57B4E88C3E0A" hidden="1">#REF!</definedName>
    <definedName name="BOEBEE93A236C047D999AB798059AB7920" localSheetId="7" hidden="1">#REF!</definedName>
    <definedName name="BOEBEE93A236C047D999AB798059AB7920" hidden="1">#REF!</definedName>
    <definedName name="BOEC14EC9C3ACA4AA296C7BF1F4101433A" localSheetId="7" hidden="1">#REF!</definedName>
    <definedName name="BOEC14EC9C3ACA4AA296C7BF1F4101433A" hidden="1">#REF!</definedName>
    <definedName name="BOEC42C8A4C31447EB990C981AF3EE5A00" localSheetId="7" hidden="1">#REF!</definedName>
    <definedName name="BOEC42C8A4C31447EB990C981AF3EE5A00" hidden="1">#REF!</definedName>
    <definedName name="BOEC4FCF0B227B449EBDE222284392B4C5" localSheetId="7" hidden="1">#REF!</definedName>
    <definedName name="BOEC4FCF0B227B449EBDE222284392B4C5" hidden="1">#REF!</definedName>
    <definedName name="BOEC5DDF61340F405EA848B0D8A1025E5E" localSheetId="7" hidden="1">#REF!</definedName>
    <definedName name="BOEC5DDF61340F405EA848B0D8A1025E5E" hidden="1">#REF!</definedName>
    <definedName name="BOEC6BE1781103448D9DB49CB3DB8D4BE2" localSheetId="7" hidden="1">#REF!</definedName>
    <definedName name="BOEC6BE1781103448D9DB49CB3DB8D4BE2" hidden="1">#REF!</definedName>
    <definedName name="BOEC6DA7BA45924FF3819521692A6D5A68" localSheetId="7" hidden="1">#REF!</definedName>
    <definedName name="BOEC6DA7BA45924FF3819521692A6D5A68" hidden="1">#REF!</definedName>
    <definedName name="BOEC81B8E9EA9049298CBB1AFCD2F69D8C" localSheetId="7" hidden="1">#REF!</definedName>
    <definedName name="BOEC81B8E9EA9049298CBB1AFCD2F69D8C" hidden="1">#REF!</definedName>
    <definedName name="BOEC841D30676F455F96457365389C8B6C" localSheetId="7" hidden="1">#REF!</definedName>
    <definedName name="BOEC841D30676F455F96457365389C8B6C" hidden="1">#REF!</definedName>
    <definedName name="BOEC8E951DB6B94964AAB9EF6D46692A90" localSheetId="7" hidden="1">#REF!</definedName>
    <definedName name="BOEC8E951DB6B94964AAB9EF6D46692A90" hidden="1">#REF!</definedName>
    <definedName name="BOECB35F2DE1D44F0ABAB0C20F06AB9DA3" localSheetId="7" hidden="1">#REF!</definedName>
    <definedName name="BOECB35F2DE1D44F0ABAB0C20F06AB9DA3" hidden="1">#REF!</definedName>
    <definedName name="BOECC18E43D2E248FDA1756A013876A6ED" localSheetId="7" hidden="1">#REF!</definedName>
    <definedName name="BOECC18E43D2E248FDA1756A013876A6ED" hidden="1">#REF!</definedName>
    <definedName name="BOECC64B739E4D4B6EB4850389B3357A9C" localSheetId="7" hidden="1">#REF!</definedName>
    <definedName name="BOECC64B739E4D4B6EB4850389B3357A9C" hidden="1">#REF!</definedName>
    <definedName name="BOECF85F20284B4CDAB588CB28986D13A4" localSheetId="7" hidden="1">#REF!</definedName>
    <definedName name="BOECF85F20284B4CDAB588CB28986D13A4" hidden="1">#REF!</definedName>
    <definedName name="BOECF8C5F09B134EDC88ABC6255CE4B428" localSheetId="7" hidden="1">#REF!</definedName>
    <definedName name="BOECF8C5F09B134EDC88ABC6255CE4B428" hidden="1">#REF!</definedName>
    <definedName name="BOED14A13B113F41E1B20E275C9E995914" localSheetId="7" hidden="1">#REF!</definedName>
    <definedName name="BOED14A13B113F41E1B20E275C9E995914" hidden="1">#REF!</definedName>
    <definedName name="BOED59830A46F049DA96F824EAC99A2173" localSheetId="7" hidden="1">#REF!</definedName>
    <definedName name="BOED59830A46F049DA96F824EAC99A2173" hidden="1">#REF!</definedName>
    <definedName name="BOED7540826A43444792C36808C4EE8FA0" localSheetId="7" hidden="1">#REF!</definedName>
    <definedName name="BOED7540826A43444792C36808C4EE8FA0" hidden="1">#REF!</definedName>
    <definedName name="BOED75CA1D666A40C7967BB5B04430D08C" localSheetId="7" hidden="1">#REF!</definedName>
    <definedName name="BOED75CA1D666A40C7967BB5B04430D08C" hidden="1">#REF!</definedName>
    <definedName name="BOED7CD75EB8234067B9429B8248A1CAF1" localSheetId="7" hidden="1">#REF!</definedName>
    <definedName name="BOED7CD75EB8234067B9429B8248A1CAF1" hidden="1">#REF!</definedName>
    <definedName name="BOED959F3826074F7F9DBDBAD0BE46D2DA" localSheetId="7" hidden="1">#REF!</definedName>
    <definedName name="BOED959F3826074F7F9DBDBAD0BE46D2DA" hidden="1">#REF!</definedName>
    <definedName name="BOED9722113FB14064A1FF25C8B890C741" localSheetId="7" hidden="1">#REF!</definedName>
    <definedName name="BOED9722113FB14064A1FF25C8B890C741" hidden="1">#REF!</definedName>
    <definedName name="BOED99108E548D447A98D45207097042B2" localSheetId="7" hidden="1">#REF!</definedName>
    <definedName name="BOED99108E548D447A98D45207097042B2" hidden="1">#REF!</definedName>
    <definedName name="BOEDA540CE784847B084F207B5A4C81779" localSheetId="7" hidden="1">#REF!</definedName>
    <definedName name="BOEDA540CE784847B084F207B5A4C81779" hidden="1">#REF!</definedName>
    <definedName name="BOEDF54DCD860C4D11BF647D9DC2818729" localSheetId="7" hidden="1">#REF!</definedName>
    <definedName name="BOEDF54DCD860C4D11BF647D9DC2818729" hidden="1">#REF!</definedName>
    <definedName name="BOEE1A16EFFBEB40C08466E1EB93EC84BB" localSheetId="7" hidden="1">#REF!</definedName>
    <definedName name="BOEE1A16EFFBEB40C08466E1EB93EC84BB" hidden="1">#REF!</definedName>
    <definedName name="BOEE42789EF19E4F619D3890BA0928B484" localSheetId="7" hidden="1">#REF!</definedName>
    <definedName name="BOEE42789EF19E4F619D3890BA0928B484" hidden="1">#REF!</definedName>
    <definedName name="BOEE4368B4176F497493F774E5D2F7E1CA" localSheetId="7" hidden="1">#REF!</definedName>
    <definedName name="BOEE4368B4176F497493F774E5D2F7E1CA" hidden="1">#REF!</definedName>
    <definedName name="BOEE559E0696ED4B709F918226C65CA5B5" localSheetId="7" hidden="1">#REF!</definedName>
    <definedName name="BOEE559E0696ED4B709F918226C65CA5B5" hidden="1">#REF!</definedName>
    <definedName name="BOEE6626E529894D74807D88BF4B6F792C" localSheetId="7" hidden="1">#REF!</definedName>
    <definedName name="BOEE6626E529894D74807D88BF4B6F792C" hidden="1">#REF!</definedName>
    <definedName name="BOEE867F8A52A14D4EA7C8EF343E1F7931" localSheetId="7" hidden="1">#REF!</definedName>
    <definedName name="BOEE867F8A52A14D4EA7C8EF343E1F7931" hidden="1">#REF!</definedName>
    <definedName name="BOEE87E744628C409EA19F2E129F3A8F6A" localSheetId="7" hidden="1">#REF!</definedName>
    <definedName name="BOEE87E744628C409EA19F2E129F3A8F6A" hidden="1">#REF!</definedName>
    <definedName name="BOEE8AE23F58B14A14BFD8CB43D03F30B1" localSheetId="7" hidden="1">#REF!</definedName>
    <definedName name="BOEE8AE23F58B14A14BFD8CB43D03F30B1" hidden="1">#REF!</definedName>
    <definedName name="BOEE9EF4E273B14E72AECFF24CCB2E79E8" localSheetId="7" hidden="1">#REF!</definedName>
    <definedName name="BOEE9EF4E273B14E72AECFF24CCB2E79E8" hidden="1">#REF!</definedName>
    <definedName name="BOEEA3B1BF49CB469789D8528598306F5D" localSheetId="7" hidden="1">#REF!</definedName>
    <definedName name="BOEEA3B1BF49CB469789D8528598306F5D" hidden="1">#REF!</definedName>
    <definedName name="BOEEA472E2BB0245829B624A5A53F4301C" localSheetId="7" hidden="1">#REF!</definedName>
    <definedName name="BOEEA472E2BB0245829B624A5A53F4301C" hidden="1">#REF!</definedName>
    <definedName name="BOEEB9B9E417174013929875C610E0DE04" localSheetId="7" hidden="1">#REF!</definedName>
    <definedName name="BOEEB9B9E417174013929875C610E0DE04" hidden="1">#REF!</definedName>
    <definedName name="BOEEFA027B43054E60BF80B9B4FDF39789" localSheetId="7" hidden="1">#REF!</definedName>
    <definedName name="BOEEFA027B43054E60BF80B9B4FDF39789" hidden="1">#REF!</definedName>
    <definedName name="BOEEFECDF413A743C4A070DA5EEFF8A2E0" localSheetId="7" hidden="1">#REF!</definedName>
    <definedName name="BOEEFECDF413A743C4A070DA5EEFF8A2E0" hidden="1">#REF!</definedName>
    <definedName name="BOEF1AF18218B34C9C96442CB38FEF7601" localSheetId="7" hidden="1">#REF!</definedName>
    <definedName name="BOEF1AF18218B34C9C96442CB38FEF7601" hidden="1">#REF!</definedName>
    <definedName name="BOEF43EA9E3C144E53B1A6A3FACFA92630" localSheetId="7" hidden="1">#REF!</definedName>
    <definedName name="BOEF43EA9E3C144E53B1A6A3FACFA92630" hidden="1">#REF!</definedName>
    <definedName name="BOEF52D1705DA84BDF9B2F541AAB4B885C" localSheetId="7" hidden="1">#REF!</definedName>
    <definedName name="BOEF52D1705DA84BDF9B2F541AAB4B885C" hidden="1">#REF!</definedName>
    <definedName name="BOEF94567F1A8E4D1F89D8641C2004B770" localSheetId="7" hidden="1">#REF!</definedName>
    <definedName name="BOEF94567F1A8E4D1F89D8641C2004B770" hidden="1">#REF!</definedName>
    <definedName name="BOEFA01377BF1E4EC593A186DD7F748EC2" localSheetId="7" hidden="1">#REF!</definedName>
    <definedName name="BOEFA01377BF1E4EC593A186DD7F748EC2" hidden="1">#REF!</definedName>
    <definedName name="BOEFB9410073FA458EBC94959A943EC140" localSheetId="7" hidden="1">#REF!</definedName>
    <definedName name="BOEFB9410073FA458EBC94959A943EC140" hidden="1">#REF!</definedName>
    <definedName name="BOEFD9AFDFEC8E4391886A8102983F9158" localSheetId="7" hidden="1">#REF!</definedName>
    <definedName name="BOEFD9AFDFEC8E4391886A8102983F9158" hidden="1">#REF!</definedName>
    <definedName name="BOF00EA0DBA3B148B1B53D9AC734ECE91F" localSheetId="7" hidden="1">#REF!</definedName>
    <definedName name="BOF00EA0DBA3B148B1B53D9AC734ECE91F" hidden="1">#REF!</definedName>
    <definedName name="BOF01527F8A6074041A3D6D7E021835297" localSheetId="7" hidden="1">#REF!</definedName>
    <definedName name="BOF01527F8A6074041A3D6D7E021835297" hidden="1">#REF!</definedName>
    <definedName name="BOF018D843271241AFB4E6556258CD44F7" localSheetId="7" hidden="1">#REF!</definedName>
    <definedName name="BOF018D843271241AFB4E6556258CD44F7" hidden="1">#REF!</definedName>
    <definedName name="BOF027F10DDBB94BFEA43010C8454F6782" localSheetId="7" hidden="1">#REF!</definedName>
    <definedName name="BOF027F10DDBB94BFEA43010C8454F6782" hidden="1">#REF!</definedName>
    <definedName name="BOF0325503BD224D3DBF6DC6ADBEFCFD8A" localSheetId="7" hidden="1">#REF!</definedName>
    <definedName name="BOF0325503BD224D3DBF6DC6ADBEFCFD8A" hidden="1">#REF!</definedName>
    <definedName name="BOF0463BEAC3CB4294B1CA12E73A28D3E6" localSheetId="7" hidden="1">#REF!</definedName>
    <definedName name="BOF0463BEAC3CB4294B1CA12E73A28D3E6" hidden="1">#REF!</definedName>
    <definedName name="BOF053645E1BD9476FAAA306928A36D756" localSheetId="7" hidden="1">#REF!</definedName>
    <definedName name="BOF053645E1BD9476FAAA306928A36D756" hidden="1">#REF!</definedName>
    <definedName name="BOF05E0EC75237467E913519450C59D700" localSheetId="7" hidden="1">#REF!</definedName>
    <definedName name="BOF05E0EC75237467E913519450C59D700" hidden="1">#REF!</definedName>
    <definedName name="BOF0A51C5C932D47E6B2014A42B2FAD410" localSheetId="7" hidden="1">#REF!</definedName>
    <definedName name="BOF0A51C5C932D47E6B2014A42B2FAD410" hidden="1">#REF!</definedName>
    <definedName name="BOF0CB22472A4F4E218236EE85A53BC8FE" localSheetId="7" hidden="1">#REF!</definedName>
    <definedName name="BOF0CB22472A4F4E218236EE85A53BC8FE" hidden="1">#REF!</definedName>
    <definedName name="BOF1008759E9014D9E95B57F589BED6A58" localSheetId="7" hidden="1">#REF!</definedName>
    <definedName name="BOF1008759E9014D9E95B57F589BED6A58" hidden="1">#REF!</definedName>
    <definedName name="BOF1223D601B7E4269B2EEF10F2C09F134" localSheetId="7" hidden="1">#REF!</definedName>
    <definedName name="BOF1223D601B7E4269B2EEF10F2C09F134" hidden="1">#REF!</definedName>
    <definedName name="BOF12C831B956F4F9A84BEE073236D0F44" localSheetId="7" hidden="1">#REF!</definedName>
    <definedName name="BOF12C831B956F4F9A84BEE073236D0F44" hidden="1">#REF!</definedName>
    <definedName name="BOF138C1BACFCE4FB09348D2EE191E15FE" localSheetId="7" hidden="1">#REF!</definedName>
    <definedName name="BOF138C1BACFCE4FB09348D2EE191E15FE" hidden="1">#REF!</definedName>
    <definedName name="BOF13C29365E4C41E6B5E986A657B95863" localSheetId="7" hidden="1">#REF!</definedName>
    <definedName name="BOF13C29365E4C41E6B5E986A657B95863" hidden="1">#REF!</definedName>
    <definedName name="BOF147A81CC81D4920B5C15AE75C5830D6" localSheetId="7" hidden="1">#REF!</definedName>
    <definedName name="BOF147A81CC81D4920B5C15AE75C5830D6" hidden="1">#REF!</definedName>
    <definedName name="BOF15E316CBB4047B48FDCB041238C6693" localSheetId="7" hidden="1">#REF!</definedName>
    <definedName name="BOF15E316CBB4047B48FDCB041238C6693" hidden="1">#REF!</definedName>
    <definedName name="BOF1876AD627484E10945B35B848082235" localSheetId="7" hidden="1">#REF!</definedName>
    <definedName name="BOF1876AD627484E10945B35B848082235" hidden="1">#REF!</definedName>
    <definedName name="BOF1897B9F2D5047719614EB110307A4B0" localSheetId="7" hidden="1">#REF!</definedName>
    <definedName name="BOF1897B9F2D5047719614EB110307A4B0" hidden="1">#REF!</definedName>
    <definedName name="BOF19166400733441193BFF16185B82C5B" localSheetId="7" hidden="1">#REF!</definedName>
    <definedName name="BOF19166400733441193BFF16185B82C5B" hidden="1">#REF!</definedName>
    <definedName name="BOF1A0CBB8D72D4ADCA68E9E27CCC1B325" localSheetId="7" hidden="1">#REF!</definedName>
    <definedName name="BOF1A0CBB8D72D4ADCA68E9E27CCC1B325" hidden="1">#REF!</definedName>
    <definedName name="BOF1C03177B27E450DA8A29257904A58EE" localSheetId="7" hidden="1">#REF!</definedName>
    <definedName name="BOF1C03177B27E450DA8A29257904A58EE" hidden="1">#REF!</definedName>
    <definedName name="BOF1F8BE05F8D6419EA5D58B63198179CE" localSheetId="7" hidden="1">#REF!</definedName>
    <definedName name="BOF1F8BE05F8D6419EA5D58B63198179CE" hidden="1">#REF!</definedName>
    <definedName name="BOF215E6C474F7411DBA43DD74D4F4EDEA" localSheetId="7" hidden="1">#REF!</definedName>
    <definedName name="BOF215E6C474F7411DBA43DD74D4F4EDEA" hidden="1">#REF!</definedName>
    <definedName name="BOF21A2F02412D4ED3884C6C90009283AA" localSheetId="7" hidden="1">#REF!</definedName>
    <definedName name="BOF21A2F02412D4ED3884C6C90009283AA" hidden="1">#REF!</definedName>
    <definedName name="BOF22D127A3FB1401581567377212657B8" localSheetId="7" hidden="1">#REF!</definedName>
    <definedName name="BOF22D127A3FB1401581567377212657B8" hidden="1">#REF!</definedName>
    <definedName name="BOF235A718C91B471BA6FBD39F8786AE67" localSheetId="7" hidden="1">#REF!</definedName>
    <definedName name="BOF235A718C91B471BA6FBD39F8786AE67" hidden="1">#REF!</definedName>
    <definedName name="BOF235E94748DD4C1FAC26C41AC3EC5579" localSheetId="7" hidden="1">#REF!</definedName>
    <definedName name="BOF235E94748DD4C1FAC26C41AC3EC5579" hidden="1">#REF!</definedName>
    <definedName name="BOF246B773E8784334BDA1128CBEE0FEAD" localSheetId="7" hidden="1">#REF!</definedName>
    <definedName name="BOF246B773E8784334BDA1128CBEE0FEAD" hidden="1">#REF!</definedName>
    <definedName name="BOF247ED3F83604ED4B20CDFC06FA58D86" localSheetId="7" hidden="1">#REF!</definedName>
    <definedName name="BOF247ED3F83604ED4B20CDFC06FA58D86" hidden="1">#REF!</definedName>
    <definedName name="BOF2482D70B1AE4A99B51979A39B5C282C" localSheetId="7" hidden="1">#REF!</definedName>
    <definedName name="BOF2482D70B1AE4A99B51979A39B5C282C" hidden="1">#REF!</definedName>
    <definedName name="BOF259F7DEAFB9476882774ADEBCF24B4E" localSheetId="7" hidden="1">#REF!</definedName>
    <definedName name="BOF259F7DEAFB9476882774ADEBCF24B4E" hidden="1">#REF!</definedName>
    <definedName name="BOF26F73241B49482EAF52DACF789FD790" localSheetId="7" hidden="1">#REF!</definedName>
    <definedName name="BOF26F73241B49482EAF52DACF789FD790" hidden="1">#REF!</definedName>
    <definedName name="BOF27499CCA7624CE581A60CECF5CCBFBB" localSheetId="7" hidden="1">#REF!</definedName>
    <definedName name="BOF27499CCA7624CE581A60CECF5CCBFBB" hidden="1">#REF!</definedName>
    <definedName name="BOF298B4E4D1D14CCCAB326207369EA0AF" localSheetId="7" hidden="1">#REF!</definedName>
    <definedName name="BOF298B4E4D1D14CCCAB326207369EA0AF" hidden="1">#REF!</definedName>
    <definedName name="BOF2AD1FD85BEB4FA0861FB97C052F0554" localSheetId="7" hidden="1">#REF!</definedName>
    <definedName name="BOF2AD1FD85BEB4FA0861FB97C052F0554" hidden="1">#REF!</definedName>
    <definedName name="BOF2C16A5FDB0241F6BDF9E13ACB2AA91C" localSheetId="7" hidden="1">#REF!</definedName>
    <definedName name="BOF2C16A5FDB0241F6BDF9E13ACB2AA91C" hidden="1">#REF!</definedName>
    <definedName name="BOF2F4F2952F3C44BC8FBA6C508FEDFEB1" localSheetId="7" hidden="1">#REF!</definedName>
    <definedName name="BOF2F4F2952F3C44BC8FBA6C508FEDFEB1" hidden="1">#REF!</definedName>
    <definedName name="BOF2F87473E55146C38818349EA5C75E15" localSheetId="7" hidden="1">#REF!</definedName>
    <definedName name="BOF2F87473E55146C38818349EA5C75E15" hidden="1">#REF!</definedName>
    <definedName name="BOF301F38CCE114985834F0DD756451C45" localSheetId="7" hidden="1">#REF!</definedName>
    <definedName name="BOF301F38CCE114985834F0DD756451C45" hidden="1">#REF!</definedName>
    <definedName name="BOF30D2CE769584A12B420A8D3F78CF586" localSheetId="7" hidden="1">#REF!</definedName>
    <definedName name="BOF30D2CE769584A12B420A8D3F78CF586" hidden="1">#REF!</definedName>
    <definedName name="BOF311BDAF339D43C59DD7531ABA12C4DD" localSheetId="7" hidden="1">#REF!</definedName>
    <definedName name="BOF311BDAF339D43C59DD7531ABA12C4DD" hidden="1">#REF!</definedName>
    <definedName name="BOF3225CD4C7B344BFBDC7460C1B413B8D" localSheetId="7" hidden="1">#REF!</definedName>
    <definedName name="BOF3225CD4C7B344BFBDC7460C1B413B8D" hidden="1">#REF!</definedName>
    <definedName name="BOF35B9F9C789D4ECBAEC45AA0970B9BD1" localSheetId="7" hidden="1">#REF!</definedName>
    <definedName name="BOF35B9F9C789D4ECBAEC45AA0970B9BD1" hidden="1">#REF!</definedName>
    <definedName name="BOF35F2E778A2E4441BAE0C2FE3AF952C9" localSheetId="7" hidden="1">#REF!</definedName>
    <definedName name="BOF35F2E778A2E4441BAE0C2FE3AF952C9" hidden="1">#REF!</definedName>
    <definedName name="BOF3717DEAEB144682BE71FA767EA2716B" localSheetId="7" hidden="1">#REF!</definedName>
    <definedName name="BOF3717DEAEB144682BE71FA767EA2716B" hidden="1">#REF!</definedName>
    <definedName name="BOF39D1B80A9E0413CBA36DA8CD71CEB0A" localSheetId="7" hidden="1">#REF!</definedName>
    <definedName name="BOF39D1B80A9E0413CBA36DA8CD71CEB0A" hidden="1">#REF!</definedName>
    <definedName name="BOF3A7EC4F7ED243039CC28E6B4F3F51A3" localSheetId="7" hidden="1">#REF!</definedName>
    <definedName name="BOF3A7EC4F7ED243039CC28E6B4F3F51A3" hidden="1">#REF!</definedName>
    <definedName name="BOF3BEE9B76831448E9226CD64455AEDE7" localSheetId="7" hidden="1">#REF!</definedName>
    <definedName name="BOF3BEE9B76831448E9226CD64455AEDE7" hidden="1">#REF!</definedName>
    <definedName name="BOF3D9A4D4B5084F27BB0D7315F364FCE6" localSheetId="7" hidden="1">#REF!</definedName>
    <definedName name="BOF3D9A4D4B5084F27BB0D7315F364FCE6" hidden="1">#REF!</definedName>
    <definedName name="BOF3FFC2110B1046D78ECE89CDF6B7017F" localSheetId="7" hidden="1">#REF!</definedName>
    <definedName name="BOF3FFC2110B1046D78ECE89CDF6B7017F" hidden="1">#REF!</definedName>
    <definedName name="BOF431AE9A8A5F4657AC6B77908337695B" localSheetId="7" hidden="1">#REF!</definedName>
    <definedName name="BOF431AE9A8A5F4657AC6B77908337695B" hidden="1">#REF!</definedName>
    <definedName name="BOF468EDA02185446883A3D6DD8AF68A86" localSheetId="7" hidden="1">#REF!</definedName>
    <definedName name="BOF468EDA02185446883A3D6DD8AF68A86" hidden="1">#REF!</definedName>
    <definedName name="BOF482AD38E4984365AD6D5F0ABB6CCFBB" localSheetId="7" hidden="1">#REF!</definedName>
    <definedName name="BOF482AD38E4984365AD6D5F0ABB6CCFBB" hidden="1">#REF!</definedName>
    <definedName name="BOF483D621BEA14253A1EF4DB54BED952E" localSheetId="7" hidden="1">#REF!</definedName>
    <definedName name="BOF483D621BEA14253A1EF4DB54BED952E" hidden="1">#REF!</definedName>
    <definedName name="BOF491174E14FA4DC690B18DC8345DCD1C" localSheetId="7" hidden="1">#REF!</definedName>
    <definedName name="BOF491174E14FA4DC690B18DC8345DCD1C" hidden="1">#REF!</definedName>
    <definedName name="BOF4A3C86CDC3A4DDCB9F867B83D7F3305" localSheetId="7" hidden="1">#REF!</definedName>
    <definedName name="BOF4A3C86CDC3A4DDCB9F867B83D7F3305" hidden="1">#REF!</definedName>
    <definedName name="BOF4A8708B4B514664A14476DB71107BCC" localSheetId="7" hidden="1">#REF!</definedName>
    <definedName name="BOF4A8708B4B514664A14476DB71107BCC" hidden="1">#REF!</definedName>
    <definedName name="BOF4CA03B9C4D3439EAE259A0E6942B415" localSheetId="7" hidden="1">#REF!</definedName>
    <definedName name="BOF4CA03B9C4D3439EAE259A0E6942B415" hidden="1">#REF!</definedName>
    <definedName name="BOF4CC6830E7E4450DA6A94C7165BEE9C3" localSheetId="7" hidden="1">#REF!</definedName>
    <definedName name="BOF4CC6830E7E4450DA6A94C7165BEE9C3" hidden="1">#REF!</definedName>
    <definedName name="BOF4D02F90F8A3420DA5898FBF2CFD7C74" localSheetId="7" hidden="1">#REF!</definedName>
    <definedName name="BOF4D02F90F8A3420DA5898FBF2CFD7C74" hidden="1">#REF!</definedName>
    <definedName name="BOF4DF3D98FD7D4A4CA7FC21A244938F2F" localSheetId="7" hidden="1">#REF!</definedName>
    <definedName name="BOF4DF3D98FD7D4A4CA7FC21A244938F2F" hidden="1">#REF!</definedName>
    <definedName name="BOF4E7353806574255AD7A26CAFE114698" localSheetId="7" hidden="1">#REF!</definedName>
    <definedName name="BOF4E7353806574255AD7A26CAFE114698" hidden="1">#REF!</definedName>
    <definedName name="BOF4FDC9A35A5246B383B6A8CBFFF87908" localSheetId="7" hidden="1">#REF!</definedName>
    <definedName name="BOF4FDC9A35A5246B383B6A8CBFFF87908" hidden="1">#REF!</definedName>
    <definedName name="BOF504A23BC4424FB7BD8338CF01CDFB66" localSheetId="7" hidden="1">#REF!</definedName>
    <definedName name="BOF504A23BC4424FB7BD8338CF01CDFB66" hidden="1">#REF!</definedName>
    <definedName name="BOF5060240AD294B6A98459735236848D7" localSheetId="7" hidden="1">#REF!</definedName>
    <definedName name="BOF5060240AD294B6A98459735236848D7" hidden="1">#REF!</definedName>
    <definedName name="BOF53E28E37247452C9C1E18261640BC9B" localSheetId="7" hidden="1">#REF!</definedName>
    <definedName name="BOF53E28E37247452C9C1E18261640BC9B" hidden="1">#REF!</definedName>
    <definedName name="BOF58FD759298148DCA071091DED299F1D" localSheetId="7" hidden="1">#REF!</definedName>
    <definedName name="BOF58FD759298148DCA071091DED299F1D" hidden="1">#REF!</definedName>
    <definedName name="BOF5B4884C3AB74C90BDA48E947F97DF55" localSheetId="7" hidden="1">#REF!</definedName>
    <definedName name="BOF5B4884C3AB74C90BDA48E947F97DF55" hidden="1">#REF!</definedName>
    <definedName name="BOF5B4F8EECA994778AF38F89FA40DF471" localSheetId="7" hidden="1">#REF!</definedName>
    <definedName name="BOF5B4F8EECA994778AF38F89FA40DF471" hidden="1">#REF!</definedName>
    <definedName name="BOF5B78DDB5A7F48E5AC631A8628AAA1A3" localSheetId="7" hidden="1">#REF!</definedName>
    <definedName name="BOF5B78DDB5A7F48E5AC631A8628AAA1A3" hidden="1">#REF!</definedName>
    <definedName name="BOF5BB5DCC74824C7C89D291D3F5E91452" localSheetId="7" hidden="1">#REF!</definedName>
    <definedName name="BOF5BB5DCC74824C7C89D291D3F5E91452" hidden="1">#REF!</definedName>
    <definedName name="BOF5F080A529BC4317BCA9BCBEDA509FF6" localSheetId="7" hidden="1">#REF!</definedName>
    <definedName name="BOF5F080A529BC4317BCA9BCBEDA509FF6" hidden="1">#REF!</definedName>
    <definedName name="BOF6445AD5994E4F6981292A4003EE1C9C" localSheetId="7" hidden="1">#REF!</definedName>
    <definedName name="BOF6445AD5994E4F6981292A4003EE1C9C" hidden="1">#REF!</definedName>
    <definedName name="BOF651E4DC207A48D8B9574F6CA3C8E731" localSheetId="7" hidden="1">#REF!</definedName>
    <definedName name="BOF651E4DC207A48D8B9574F6CA3C8E731" hidden="1">#REF!</definedName>
    <definedName name="BOF6584B30A21149D7B402768FCC94FC2B" localSheetId="7" hidden="1">#REF!</definedName>
    <definedName name="BOF6584B30A21149D7B402768FCC94FC2B" hidden="1">#REF!</definedName>
    <definedName name="BOF66D3209C3364081995B81A812DDCB04" localSheetId="7" hidden="1">#REF!</definedName>
    <definedName name="BOF66D3209C3364081995B81A812DDCB04" hidden="1">#REF!</definedName>
    <definedName name="BOF67137DF39E34532B98358C3110E8864" localSheetId="7" hidden="1">#REF!</definedName>
    <definedName name="BOF67137DF39E34532B98358C3110E8864" hidden="1">#REF!</definedName>
    <definedName name="BOF67E15DF685A48A283BB3FD2B5D7B460" localSheetId="7" hidden="1">#REF!</definedName>
    <definedName name="BOF67E15DF685A48A283BB3FD2B5D7B460" hidden="1">#REF!</definedName>
    <definedName name="BOF68CA6BFEEDE4210B1A89CB4DE799F43" localSheetId="7" hidden="1">#REF!</definedName>
    <definedName name="BOF68CA6BFEEDE4210B1A89CB4DE799F43" hidden="1">#REF!</definedName>
    <definedName name="BOF6B01B3E83464C7396A8BB1E2876040F" localSheetId="7" hidden="1">#REF!</definedName>
    <definedName name="BOF6B01B3E83464C7396A8BB1E2876040F" hidden="1">#REF!</definedName>
    <definedName name="BOF6D449A3D9E94848815B3F6185ACF4F0" localSheetId="7" hidden="1">#REF!</definedName>
    <definedName name="BOF6D449A3D9E94848815B3F6185ACF4F0" hidden="1">#REF!</definedName>
    <definedName name="BOF6E6EF2D692B42EEB10D4A935129C8CE" localSheetId="7" hidden="1">#REF!</definedName>
    <definedName name="BOF6E6EF2D692B42EEB10D4A935129C8CE" hidden="1">#REF!</definedName>
    <definedName name="BOF6E80E31F04E499188520A8260D23247" localSheetId="7" hidden="1">#REF!</definedName>
    <definedName name="BOF6E80E31F04E499188520A8260D23247" hidden="1">#REF!</definedName>
    <definedName name="BOF6E97DD5AE194400A95744A607EF0E16" localSheetId="7" hidden="1">#REF!</definedName>
    <definedName name="BOF6E97DD5AE194400A95744A607EF0E16" hidden="1">#REF!</definedName>
    <definedName name="BOF6F7EC6990E147DFBE9CE56DBF3B3DFE" localSheetId="7" hidden="1">#REF!</definedName>
    <definedName name="BOF6F7EC6990E147DFBE9CE56DBF3B3DFE" hidden="1">#REF!</definedName>
    <definedName name="BOF6F8D0C56B89445FB40968CDE9121B7F" localSheetId="7" hidden="1">#REF!</definedName>
    <definedName name="BOF6F8D0C56B89445FB40968CDE9121B7F" hidden="1">#REF!</definedName>
    <definedName name="BOF6FBCE3A54C04A12BBEDA414C4AC30E1" localSheetId="7" hidden="1">#REF!</definedName>
    <definedName name="BOF6FBCE3A54C04A12BBEDA414C4AC30E1" hidden="1">#REF!</definedName>
    <definedName name="BOF707BD2590664E8EAD58B97EF9840E42" localSheetId="7" hidden="1">#REF!</definedName>
    <definedName name="BOF707BD2590664E8EAD58B97EF9840E42" hidden="1">#REF!</definedName>
    <definedName name="BOF71239E586FC4296B53498E4DD81848C" localSheetId="7" hidden="1">#REF!</definedName>
    <definedName name="BOF71239E586FC4296B53498E4DD81848C" hidden="1">#REF!</definedName>
    <definedName name="BOF731CEDD8BBC4C07A2C3771B92C6F995" localSheetId="7" hidden="1">#REF!</definedName>
    <definedName name="BOF731CEDD8BBC4C07A2C3771B92C6F995" hidden="1">#REF!</definedName>
    <definedName name="BOF7503ED4C31A4A07AFF240E72C3C0C90" localSheetId="7" hidden="1">#REF!</definedName>
    <definedName name="BOF7503ED4C31A4A07AFF240E72C3C0C90" hidden="1">#REF!</definedName>
    <definedName name="BOF7792DE6DE71493AA5D1EE76895884E3" localSheetId="7" hidden="1">#REF!</definedName>
    <definedName name="BOF7792DE6DE71493AA5D1EE76895884E3" hidden="1">#REF!</definedName>
    <definedName name="BOF779A02EBD07439D9DAA74A81AA39071" localSheetId="7" hidden="1">#REF!</definedName>
    <definedName name="BOF779A02EBD07439D9DAA74A81AA39071" hidden="1">#REF!</definedName>
    <definedName name="BOF782B041A48E4C08B92F01838482093A" localSheetId="7" hidden="1">#REF!</definedName>
    <definedName name="BOF782B041A48E4C08B92F01838482093A" hidden="1">#REF!</definedName>
    <definedName name="BOF79C66CBDCA84732960F2350AEC05CA5" localSheetId="7" hidden="1">#REF!</definedName>
    <definedName name="BOF79C66CBDCA84732960F2350AEC05CA5" hidden="1">#REF!</definedName>
    <definedName name="BOF7A7608DA7E24B95A0274F88454F2A0A" localSheetId="7" hidden="1">#REF!</definedName>
    <definedName name="BOF7A7608DA7E24B95A0274F88454F2A0A" hidden="1">#REF!</definedName>
    <definedName name="BOF7A8328B387349F5B4497C6C58B5D53B" localSheetId="7" hidden="1">#REF!</definedName>
    <definedName name="BOF7A8328B387349F5B4497C6C58B5D53B" hidden="1">#REF!</definedName>
    <definedName name="BOF7B43A86D54944869BA4FC0A57DA10FE" localSheetId="7" hidden="1">#REF!</definedName>
    <definedName name="BOF7B43A86D54944869BA4FC0A57DA10FE" hidden="1">#REF!</definedName>
    <definedName name="BOF7C31A79C54241EE9668B073D17544B2" localSheetId="7" hidden="1">#REF!</definedName>
    <definedName name="BOF7C31A79C54241EE9668B073D17544B2" hidden="1">#REF!</definedName>
    <definedName name="BOF7CC4D1D42AB44B1837678E26C23FD73" localSheetId="7" hidden="1">#REF!</definedName>
    <definedName name="BOF7CC4D1D42AB44B1837678E26C23FD73" hidden="1">#REF!</definedName>
    <definedName name="BOF80A88FAAFBF403B9946ACE78E3A3BC6" localSheetId="7" hidden="1">#REF!</definedName>
    <definedName name="BOF80A88FAAFBF403B9946ACE78E3A3BC6" hidden="1">#REF!</definedName>
    <definedName name="BOF82331AEAA584E5F947B2EC480876E46" localSheetId="7" hidden="1">#REF!</definedName>
    <definedName name="BOF82331AEAA584E5F947B2EC480876E46" hidden="1">#REF!</definedName>
    <definedName name="BOF838C8E9EF9A48169100D48208FC36AF" localSheetId="7" hidden="1">#REF!</definedName>
    <definedName name="BOF838C8E9EF9A48169100D48208FC36AF" hidden="1">#REF!</definedName>
    <definedName name="BOF83AC718E4CC48E8A6F0AE4E7F46E9F1" localSheetId="7" hidden="1">#REF!</definedName>
    <definedName name="BOF83AC718E4CC48E8A6F0AE4E7F46E9F1" hidden="1">#REF!</definedName>
    <definedName name="BOF842FB4B9083445AB11F975D00FFBDB6" localSheetId="7" hidden="1">#REF!</definedName>
    <definedName name="BOF842FB4B9083445AB11F975D00FFBDB6" hidden="1">#REF!</definedName>
    <definedName name="BOF84B04C6538C405182FBA3F5643C22BA" localSheetId="7" hidden="1">#REF!</definedName>
    <definedName name="BOF84B04C6538C405182FBA3F5643C22BA" hidden="1">#REF!</definedName>
    <definedName name="BOF854C912D3F940A2AC3880BDCF397E9F" localSheetId="7" hidden="1">#REF!</definedName>
    <definedName name="BOF854C912D3F940A2AC3880BDCF397E9F" hidden="1">#REF!</definedName>
    <definedName name="BOF8565E12468948BAAECD8269AF8600AF" localSheetId="7" hidden="1">#REF!</definedName>
    <definedName name="BOF8565E12468948BAAECD8269AF8600AF" hidden="1">#REF!</definedName>
    <definedName name="BOF856D767674E49EDA76ACFDEA5EF1E48" localSheetId="7" hidden="1">#REF!</definedName>
    <definedName name="BOF856D767674E49EDA76ACFDEA5EF1E48" hidden="1">#REF!</definedName>
    <definedName name="BOF8641DB48FD54D85A4375AF2785E8C1A" localSheetId="7" hidden="1">#REF!</definedName>
    <definedName name="BOF8641DB48FD54D85A4375AF2785E8C1A" hidden="1">#REF!</definedName>
    <definedName name="BOF864961D96824C4EB132924E8CF7A0BD" localSheetId="7" hidden="1">#REF!</definedName>
    <definedName name="BOF864961D96824C4EB132924E8CF7A0BD" hidden="1">#REF!</definedName>
    <definedName name="BOF86E11B695A248E98DC5D0FCA8400E32" localSheetId="7" hidden="1">#REF!</definedName>
    <definedName name="BOF86E11B695A248E98DC5D0FCA8400E32" hidden="1">#REF!</definedName>
    <definedName name="BOF8772837121144BDBB4D534DF331E76C" localSheetId="7" hidden="1">#REF!</definedName>
    <definedName name="BOF8772837121144BDBB4D534DF331E76C" hidden="1">#REF!</definedName>
    <definedName name="BOF89CE3B6ED8346F9AAF86FF0D862086C" localSheetId="7" hidden="1">#REF!</definedName>
    <definedName name="BOF89CE3B6ED8346F9AAF86FF0D862086C" hidden="1">#REF!</definedName>
    <definedName name="BOF8AADF4BD4B94D179952B020D4CFB79E" localSheetId="7" hidden="1">#REF!</definedName>
    <definedName name="BOF8AADF4BD4B94D179952B020D4CFB79E" hidden="1">#REF!</definedName>
    <definedName name="BOF8B9CE76DDDE440FB385EEE320DE9337" localSheetId="7" hidden="1">#REF!</definedName>
    <definedName name="BOF8B9CE76DDDE440FB385EEE320DE9337" hidden="1">#REF!</definedName>
    <definedName name="BOF8BA021902C845B19594E602EB4DE6FE" localSheetId="7" hidden="1">#REF!</definedName>
    <definedName name="BOF8BA021902C845B19594E602EB4DE6FE" hidden="1">#REF!</definedName>
    <definedName name="BOF8BCC3BBBE67470BA984C257646F7C5D" localSheetId="7" hidden="1">#REF!</definedName>
    <definedName name="BOF8BCC3BBBE67470BA984C257646F7C5D" hidden="1">#REF!</definedName>
    <definedName name="BOF8C86991D5F24E01AB0CCCFE39A89A8D" localSheetId="7" hidden="1">#REF!</definedName>
    <definedName name="BOF8C86991D5F24E01AB0CCCFE39A89A8D" hidden="1">#REF!</definedName>
    <definedName name="BOF8C96684331B46EC829D8449AECB5212" localSheetId="7" hidden="1">#REF!</definedName>
    <definedName name="BOF8C96684331B46EC829D8449AECB5212" hidden="1">#REF!</definedName>
    <definedName name="BOF8FB93E4163849F286A70DECE3DE1E8B" localSheetId="7" hidden="1">#REF!</definedName>
    <definedName name="BOF8FB93E4163849F286A70DECE3DE1E8B" hidden="1">#REF!</definedName>
    <definedName name="BOF900F53D2D124598928696BF3C48BA81" localSheetId="7" hidden="1">#REF!</definedName>
    <definedName name="BOF900F53D2D124598928696BF3C48BA81" hidden="1">#REF!</definedName>
    <definedName name="BOF91A4CAD8BBD4C5EBB7E3EDC4A01F6E3" localSheetId="7" hidden="1">#REF!</definedName>
    <definedName name="BOF91A4CAD8BBD4C5EBB7E3EDC4A01F6E3" hidden="1">#REF!</definedName>
    <definedName name="BOF91CD7FC462542E4997A01CCB55F6C41" localSheetId="7" hidden="1">#REF!</definedName>
    <definedName name="BOF91CD7FC462542E4997A01CCB55F6C41" hidden="1">#REF!</definedName>
    <definedName name="BOF927975B936747B7893C226FF91E1808" localSheetId="7" hidden="1">#REF!</definedName>
    <definedName name="BOF927975B936747B7893C226FF91E1808" hidden="1">#REF!</definedName>
    <definedName name="BOF92E812A022B44789C6FC1892829186C" localSheetId="7" hidden="1">#REF!</definedName>
    <definedName name="BOF92E812A022B44789C6FC1892829186C" hidden="1">#REF!</definedName>
    <definedName name="BOF931405AC6E14F32B647235D0099FC09" localSheetId="7" hidden="1">#REF!</definedName>
    <definedName name="BOF931405AC6E14F32B647235D0099FC09" hidden="1">#REF!</definedName>
    <definedName name="BOF937712665BC445D95A1ACBAEA93C02E" localSheetId="7" hidden="1">#REF!</definedName>
    <definedName name="BOF937712665BC445D95A1ACBAEA93C02E" hidden="1">#REF!</definedName>
    <definedName name="BOF93DE8444D464436879F4E30CD7535D6" localSheetId="7" hidden="1">#REF!</definedName>
    <definedName name="BOF93DE8444D464436879F4E30CD7535D6" hidden="1">#REF!</definedName>
    <definedName name="BOF95341D8CE7E4581B7C75B57A443D270" localSheetId="7" hidden="1">#REF!</definedName>
    <definedName name="BOF95341D8CE7E4581B7C75B57A443D270" hidden="1">#REF!</definedName>
    <definedName name="BOF9586361FAE0434BA8DC163EDF46D8F6" localSheetId="7" hidden="1">#REF!</definedName>
    <definedName name="BOF9586361FAE0434BA8DC163EDF46D8F6" hidden="1">#REF!</definedName>
    <definedName name="BOF960ACEACE554244881D7E9223D0691B" localSheetId="7" hidden="1">#REF!</definedName>
    <definedName name="BOF960ACEACE554244881D7E9223D0691B" hidden="1">#REF!</definedName>
    <definedName name="BOF963F18081FC47D1949BD5D6D409DE08" localSheetId="7" hidden="1">#REF!</definedName>
    <definedName name="BOF963F18081FC47D1949BD5D6D409DE08" hidden="1">#REF!</definedName>
    <definedName name="BOF9654C8BB17C48C188C749A5EC0F8CC7" localSheetId="7" hidden="1">#REF!</definedName>
    <definedName name="BOF9654C8BB17C48C188C749A5EC0F8CC7" hidden="1">#REF!</definedName>
    <definedName name="BOF965CBA07A784F51B01B496E9CDCF707" localSheetId="7" hidden="1">#REF!</definedName>
    <definedName name="BOF965CBA07A784F51B01B496E9CDCF707" hidden="1">#REF!</definedName>
    <definedName name="BOF96E23DA22494BECA7C1E81C773EEFB5" localSheetId="7" hidden="1">#REF!</definedName>
    <definedName name="BOF96E23DA22494BECA7C1E81C773EEFB5" hidden="1">#REF!</definedName>
    <definedName name="BOF9883485B11D4093B13D528A090F869A" localSheetId="7" hidden="1">#REF!</definedName>
    <definedName name="BOF9883485B11D4093B13D528A090F869A" hidden="1">#REF!</definedName>
    <definedName name="BOF98A3731D8734A49B17150A2F1A6D516" localSheetId="7" hidden="1">#REF!</definedName>
    <definedName name="BOF98A3731D8734A49B17150A2F1A6D516" hidden="1">#REF!</definedName>
    <definedName name="BOF991CA12A0A24B8CACB19B3D75073C6D" localSheetId="7" hidden="1">#REF!</definedName>
    <definedName name="BOF991CA12A0A24B8CACB19B3D75073C6D" hidden="1">#REF!</definedName>
    <definedName name="BOF9A6ED73AED5472B8B2CCAB435D1C112" localSheetId="7" hidden="1">#REF!</definedName>
    <definedName name="BOF9A6ED73AED5472B8B2CCAB435D1C112" hidden="1">#REF!</definedName>
    <definedName name="BOF9BBBB4CB48247C0A156B818FFACB03A" localSheetId="7" hidden="1">#REF!</definedName>
    <definedName name="BOF9BBBB4CB48247C0A156B818FFACB03A" hidden="1">#REF!</definedName>
    <definedName name="BOF9C386492F184EA6BEABE66BB0A5CF73" localSheetId="7" hidden="1">#REF!</definedName>
    <definedName name="BOF9C386492F184EA6BEABE66BB0A5CF73" hidden="1">#REF!</definedName>
    <definedName name="BOF9CE5AB3F3154ABA89E8D21011E1678B" localSheetId="7" hidden="1">#REF!</definedName>
    <definedName name="BOF9CE5AB3F3154ABA89E8D21011E1678B" hidden="1">#REF!</definedName>
    <definedName name="BOF9E730277F9840928C8B5311DFD97A11" localSheetId="7" hidden="1">#REF!</definedName>
    <definedName name="BOF9E730277F9840928C8B5311DFD97A11" hidden="1">#REF!</definedName>
    <definedName name="BOF9F077C587E7445FACDA4E1053842F89" localSheetId="7" hidden="1">#REF!</definedName>
    <definedName name="BOF9F077C587E7445FACDA4E1053842F89" hidden="1">#REF!</definedName>
    <definedName name="BOF9FBF6E0ACD14856B12AD9C6EF811DD2" localSheetId="7" hidden="1">#REF!</definedName>
    <definedName name="BOF9FBF6E0ACD14856B12AD9C6EF811DD2" hidden="1">#REF!</definedName>
    <definedName name="BOFA172544F5FD44E5A4D50BE4D16D939D" localSheetId="7" hidden="1">#REF!</definedName>
    <definedName name="BOFA172544F5FD44E5A4D50BE4D16D939D" hidden="1">#REF!</definedName>
    <definedName name="BOFA179A907C604DBB95880FF1303898E6" localSheetId="7" hidden="1">#REF!</definedName>
    <definedName name="BOFA179A907C604DBB95880FF1303898E6" hidden="1">#REF!</definedName>
    <definedName name="BOFA1AFAF1FF9B471CA96623130C0707E6" localSheetId="7" hidden="1">#REF!</definedName>
    <definedName name="BOFA1AFAF1FF9B471CA96623130C0707E6" hidden="1">#REF!</definedName>
    <definedName name="BOFA2F0602F09E475B9751ABD9E1F42FAA" localSheetId="7" hidden="1">#REF!</definedName>
    <definedName name="BOFA2F0602F09E475B9751ABD9E1F42FAA" hidden="1">#REF!</definedName>
    <definedName name="BOFA3E81178810427E88E9D7DD0DFC6F50" localSheetId="7" hidden="1">#REF!</definedName>
    <definedName name="BOFA3E81178810427E88E9D7DD0DFC6F50" hidden="1">#REF!</definedName>
    <definedName name="BOFA474895B8AB47B9BF7408C141FA1ADD" localSheetId="7" hidden="1">#REF!</definedName>
    <definedName name="BOFA474895B8AB47B9BF7408C141FA1ADD" hidden="1">#REF!</definedName>
    <definedName name="BOFA4F9FE5CB7246AA8FFB41E8C854F451" localSheetId="7" hidden="1">#REF!</definedName>
    <definedName name="BOFA4F9FE5CB7246AA8FFB41E8C854F451" hidden="1">#REF!</definedName>
    <definedName name="BOFA645B5DF3CE45F18FB21677DA05274B" localSheetId="7" hidden="1">#REF!</definedName>
    <definedName name="BOFA645B5DF3CE45F18FB21677DA05274B" hidden="1">#REF!</definedName>
    <definedName name="BOFA70E4CD43394005B2F718469CCE0504" localSheetId="7" hidden="1">#REF!</definedName>
    <definedName name="BOFA70E4CD43394005B2F718469CCE0504" hidden="1">#REF!</definedName>
    <definedName name="BOFA75B576962C4E3699845F2BE56A3034" localSheetId="7" hidden="1">#REF!</definedName>
    <definedName name="BOFA75B576962C4E3699845F2BE56A3034" hidden="1">#REF!</definedName>
    <definedName name="BOFA8B1350FD2B4BC98713C35E6C88C4F7" localSheetId="7" hidden="1">#REF!</definedName>
    <definedName name="BOFA8B1350FD2B4BC98713C35E6C88C4F7" hidden="1">#REF!</definedName>
    <definedName name="BOFA8E365815824B2299F0F3BFAEDB498E" localSheetId="7" hidden="1">#REF!</definedName>
    <definedName name="BOFA8E365815824B2299F0F3BFAEDB498E" hidden="1">#REF!</definedName>
    <definedName name="BOFA97CA88BD064454A79FF4651DEB8A07" localSheetId="7" hidden="1">#REF!</definedName>
    <definedName name="BOFA97CA88BD064454A79FF4651DEB8A07" hidden="1">#REF!</definedName>
    <definedName name="BOFAD099364A5944B6BC00BF023900B77D" localSheetId="7" hidden="1">#REF!</definedName>
    <definedName name="BOFAD099364A5944B6BC00BF023900B77D" hidden="1">#REF!</definedName>
    <definedName name="BOFAD1FCC5D0394ED192EC1F7ACC228974" localSheetId="7" hidden="1">#REF!</definedName>
    <definedName name="BOFAD1FCC5D0394ED192EC1F7ACC228974" hidden="1">#REF!</definedName>
    <definedName name="BOFAD24FA4BABE49EF88FE0B02E4D1B67D" localSheetId="7" hidden="1">#REF!</definedName>
    <definedName name="BOFAD24FA4BABE49EF88FE0B02E4D1B67D" hidden="1">#REF!</definedName>
    <definedName name="BOFAEFB978C2084E4DB89842A9635CD8D3" localSheetId="7" hidden="1">#REF!</definedName>
    <definedName name="BOFAEFB978C2084E4DB89842A9635CD8D3" hidden="1">#REF!</definedName>
    <definedName name="BOFAEFE6B203ED4EB1BC18E0A6350C60C0" localSheetId="7" hidden="1">#REF!</definedName>
    <definedName name="BOFAEFE6B203ED4EB1BC18E0A6350C60C0" hidden="1">#REF!</definedName>
    <definedName name="BOFAFE8B1399164DB6AE7F84D37E42F5CA" localSheetId="7" hidden="1">#REF!</definedName>
    <definedName name="BOFAFE8B1399164DB6AE7F84D37E42F5CA" hidden="1">#REF!</definedName>
    <definedName name="BOFB02CBBCD26C40539526338B712EFF9A" localSheetId="7" hidden="1">#REF!</definedName>
    <definedName name="BOFB02CBBCD26C40539526338B712EFF9A" hidden="1">#REF!</definedName>
    <definedName name="BOFB15694C38864374A5DE2D27F0065E99" localSheetId="7" hidden="1">#REF!</definedName>
    <definedName name="BOFB15694C38864374A5DE2D27F0065E99" hidden="1">#REF!</definedName>
    <definedName name="BOFB2ECA5E8161448B842484B6098DC48B" localSheetId="7" hidden="1">#REF!</definedName>
    <definedName name="BOFB2ECA5E8161448B842484B6098DC48B" hidden="1">#REF!</definedName>
    <definedName name="BOFB37B544F24E4B3E9198B49D3260C7D5" localSheetId="7" hidden="1">#REF!</definedName>
    <definedName name="BOFB37B544F24E4B3E9198B49D3260C7D5" hidden="1">#REF!</definedName>
    <definedName name="BOFB43A300CF2D4E2FA4937720341C5930" localSheetId="7" hidden="1">#REF!</definedName>
    <definedName name="BOFB43A300CF2D4E2FA4937720341C5930" hidden="1">#REF!</definedName>
    <definedName name="BOFB48C2615FDA4BC09201AF1C327DCF5C" localSheetId="7" hidden="1">#REF!</definedName>
    <definedName name="BOFB48C2615FDA4BC09201AF1C327DCF5C" hidden="1">#REF!</definedName>
    <definedName name="BOFB5CA9219D1D4DE4A8F35A1F6AC20CAC" localSheetId="7" hidden="1">#REF!</definedName>
    <definedName name="BOFB5CA9219D1D4DE4A8F35A1F6AC20CAC" hidden="1">#REF!</definedName>
    <definedName name="BOFB5D79BF8387472A90662A9B27D1D2F5" localSheetId="7" hidden="1">#REF!</definedName>
    <definedName name="BOFB5D79BF8387472A90662A9B27D1D2F5" hidden="1">#REF!</definedName>
    <definedName name="BOFB687C933ECC400EBB9E4DA1B92D49EE" localSheetId="7" hidden="1">#REF!</definedName>
    <definedName name="BOFB687C933ECC400EBB9E4DA1B92D49EE" hidden="1">#REF!</definedName>
    <definedName name="BOFB6F6C7F9DAE4569A3755A621C07ED0F" localSheetId="7" hidden="1">#REF!</definedName>
    <definedName name="BOFB6F6C7F9DAE4569A3755A621C07ED0F" hidden="1">#REF!</definedName>
    <definedName name="BOFB995519835B4C16A6C9AB6D6D8F541E" localSheetId="7" hidden="1">#REF!</definedName>
    <definedName name="BOFB995519835B4C16A6C9AB6D6D8F541E" hidden="1">#REF!</definedName>
    <definedName name="BOFBA687728D0B4BFDB9B5CA6E1DFD27F1" localSheetId="7" hidden="1">#REF!</definedName>
    <definedName name="BOFBA687728D0B4BFDB9B5CA6E1DFD27F1" hidden="1">#REF!</definedName>
    <definedName name="BOFBA6E51FC6CD4BE3A49196724537209F" localSheetId="7" hidden="1">#REF!</definedName>
    <definedName name="BOFBA6E51FC6CD4BE3A49196724537209F" hidden="1">#REF!</definedName>
    <definedName name="BOFBB8379404AB46F4AD669933BDB90346" localSheetId="7" hidden="1">#REF!</definedName>
    <definedName name="BOFBB8379404AB46F4AD669933BDB90346" hidden="1">#REF!</definedName>
    <definedName name="BOFBB91E6CFAC24170B4928837B862C2B2" localSheetId="7" hidden="1">#REF!</definedName>
    <definedName name="BOFBB91E6CFAC24170B4928837B862C2B2" hidden="1">#REF!</definedName>
    <definedName name="BOFBC524D763994858822C038978561CDE" localSheetId="7" hidden="1">#REF!</definedName>
    <definedName name="BOFBC524D763994858822C038978561CDE" hidden="1">#REF!</definedName>
    <definedName name="BOFC1102C1D22A4F518F332E2AB72C216C" localSheetId="7" hidden="1">#REF!</definedName>
    <definedName name="BOFC1102C1D22A4F518F332E2AB72C216C" hidden="1">#REF!</definedName>
    <definedName name="BOFC135638EBBD41C59D999711A630D31F" localSheetId="7" hidden="1">#REF!</definedName>
    <definedName name="BOFC135638EBBD41C59D999711A630D31F" hidden="1">#REF!</definedName>
    <definedName name="BOFC17C715BE8E4588907E128971C57F66" localSheetId="7" hidden="1">#REF!</definedName>
    <definedName name="BOFC17C715BE8E4588907E128971C57F66" hidden="1">#REF!</definedName>
    <definedName name="BOFC24BFB1AD9C43AEA40A9970FA597A79" localSheetId="7" hidden="1">#REF!</definedName>
    <definedName name="BOFC24BFB1AD9C43AEA40A9970FA597A79" hidden="1">#REF!</definedName>
    <definedName name="BOFC29AD3AB7A44155A2ABA75CB6ABBDFF" localSheetId="7" hidden="1">#REF!</definedName>
    <definedName name="BOFC29AD3AB7A44155A2ABA75CB6ABBDFF" hidden="1">#REF!</definedName>
    <definedName name="BOFC4E7FB445014B51A584C2A2A51A664A" localSheetId="7" hidden="1">#REF!</definedName>
    <definedName name="BOFC4E7FB445014B51A584C2A2A51A664A" hidden="1">#REF!</definedName>
    <definedName name="BOFC52853DCFA74DEB9328D3567495C29E" localSheetId="7" hidden="1">#REF!</definedName>
    <definedName name="BOFC52853DCFA74DEB9328D3567495C29E" hidden="1">#REF!</definedName>
    <definedName name="BOFC5F89E38BD24AB6AC19619A5D3F4855" localSheetId="7" hidden="1">#REF!</definedName>
    <definedName name="BOFC5F89E38BD24AB6AC19619A5D3F4855" hidden="1">#REF!</definedName>
    <definedName name="BOFC68FD964B2B48319455C9B02A2E0830" localSheetId="7" hidden="1">#REF!</definedName>
    <definedName name="BOFC68FD964B2B48319455C9B02A2E0830" hidden="1">#REF!</definedName>
    <definedName name="BOFC7C830F29AD47F78C3B56A5ADAE431D" localSheetId="7" hidden="1">#REF!</definedName>
    <definedName name="BOFC7C830F29AD47F78C3B56A5ADAE431D" hidden="1">#REF!</definedName>
    <definedName name="BOFC828F23A3514D89BAAD02A942791E7A" localSheetId="7" hidden="1">#REF!</definedName>
    <definedName name="BOFC828F23A3514D89BAAD02A942791E7A" hidden="1">#REF!</definedName>
    <definedName name="BOFC8AA04CD882457F8426A82284A610B2" localSheetId="7" hidden="1">#REF!</definedName>
    <definedName name="BOFC8AA04CD882457F8426A82284A610B2" hidden="1">#REF!</definedName>
    <definedName name="BOFC949020EEE840718158085A56D59BDF" localSheetId="7" hidden="1">#REF!</definedName>
    <definedName name="BOFC949020EEE840718158085A56D59BDF" hidden="1">#REF!</definedName>
    <definedName name="BOFC98AB1442044F9CBF3E74503E38E503" localSheetId="7" hidden="1">#REF!</definedName>
    <definedName name="BOFC98AB1442044F9CBF3E74503E38E503" hidden="1">#REF!</definedName>
    <definedName name="BOFCA09A41CDB14A4C8597102A0E98E62F" localSheetId="7" hidden="1">#REF!</definedName>
    <definedName name="BOFCA09A41CDB14A4C8597102A0E98E62F" hidden="1">#REF!</definedName>
    <definedName name="BOFCA46FAFA1B741FAB4F5E6CE55A1C4D3" localSheetId="7" hidden="1">#REF!</definedName>
    <definedName name="BOFCA46FAFA1B741FAB4F5E6CE55A1C4D3" hidden="1">#REF!</definedName>
    <definedName name="BOFCAAEF321DA445E4BA177C7B6BAE6BDD" localSheetId="7" hidden="1">#REF!</definedName>
    <definedName name="BOFCAAEF321DA445E4BA177C7B6BAE6BDD" hidden="1">#REF!</definedName>
    <definedName name="BOFCF99567BC3748A483C741AC56B09416" localSheetId="7" hidden="1">#REF!</definedName>
    <definedName name="BOFCF99567BC3748A483C741AC56B09416" hidden="1">#REF!</definedName>
    <definedName name="BOFCFCA0B58BA94351B48E82EC29850577" localSheetId="7" hidden="1">#REF!</definedName>
    <definedName name="BOFCFCA0B58BA94351B48E82EC29850577" hidden="1">#REF!</definedName>
    <definedName name="BOFD0EB4DBBBFB41A29B8345779D2DDD3F" localSheetId="7" hidden="1">#REF!</definedName>
    <definedName name="BOFD0EB4DBBBFB41A29B8345779D2DDD3F" hidden="1">#REF!</definedName>
    <definedName name="BOFD1CE157C8634171BA1AF13D5877E22B" localSheetId="7" hidden="1">#REF!</definedName>
    <definedName name="BOFD1CE157C8634171BA1AF13D5877E22B" hidden="1">#REF!</definedName>
    <definedName name="BOFD2507D94741474F83C4FD22AD5447D7" localSheetId="7" hidden="1">#REF!</definedName>
    <definedName name="BOFD2507D94741474F83C4FD22AD5447D7" hidden="1">#REF!</definedName>
    <definedName name="BOFD2E84F6060D458FBB66A09ED2672451" localSheetId="7" hidden="1">#REF!</definedName>
    <definedName name="BOFD2E84F6060D458FBB66A09ED2672451" hidden="1">#REF!</definedName>
    <definedName name="BOFD4B629FCEA24AEF90C9A4A7415CED6E" localSheetId="7" hidden="1">#REF!</definedName>
    <definedName name="BOFD4B629FCEA24AEF90C9A4A7415CED6E" hidden="1">#REF!</definedName>
    <definedName name="BOFD82D430AC424AEB940A787A2A59FE28" localSheetId="7" hidden="1">#REF!</definedName>
    <definedName name="BOFD82D430AC424AEB940A787A2A59FE28" hidden="1">#REF!</definedName>
    <definedName name="BOFD9C376AD7F84C41B5AF84B41CA79ECA" localSheetId="7" hidden="1">#REF!</definedName>
    <definedName name="BOFD9C376AD7F84C41B5AF84B41CA79ECA" hidden="1">#REF!</definedName>
    <definedName name="BOFDBF3F9A7C324F2781E03E2F61AB433B" localSheetId="7" hidden="1">#REF!</definedName>
    <definedName name="BOFDBF3F9A7C324F2781E03E2F61AB433B" hidden="1">#REF!</definedName>
    <definedName name="BOFDCB101EC4B64796AC6D9A879FCDAC57" localSheetId="7" hidden="1">#REF!</definedName>
    <definedName name="BOFDCB101EC4B64796AC6D9A879FCDAC57" hidden="1">#REF!</definedName>
    <definedName name="BOFDE4E8B855D8481289C6605F77A7E119" localSheetId="7" hidden="1">#REF!</definedName>
    <definedName name="BOFDE4E8B855D8481289C6605F77A7E119" hidden="1">#REF!</definedName>
    <definedName name="BOFDEE29F22C184615A4A5D2F5877EC25F" localSheetId="7" hidden="1">#REF!</definedName>
    <definedName name="BOFDEE29F22C184615A4A5D2F5877EC25F" hidden="1">#REF!</definedName>
    <definedName name="BOFDFBE6F6F8F6418D890EED7B47DCB457" localSheetId="7" hidden="1">#REF!</definedName>
    <definedName name="BOFDFBE6F6F8F6418D890EED7B47DCB457" hidden="1">#REF!</definedName>
    <definedName name="BOFE51D57A26E148A58254E1C5591D2131" localSheetId="7" hidden="1">#REF!</definedName>
    <definedName name="BOFE51D57A26E148A58254E1C5591D2131" hidden="1">#REF!</definedName>
    <definedName name="BOFE54EAB4BE1A44F1A901E1DD7B8E816D" localSheetId="7" hidden="1">#REF!</definedName>
    <definedName name="BOFE54EAB4BE1A44F1A901E1DD7B8E816D" hidden="1">#REF!</definedName>
    <definedName name="BOFE8FCF57C68348B98B68358DEB9FEC85" localSheetId="7" hidden="1">#REF!</definedName>
    <definedName name="BOFE8FCF57C68348B98B68358DEB9FEC85" hidden="1">#REF!</definedName>
    <definedName name="BOFEBDEC7C910B4E5A99DA1FF7A22E481D" localSheetId="7" hidden="1">#REF!</definedName>
    <definedName name="BOFEBDEC7C910B4E5A99DA1FF7A22E481D" hidden="1">#REF!</definedName>
    <definedName name="BOFEC18888B3F748D19CCC46F41E8D24E9" localSheetId="7" hidden="1">#REF!</definedName>
    <definedName name="BOFEC18888B3F748D19CCC46F41E8D24E9" hidden="1">#REF!</definedName>
    <definedName name="BOFEEA295C49314395B1289DC50A0A5CA7" localSheetId="7" hidden="1">#REF!</definedName>
    <definedName name="BOFEEA295C49314395B1289DC50A0A5CA7" hidden="1">#REF!</definedName>
    <definedName name="BOFEEBF103B79947A585189F4E0699D936" localSheetId="7" hidden="1">#REF!</definedName>
    <definedName name="BOFEEBF103B79947A585189F4E0699D936" hidden="1">#REF!</definedName>
    <definedName name="BOFEFB17D1CA694448839F0CF20615C824" localSheetId="7" hidden="1">#REF!</definedName>
    <definedName name="BOFEFB17D1CA694448839F0CF20615C824" hidden="1">#REF!</definedName>
    <definedName name="BOFF123996EE3E442487FDFEB87FBEEAA3" localSheetId="7" hidden="1">#REF!</definedName>
    <definedName name="BOFF123996EE3E442487FDFEB87FBEEAA3" hidden="1">#REF!</definedName>
    <definedName name="BOFF14C74B15DB4FF8975BC4323F3AD775" localSheetId="7" hidden="1">#REF!</definedName>
    <definedName name="BOFF14C74B15DB4FF8975BC4323F3AD775" hidden="1">#REF!</definedName>
    <definedName name="BOFF15040F248E434A9AF269E8D07A885B" localSheetId="7" hidden="1">#REF!</definedName>
    <definedName name="BOFF15040F248E434A9AF269E8D07A885B" hidden="1">#REF!</definedName>
    <definedName name="BOFF413C0016544469BEE5BC3DC451101E" localSheetId="7" hidden="1">#REF!</definedName>
    <definedName name="BOFF413C0016544469BEE5BC3DC451101E" hidden="1">#REF!</definedName>
    <definedName name="BOFF52987C5F5B4D8B8976C251E5D66A32" localSheetId="7" hidden="1">#REF!</definedName>
    <definedName name="BOFF52987C5F5B4D8B8976C251E5D66A32" hidden="1">#REF!</definedName>
    <definedName name="BOFF5316F28A274BAC8F6BE0E432D31CA5" localSheetId="7" hidden="1">#REF!</definedName>
    <definedName name="BOFF5316F28A274BAC8F6BE0E432D31CA5" hidden="1">#REF!</definedName>
    <definedName name="BOFF56ED9A27FB44C3AE92631DA9C2D73E" localSheetId="7" hidden="1">#REF!</definedName>
    <definedName name="BOFF56ED9A27FB44C3AE92631DA9C2D73E" hidden="1">#REF!</definedName>
    <definedName name="BOFF6228083BDD4EFAA2CAC82130CB52C7" localSheetId="7" hidden="1">#REF!</definedName>
    <definedName name="BOFF6228083BDD4EFAA2CAC82130CB52C7" hidden="1">#REF!</definedName>
    <definedName name="BOFF6F707105EA477AB8231636F4AC3BC7" localSheetId="7" hidden="1">#REF!</definedName>
    <definedName name="BOFF6F707105EA477AB8231636F4AC3BC7" hidden="1">#REF!</definedName>
    <definedName name="BOFF785DCC789341A79E15B2146747BEAF" localSheetId="7" hidden="1">#REF!</definedName>
    <definedName name="BOFF785DCC789341A79E15B2146747BEAF" hidden="1">#REF!</definedName>
    <definedName name="BOFF8AE60903F04C6CBC2AAE382D90B6B2" localSheetId="7" hidden="1">#REF!</definedName>
    <definedName name="BOFF8AE60903F04C6CBC2AAE382D90B6B2" hidden="1">#REF!</definedName>
    <definedName name="BOFF906827022B4FFE917010407EA12491" localSheetId="7" hidden="1">#REF!</definedName>
    <definedName name="BOFF906827022B4FFE917010407EA12491" hidden="1">#REF!</definedName>
    <definedName name="BOFFB7FEDA092D4736B0B6BC2540ACF3FC" localSheetId="7" hidden="1">#REF!</definedName>
    <definedName name="BOFFB7FEDA092D4736B0B6BC2540ACF3FC" hidden="1">#REF!</definedName>
    <definedName name="BOFFCA93E9AE7F4E9C81A063A1C6EEA96D" localSheetId="7" hidden="1">#REF!</definedName>
    <definedName name="BOFFCA93E9AE7F4E9C81A063A1C6EEA96D" hidden="1">#REF!</definedName>
    <definedName name="BOFFF152C8113A452DA1A78460E67BD4A5" localSheetId="7" hidden="1">#REF!</definedName>
    <definedName name="BOFFF152C8113A452DA1A78460E67BD4A5" hidden="1">#REF!</definedName>
    <definedName name="BOFFF36220CF1043EE93AF2B46F60C6C7E" localSheetId="7" hidden="1">#REF!</definedName>
    <definedName name="BOFFF36220CF1043EE93AF2B46F60C6C7E" hidden="1">#REF!</definedName>
    <definedName name="BRICS">0</definedName>
    <definedName name="BS추정" localSheetId="7" hidden="1">{"'보고양식'!$A$58:$K$111"}</definedName>
    <definedName name="BS추정" hidden="1">{"'보고양식'!$A$58:$K$111"}</definedName>
    <definedName name="centralEasternEurope">0</definedName>
    <definedName name="centralEasternEuropeCountries" localSheetId="7">'[1]MW GEG'!$J$20:$J$21</definedName>
    <definedName name="centralEasternEuropeCountries">#REF!</definedName>
    <definedName name="china">0</definedName>
    <definedName name="concentration" localSheetId="7">[1]Lookup!$A$2:$B$5</definedName>
    <definedName name="concentration">#REF!</definedName>
    <definedName name="consumerDemandExposure" localSheetId="7">'[1]MW GEG'!$F$63:$F$67</definedName>
    <definedName name="consumerDemandExposure">#REF!</definedName>
    <definedName name="consumersExposure" localSheetId="7">'[1]MW GEG'!$F$60</definedName>
    <definedName name="consumersExposure">0</definedName>
    <definedName name="countryList">"Country Mapping"</definedName>
    <definedName name="CS_Adj_WAC_08">#REF!</definedName>
    <definedName name="CS_Adj_WAC_09">#REF!</definedName>
    <definedName name="CS_Adj_WAC_10">#REF!</definedName>
    <definedName name="CS_Adj_WAC_11">#REF!</definedName>
    <definedName name="CS_Adj_WAC_12">#REF!</definedName>
    <definedName name="CS_Simp_Avg_H1_03">#REF!</definedName>
    <definedName name="CS_Simp_Avg_H2_03">#REF!</definedName>
    <definedName name="cu119.CopyLastPeriodRows" localSheetId="7" hidden="1">{"AVSHAR","BSHAR"}</definedName>
    <definedName name="cu119.CopyLastPeriodRows" hidden="1">{"AVSHAR","BSHAR"}</definedName>
    <definedName name="currency" localSheetId="7">[1]Lookup!$C$2:$D$121</definedName>
    <definedName name="currency">#REF!</definedName>
    <definedName name="cvbn" localSheetId="7" hidden="1">#REF!</definedName>
    <definedName name="cvbn" hidden="1">#REF!</definedName>
    <definedName name="dataseries_minus_space_2" localSheetId="7">OFFSET(#REF!,0,0,COUNTA(#REF!)+1,1)</definedName>
    <definedName name="dataseries_minus_space_2">OFFSET(#REF!,0,0,COUNTA(#REF!)+1,1)</definedName>
    <definedName name="developedEuropeExUK">0</definedName>
    <definedName name="developedEuropeExUKCountries" localSheetId="7">'[1]MW GEG'!$J$14:$J$18</definedName>
    <definedName name="developedEuropeExUKCountries">#REF!</definedName>
    <definedName name="domesticAndForeignExposure" localSheetId="7">'[1]MW GEG'!$F$54:$F$55</definedName>
    <definedName name="domesticAndForeignExposure">#REF!</definedName>
    <definedName name="domesticCostExposure" localSheetId="7">'[1]MW GEG'!$F$76:$F$77</definedName>
    <definedName name="domesticCostExposure">#REF!</definedName>
    <definedName name="ed" localSheetId="7" hidden="1">{"'보고양식'!$A$58:$K$111"}</definedName>
    <definedName name="ed" hidden="1">{"'보고양식'!$A$58:$K$111"}</definedName>
    <definedName name="EEMEA">0</definedName>
    <definedName name="endDemandExposure" localSheetId="7">'[1]MW GEG'!$F$58:$F$60</definedName>
    <definedName name="endDemandExposure">#REF!</definedName>
    <definedName name="europe">0.31</definedName>
    <definedName name="europeRegion">#REF!</definedName>
    <definedName name="europeStates">#REF!</definedName>
    <definedName name="f" localSheetId="7" hidden="1">{"cover a","1q",FALSE,"Cover";"Op Earn Mgd Q1",#N/A,FALSE,"Op-Earn (Mng)";"Op Earn Rpt Q1",#N/A,FALSE,"Op-Earn (Rpt)";"Loans",#N/A,FALSE,"Loans";"Credit Costs",#N/A,FALSE,"CCosts";"Net Interest Margin",#N/A,FALSE,"Margin";"Nonint Income",#N/A,FALSE,"NonII";"Nonint Exp",#N/A,FALSE,"NonIE";"Valuation",#N/A,FALSE,"Valuation"}</definedName>
    <definedName name="f" hidden="1">{"cover a","1q",FALSE,"Cover";"Op Earn Mgd Q1",#N/A,FALSE,"Op-Earn (Mng)";"Op Earn Rpt Q1",#N/A,FALSE,"Op-Earn (Rpt)";"Loans",#N/A,FALSE,"Loans";"Credit Costs",#N/A,FALSE,"CCosts";"Net Interest Margin",#N/A,FALSE,"Margin";"Nonint Income",#N/A,FALSE,"NonII";"Nonint Exp",#N/A,FALSE,"NonIE";"Valuation",#N/A,FALSE,"Valuation"}</definedName>
    <definedName name="ff" localSheetId="7"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f"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orecast" localSheetId="7"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GQG_Sum">Sum!$B$6:$CD$85</definedName>
    <definedName name="HTML_CodePage" hidden="1">949</definedName>
    <definedName name="HTML_Control" localSheetId="7" hidden="1">{"'보고양식'!$A$58:$K$111"}</definedName>
    <definedName name="HTML_Control" hidden="1">{"'보고양식'!$A$58:$K$111"}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"C:\My Documents\98년\영업현황\2월 수주현황(2월 마감분).htm"</definedName>
    <definedName name="HTML_Title" hidden="1">""</definedName>
    <definedName name="HTML1_1" hidden="1">"[수주관리98.xls]회선현황!$A$5:$O$53"</definedName>
    <definedName name="HTML1_10" hidden="1">""</definedName>
    <definedName name="HTML1_11" hidden="1">1</definedName>
    <definedName name="HTML1_12" hidden="1">"C:\My Documents\98년\1월\영업현황\시험.htm"</definedName>
    <definedName name="HTML1_2" hidden="1">1</definedName>
    <definedName name="HTML1_3" hidden="1">"수주관리98"</definedName>
    <definedName name="HTML1_4" hidden="1">"회선현황"</definedName>
    <definedName name="HTML1_5" hidden="1">""</definedName>
    <definedName name="HTML1_6" hidden="1">-4146</definedName>
    <definedName name="HTML1_7" hidden="1">-4146</definedName>
    <definedName name="HTML1_8" hidden="1">"98-01-21"</definedName>
    <definedName name="HTML1_9" hidden="1">"김은광"</definedName>
    <definedName name="HTML10_1" hidden="1">"'[수주관리98.xls]2월1주차'!$A$1:$P$31"</definedName>
    <definedName name="HTML10_10" hidden="1">""</definedName>
    <definedName name="HTML10_11" hidden="1">1</definedName>
    <definedName name="HTML10_12" hidden="1">"C:\My Documents\98년\영업현황\일일현황-98.2.6.htm"</definedName>
    <definedName name="HTML10_2" hidden="1">1</definedName>
    <definedName name="HTML10_3" hidden="1">""</definedName>
    <definedName name="HTML10_4" hidden="1">""</definedName>
    <definedName name="HTML10_5" hidden="1">""</definedName>
    <definedName name="HTML10_6" hidden="1">-4146</definedName>
    <definedName name="HTML10_7" hidden="1">-4146</definedName>
    <definedName name="HTML10_8" hidden="1">""</definedName>
    <definedName name="HTML10_9" hidden="1">""</definedName>
    <definedName name="HTML11_1" hidden="1">"'[수주관리98.xls]2월2주차'!$A$1:$P$21"</definedName>
    <definedName name="HTML11_10" hidden="1">""</definedName>
    <definedName name="HTML11_11" hidden="1">1</definedName>
    <definedName name="HTML11_12" hidden="1">"C:\My Documents\98년\영업현황\일일현황-98.2.12.htm"</definedName>
    <definedName name="HTML11_2" hidden="1">1</definedName>
    <definedName name="HTML11_3" hidden="1">""</definedName>
    <definedName name="HTML11_4" hidden="1">""</definedName>
    <definedName name="HTML11_5" hidden="1">""</definedName>
    <definedName name="HTML11_6" hidden="1">-4146</definedName>
    <definedName name="HTML11_7" hidden="1">-4146</definedName>
    <definedName name="HTML11_8" hidden="1">""</definedName>
    <definedName name="HTML11_9" hidden="1">""</definedName>
    <definedName name="HTML12_1" hidden="1">"'[수주관리98.xls]2월2주차'!$A$1:$P$34"</definedName>
    <definedName name="HTML12_10" hidden="1">""</definedName>
    <definedName name="HTML12_11" hidden="1">1</definedName>
    <definedName name="HTML12_12" hidden="1">"C:\My Documents\98년\영업현황\일일현황-98.2.13.htm"</definedName>
    <definedName name="HTML12_2" hidden="1">1</definedName>
    <definedName name="HTML12_3" hidden="1">""</definedName>
    <definedName name="HTML12_4" hidden="1">""</definedName>
    <definedName name="HTML12_5" hidden="1">""</definedName>
    <definedName name="HTML12_6" hidden="1">-4146</definedName>
    <definedName name="HTML12_7" hidden="1">-4146</definedName>
    <definedName name="HTML12_8" hidden="1">""</definedName>
    <definedName name="HTML12_9" hidden="1">""</definedName>
    <definedName name="HTML13_1" hidden="1">"'[수주관리98.xls]2월2주차'!$A$1:$P$19"</definedName>
    <definedName name="HTML13_10" hidden="1">""</definedName>
    <definedName name="HTML13_11" hidden="1">1</definedName>
    <definedName name="HTML13_12" hidden="1">"C:\My Documents\98년\영업현황\일일현황-98.2.12.htm"</definedName>
    <definedName name="HTML13_2" hidden="1">1</definedName>
    <definedName name="HTML13_3" hidden="1">""</definedName>
    <definedName name="HTML13_4" hidden="1">""</definedName>
    <definedName name="HTML13_5" hidden="1">""</definedName>
    <definedName name="HTML13_6" hidden="1">-4146</definedName>
    <definedName name="HTML13_7" hidden="1">-4146</definedName>
    <definedName name="HTML13_8" hidden="1">""</definedName>
    <definedName name="HTML13_9" hidden="1">""</definedName>
    <definedName name="HTML14_1" hidden="1">"'[수주관리98.xls]2월2주차'!$A$1:$P$17"</definedName>
    <definedName name="HTML14_10" hidden="1">""</definedName>
    <definedName name="HTML14_11" hidden="1">1</definedName>
    <definedName name="HTML14_12" hidden="1">"C:\My Documents\98년\영업현황\일일현황-98.2.9.htm"</definedName>
    <definedName name="HTML14_2" hidden="1">1</definedName>
    <definedName name="HTML14_3" hidden="1">""</definedName>
    <definedName name="HTML14_4" hidden="1">""</definedName>
    <definedName name="HTML14_5" hidden="1">""</definedName>
    <definedName name="HTML14_6" hidden="1">-4146</definedName>
    <definedName name="HTML14_7" hidden="1">-4146</definedName>
    <definedName name="HTML14_8" hidden="1">""</definedName>
    <definedName name="HTML14_9" hidden="1">""</definedName>
    <definedName name="HTML15_1" hidden="1">"'[수주관리98.xls]2월3주차'!$A$1:$P$20"</definedName>
    <definedName name="HTML15_10" hidden="1">""</definedName>
    <definedName name="HTML15_11" hidden="1">1</definedName>
    <definedName name="HTML15_12" hidden="1">"C:\My Documents\98년\영업현황\일일현황-98.2.16.htm"</definedName>
    <definedName name="HTML15_2" hidden="1">1</definedName>
    <definedName name="HTML15_3" hidden="1">""</definedName>
    <definedName name="HTML15_4" hidden="1">""</definedName>
    <definedName name="HTML15_5" hidden="1">""</definedName>
    <definedName name="HTML15_6" hidden="1">-4146</definedName>
    <definedName name="HTML15_7" hidden="1">-4146</definedName>
    <definedName name="HTML15_8" hidden="1">""</definedName>
    <definedName name="HTML15_9" hidden="1">""</definedName>
    <definedName name="HTML16_1" hidden="1">"'[수주통합관리98_2_21.xls]2월3주차'!$A$1:$I$89"</definedName>
    <definedName name="HTML16_10" hidden="1">""</definedName>
    <definedName name="HTML16_11" hidden="1">1</definedName>
    <definedName name="HTML16_12" hidden="1">"C:\My Documents\98년\영업현황\일일현황-98.2.25.htm"</definedName>
    <definedName name="HTML16_2" hidden="1">1</definedName>
    <definedName name="HTML16_3" hidden="1">""</definedName>
    <definedName name="HTML16_4" hidden="1">""</definedName>
    <definedName name="HTML16_5" hidden="1">""</definedName>
    <definedName name="HTML16_6" hidden="1">-4146</definedName>
    <definedName name="HTML16_7" hidden="1">-4146</definedName>
    <definedName name="HTML16_8" hidden="1">""</definedName>
    <definedName name="HTML16_9" hidden="1">""</definedName>
    <definedName name="HTML17_1" hidden="1">"'[수주통합관리98_2_21.xls]2월3주차'!$A$4:$H$30"</definedName>
    <definedName name="HTML17_10" hidden="1">""</definedName>
    <definedName name="HTML17_11" hidden="1">1</definedName>
    <definedName name="HTML17_12" hidden="1">"C:\My Documents\98년\영업현황\1월 수주현황.htm"</definedName>
    <definedName name="HTML17_2" hidden="1">1</definedName>
    <definedName name="HTML17_3" hidden="1">""</definedName>
    <definedName name="HTML17_4" hidden="1">""</definedName>
    <definedName name="HTML17_5" hidden="1">""</definedName>
    <definedName name="HTML17_6" hidden="1">-4146</definedName>
    <definedName name="HTML17_7" hidden="1">-4146</definedName>
    <definedName name="HTML17_8" hidden="1">""</definedName>
    <definedName name="HTML17_9" hidden="1">""</definedName>
    <definedName name="HTML18_1" hidden="1">"'[수주통합관리98_2_21.xls]2월3주차'!$A$32:$I$58"</definedName>
    <definedName name="HTML18_10" hidden="1">""</definedName>
    <definedName name="HTML18_11" hidden="1">1</definedName>
    <definedName name="HTML18_12" hidden="1">"C:\My Documents\98년\영업현황\2월 수주현황(2월25일 현재).htm"</definedName>
    <definedName name="HTML18_2" hidden="1">1</definedName>
    <definedName name="HTML18_3" hidden="1">""</definedName>
    <definedName name="HTML18_4" hidden="1">""</definedName>
    <definedName name="HTML18_5" hidden="1">""</definedName>
    <definedName name="HTML18_6" hidden="1">-4146</definedName>
    <definedName name="HTML18_7" hidden="1">-4146</definedName>
    <definedName name="HTML18_8" hidden="1">""</definedName>
    <definedName name="HTML18_9" hidden="1">""</definedName>
    <definedName name="HTML19_1" hidden="1">"'[수주통합관리98_2_21.xls]2월3주차'!$A$63:$F$89"</definedName>
    <definedName name="HTML19_10" hidden="1">""</definedName>
    <definedName name="HTML19_11" hidden="1">1</definedName>
    <definedName name="HTML19_12" hidden="1">"C:\My Documents\98년\영업현황\월별현황(2월25일 현재).htm"</definedName>
    <definedName name="HTML19_2" hidden="1">1</definedName>
    <definedName name="HTML19_3" hidden="1">""</definedName>
    <definedName name="HTML19_4" hidden="1">""</definedName>
    <definedName name="HTML19_5" hidden="1">""</definedName>
    <definedName name="HTML19_6" hidden="1">-4146</definedName>
    <definedName name="HTML19_7" hidden="1">-4146</definedName>
    <definedName name="HTML19_8" hidden="1">""</definedName>
    <definedName name="HTML19_9" hidden="1">""</definedName>
    <definedName name="HTML2_1" hidden="1">"[수주관리98.xls]일일현황!$A$1:$L$10"</definedName>
    <definedName name="HTML2_10" hidden="1">""</definedName>
    <definedName name="HTML2_11" hidden="1">1</definedName>
    <definedName name="HTML2_12" hidden="1">"C:\My Documents\98년\1월\영업현황\일일현황-98.1.22.htm"</definedName>
    <definedName name="HTML2_2" hidden="1">1</definedName>
    <definedName name="HTML2_3" hidden="1">""</definedName>
    <definedName name="HTML2_4" hidden="1">""</definedName>
    <definedName name="HTML2_5" hidden="1">""</definedName>
    <definedName name="HTML2_6" hidden="1">-4146</definedName>
    <definedName name="HTML2_7" hidden="1">1</definedName>
    <definedName name="HTML2_8" hidden="1">"98-01-22"</definedName>
    <definedName name="HTML2_9" hidden="1">""</definedName>
    <definedName name="HTML20_1" hidden="1">"'[수주통합관리98_2_25.xls]2월4주차'!$A$71:$F$97"</definedName>
    <definedName name="HTML20_10" hidden="1">""</definedName>
    <definedName name="HTML20_11" hidden="1">1</definedName>
    <definedName name="HTML20_12" hidden="1">"C:\My Documents\98년\영업현황\월별현황(2월 마감분).htm"</definedName>
    <definedName name="HTML20_2" hidden="1">1</definedName>
    <definedName name="HTML20_3" hidden="1">""</definedName>
    <definedName name="HTML20_4" hidden="1">""</definedName>
    <definedName name="HTML20_5" hidden="1">""</definedName>
    <definedName name="HTML20_6" hidden="1">-4146</definedName>
    <definedName name="HTML20_7" hidden="1">-4146</definedName>
    <definedName name="HTML20_8" hidden="1">""</definedName>
    <definedName name="HTML20_9" hidden="1">""</definedName>
    <definedName name="HTML21_1" hidden="1">"'[수주통합관리98_2_25.xls]2월4주차'!$A$4:$H$29"</definedName>
    <definedName name="HTML21_10" hidden="1">""</definedName>
    <definedName name="HTML21_11" hidden="1">1</definedName>
    <definedName name="HTML21_12" hidden="1">"C:\My Documents\98년\영업현황\1월 수주현황(1월 마감분).htm"</definedName>
    <definedName name="HTML21_2" hidden="1">1</definedName>
    <definedName name="HTML21_3" hidden="1">""</definedName>
    <definedName name="HTML21_4" hidden="1">""</definedName>
    <definedName name="HTML21_5" hidden="1">""</definedName>
    <definedName name="HTML21_6" hidden="1">-4146</definedName>
    <definedName name="HTML21_7" hidden="1">-4146</definedName>
    <definedName name="HTML21_8" hidden="1">""</definedName>
    <definedName name="HTML21_9" hidden="1">""</definedName>
    <definedName name="HTML22_1" hidden="1">"'[수주통합관리98_2_25.xls]2월4주차'!$A$31:$I$66"</definedName>
    <definedName name="HTML22_10" hidden="1">""</definedName>
    <definedName name="HTML22_11" hidden="1">1</definedName>
    <definedName name="HTML22_12" hidden="1">"C:\My Documents\98년\영업현황\1월 수주현황(2월 마감분).htm"</definedName>
    <definedName name="HTML22_2" hidden="1">1</definedName>
    <definedName name="HTML22_3" hidden="1">""</definedName>
    <definedName name="HTML22_4" hidden="1">""</definedName>
    <definedName name="HTML22_5" hidden="1">""</definedName>
    <definedName name="HTML22_6" hidden="1">-4146</definedName>
    <definedName name="HTML22_7" hidden="1">-4146</definedName>
    <definedName name="HTML22_8" hidden="1">""</definedName>
    <definedName name="HTML22_9" hidden="1">""</definedName>
    <definedName name="HTML23_1" hidden="1">"[수주통합관리98_2_25.xls]보고양식!$A$32:$I$68"</definedName>
    <definedName name="HTML23_10" hidden="1">""</definedName>
    <definedName name="HTML23_11" hidden="1">1</definedName>
    <definedName name="HTML23_12" hidden="1">"C:\My Documents\98년\영업현황\2월 수주현황(2월 마감분).htm"</definedName>
    <definedName name="HTML23_2" hidden="1">1</definedName>
    <definedName name="HTML23_3" hidden="1">""</definedName>
    <definedName name="HTML23_4" hidden="1">""</definedName>
    <definedName name="HTML23_5" hidden="1">""</definedName>
    <definedName name="HTML23_6" hidden="1">-4146</definedName>
    <definedName name="HTML23_7" hidden="1">-4146</definedName>
    <definedName name="HTML23_8" hidden="1">""</definedName>
    <definedName name="HTML23_9" hidden="1">""</definedName>
    <definedName name="HTML24_1" hidden="1">"[수주통합관리98_2_25.xls]보고양식!$A$73:$F$98"</definedName>
    <definedName name="HTML24_10" hidden="1">""</definedName>
    <definedName name="HTML24_11" hidden="1">1</definedName>
    <definedName name="HTML24_12" hidden="1">"C:\My Documents\98년\영업현황\월별현황(2월 마감분).htm"</definedName>
    <definedName name="HTML24_2" hidden="1">1</definedName>
    <definedName name="HTML24_3" hidden="1">""</definedName>
    <definedName name="HTML24_4" hidden="1">""</definedName>
    <definedName name="HTML24_5" hidden="1">""</definedName>
    <definedName name="HTML24_6" hidden="1">-4146</definedName>
    <definedName name="HTML24_7" hidden="1">-4146</definedName>
    <definedName name="HTML24_8" hidden="1">""</definedName>
    <definedName name="HTML24_9" hidden="1">""</definedName>
    <definedName name="HTML25_1" hidden="1">"[수주통합관리98_2_25.xls]보고양식!$A$4:$I$29"</definedName>
    <definedName name="HTML25_10" hidden="1">""</definedName>
    <definedName name="HTML25_11" hidden="1">1</definedName>
    <definedName name="HTML25_12" hidden="1">"C:\My Documents\98년\영업현황\1월 수주현황(1월 마감분).htm"</definedName>
    <definedName name="HTML25_2" hidden="1">1</definedName>
    <definedName name="HTML25_3" hidden="1">""</definedName>
    <definedName name="HTML25_4" hidden="1">""</definedName>
    <definedName name="HTML25_5" hidden="1">""</definedName>
    <definedName name="HTML25_6" hidden="1">-4146</definedName>
    <definedName name="HTML25_7" hidden="1">-4146</definedName>
    <definedName name="HTML25_8" hidden="1">""</definedName>
    <definedName name="HTML25_9" hidden="1">""</definedName>
    <definedName name="HTML26_1" hidden="1">"[수주통합관리98_2_25.xls]보고양식!$A$31:$K$80"</definedName>
    <definedName name="HTML26_10" hidden="1">""</definedName>
    <definedName name="HTML26_11" hidden="1">1</definedName>
    <definedName name="HTML26_12" hidden="1">"C:\My Documents\98년\영업현황\2월 수주현황(2월 마감분).htm"</definedName>
    <definedName name="HTML26_2" hidden="1">1</definedName>
    <definedName name="HTML26_3" hidden="1">""</definedName>
    <definedName name="HTML26_4" hidden="1">""</definedName>
    <definedName name="HTML26_5" hidden="1">""</definedName>
    <definedName name="HTML26_6" hidden="1">-4146</definedName>
    <definedName name="HTML26_7" hidden="1">-4146</definedName>
    <definedName name="HTML26_8" hidden="1">""</definedName>
    <definedName name="HTML26_9" hidden="1">""</definedName>
    <definedName name="HTML27_1" hidden="1">"[수주통합관리98_2_25.xls]보고양식!$B$84:$G$109"</definedName>
    <definedName name="HTML27_10" hidden="1">""</definedName>
    <definedName name="HTML27_11" hidden="1">1</definedName>
    <definedName name="HTML27_12" hidden="1">"C:\My Documents\98년\영업현황\월별현황(2월 마감분).htm"</definedName>
    <definedName name="HTML27_2" hidden="1">1</definedName>
    <definedName name="HTML27_3" hidden="1">""</definedName>
    <definedName name="HTML27_4" hidden="1">""</definedName>
    <definedName name="HTML27_5" hidden="1">""</definedName>
    <definedName name="HTML27_6" hidden="1">-4146</definedName>
    <definedName name="HTML27_7" hidden="1">-4146</definedName>
    <definedName name="HTML27_8" hidden="1">""</definedName>
    <definedName name="HTML27_9" hidden="1">""</definedName>
    <definedName name="HTML28_1" hidden="1">"[수주통합관리98_3_2.xls]보고양식!$B$92:$G$117"</definedName>
    <definedName name="HTML28_10" hidden="1">""</definedName>
    <definedName name="HTML28_11" hidden="1">1</definedName>
    <definedName name="HTML28_12" hidden="1">"C:\My Documents\98년\영업현황\월별현황(2월 마감분).htm"</definedName>
    <definedName name="HTML28_2" hidden="1">1</definedName>
    <definedName name="HTML28_3" hidden="1">""</definedName>
    <definedName name="HTML28_4" hidden="1">""</definedName>
    <definedName name="HTML28_5" hidden="1">""</definedName>
    <definedName name="HTML28_6" hidden="1">-4146</definedName>
    <definedName name="HTML28_7" hidden="1">-4146</definedName>
    <definedName name="HTML28_8" hidden="1">""</definedName>
    <definedName name="HTML28_9" hidden="1">""</definedName>
    <definedName name="HTML29_1" hidden="1">"[수주통합관리98_3_2.xls]보고양식!$A$31:$K$88"</definedName>
    <definedName name="HTML29_10" hidden="1">""</definedName>
    <definedName name="HTML29_11" hidden="1">1</definedName>
    <definedName name="HTML29_12" hidden="1">"C:\My Documents\98년\영업현황\2월 수주현황(2월 마감분).htm"</definedName>
    <definedName name="HTML29_2" hidden="1">1</definedName>
    <definedName name="HTML29_3" hidden="1">""</definedName>
    <definedName name="HTML29_4" hidden="1">""</definedName>
    <definedName name="HTML29_5" hidden="1">""</definedName>
    <definedName name="HTML29_6" hidden="1">-4146</definedName>
    <definedName name="HTML29_7" hidden="1">-4146</definedName>
    <definedName name="HTML29_8" hidden="1">""</definedName>
    <definedName name="HTML29_9" hidden="1">""</definedName>
    <definedName name="HTML3_1" hidden="1">"[수주관리98.xls]일일현황!$A$1:$N$9"</definedName>
    <definedName name="HTML3_10" hidden="1">""</definedName>
    <definedName name="HTML3_11" hidden="1">1</definedName>
    <definedName name="HTML3_12" hidden="1">"C:\My Documents\98년\영업현황\일일현황-98.1.23.htm"</definedName>
    <definedName name="HTML3_2" hidden="1">1</definedName>
    <definedName name="HTML3_3" hidden="1">""</definedName>
    <definedName name="HTML3_4" hidden="1">""</definedName>
    <definedName name="HTML3_5" hidden="1">""</definedName>
    <definedName name="HTML3_6" hidden="1">1</definedName>
    <definedName name="HTML3_7" hidden="1">1</definedName>
    <definedName name="HTML3_8" hidden="1">""</definedName>
    <definedName name="HTML3_9" hidden="1">""</definedName>
    <definedName name="HTML30_1" hidden="1">"'[사본 - 영업통합관리(수주.매출).xls]보고양식'!$A$114:$K$131"</definedName>
    <definedName name="HTML30_10" hidden="1">""</definedName>
    <definedName name="HTML30_11" hidden="1">1</definedName>
    <definedName name="HTML30_12" hidden="1">"C:\My Documents\98년\영업현황\일일현황-98.3.12.htm"</definedName>
    <definedName name="HTML30_2" hidden="1">1</definedName>
    <definedName name="HTML30_3" hidden="1">""</definedName>
    <definedName name="HTML30_4" hidden="1">""</definedName>
    <definedName name="HTML30_5" hidden="1">""</definedName>
    <definedName name="HTML30_6" hidden="1">-4146</definedName>
    <definedName name="HTML30_7" hidden="1">-4146</definedName>
    <definedName name="HTML30_8" hidden="1">""</definedName>
    <definedName name="HTML30_9" hidden="1">""</definedName>
    <definedName name="HTML4_1" hidden="1">"[수주관리98.xls]영업!$A$1:$N$15"</definedName>
    <definedName name="HTML4_10" hidden="1">""</definedName>
    <definedName name="HTML4_11" hidden="1">1</definedName>
    <definedName name="HTML4_12" hidden="1">"C:\My Documents\98년\영업현황\일일현황-98.1.31.htm"</definedName>
    <definedName name="HTML4_2" hidden="1">1</definedName>
    <definedName name="HTML4_3" hidden="1">""</definedName>
    <definedName name="HTML4_4" hidden="1">""</definedName>
    <definedName name="HTML4_5" hidden="1">""</definedName>
    <definedName name="HTML4_6" hidden="1">1</definedName>
    <definedName name="HTML4_7" hidden="1">1</definedName>
    <definedName name="HTML4_8" hidden="1">"98-01-31"</definedName>
    <definedName name="HTML4_9" hidden="1">""</definedName>
    <definedName name="HTML5_1" hidden="1">"[수주관리98.xls]영업!$A$1:$N$29"</definedName>
    <definedName name="HTML5_10" hidden="1">""</definedName>
    <definedName name="HTML5_11" hidden="1">1</definedName>
    <definedName name="HTML5_12" hidden="1">"C:\My Documents\98년\영업현황\일일현황-98.1.31.v.htm"</definedName>
    <definedName name="HTML5_2" hidden="1">1</definedName>
    <definedName name="HTML5_3" hidden="1">""</definedName>
    <definedName name="HTML5_4" hidden="1">""</definedName>
    <definedName name="HTML5_5" hidden="1">""</definedName>
    <definedName name="HTML5_6" hidden="1">1</definedName>
    <definedName name="HTML5_7" hidden="1">1</definedName>
    <definedName name="HTML5_8" hidden="1">""</definedName>
    <definedName name="HTML5_9" hidden="1">""</definedName>
    <definedName name="HTML6_1" hidden="1">"'[수주관리98.xls]2월'!$A$1:$P$48"</definedName>
    <definedName name="HTML6_10" hidden="1">""</definedName>
    <definedName name="HTML6_11" hidden="1">1</definedName>
    <definedName name="HTML6_12" hidden="1">"C:\My Documents\98년\영업현황\일일현황-98.1.31.htm"</definedName>
    <definedName name="HTML6_2" hidden="1">1</definedName>
    <definedName name="HTML6_3" hidden="1">""</definedName>
    <definedName name="HTML6_4" hidden="1">""</definedName>
    <definedName name="HTML6_5" hidden="1">""</definedName>
    <definedName name="HTML6_6" hidden="1">-4146</definedName>
    <definedName name="HTML6_7" hidden="1">-4146</definedName>
    <definedName name="HTML6_8" hidden="1">""</definedName>
    <definedName name="HTML6_9" hidden="1">""</definedName>
    <definedName name="HTML7_1" hidden="1">"'[수주관리98.xls]2월'!$A$3:$P$30"</definedName>
    <definedName name="HTML7_10" hidden="1">""</definedName>
    <definedName name="HTML7_11" hidden="1">1</definedName>
    <definedName name="HTML7_12" hidden="1">"C:\My Documents\98년\영업현황\일일현황-98.1.31.htm"</definedName>
    <definedName name="HTML7_2" hidden="1">1</definedName>
    <definedName name="HTML7_3" hidden="1">""</definedName>
    <definedName name="HTML7_4" hidden="1">""</definedName>
    <definedName name="HTML7_5" hidden="1">""</definedName>
    <definedName name="HTML7_6" hidden="1">-4146</definedName>
    <definedName name="HTML7_7" hidden="1">-4146</definedName>
    <definedName name="HTML7_8" hidden="1">""</definedName>
    <definedName name="HTML7_9" hidden="1">""</definedName>
    <definedName name="HTML8_1" hidden="1">"'[수주관리98.xls]2월'!$A$1:$P$30"</definedName>
    <definedName name="HTML8_10" hidden="1">""</definedName>
    <definedName name="HTML8_11" hidden="1">1</definedName>
    <definedName name="HTML8_12" hidden="1">"C:\My Documents\98년\영업현황\일일현황-98.1.31.htm"</definedName>
    <definedName name="HTML8_2" hidden="1">1</definedName>
    <definedName name="HTML8_3" hidden="1">""</definedName>
    <definedName name="HTML8_4" hidden="1">""</definedName>
    <definedName name="HTML8_5" hidden="1">""</definedName>
    <definedName name="HTML8_6" hidden="1">-4146</definedName>
    <definedName name="HTML8_7" hidden="1">-4146</definedName>
    <definedName name="HTML8_8" hidden="1">""</definedName>
    <definedName name="HTML8_9" hidden="1">""</definedName>
    <definedName name="HTML9_1" hidden="1">"'[수주관리98.xls]2월'!$A$1:$P$19"</definedName>
    <definedName name="HTML9_10" hidden="1">""</definedName>
    <definedName name="HTML9_11" hidden="1">1</definedName>
    <definedName name="HTML9_12" hidden="1">"C:\My Documents\98년\영업현황\일일현황-98.2.10.htm"</definedName>
    <definedName name="HTML9_2" hidden="1">1</definedName>
    <definedName name="HTML9_3" hidden="1">""</definedName>
    <definedName name="HTML9_4" hidden="1">""</definedName>
    <definedName name="HTML9_5" hidden="1">""</definedName>
    <definedName name="HTML9_6" hidden="1">-4146</definedName>
    <definedName name="HTML9_7" hidden="1">-4146</definedName>
    <definedName name="HTML9_8" hidden="1">""</definedName>
    <definedName name="HTML9_9" hidden="1">""</definedName>
    <definedName name="HTMLCount" hidden="1">30</definedName>
    <definedName name="i" localSheetId="7" hidden="1">{"Qtr Op Mgd Q3",#N/A,FALSE,"Qtr-Op (Mng)";"Qtr Op Rpt Q3",#N/A,FALSE,"Qtr-Op (Rpt)";"Operating Vs Reported",#N/A,FALSE,"Rpt-Op Inc"}</definedName>
    <definedName name="i" hidden="1">{"Qtr Op Mgd Q3",#N/A,FALSE,"Qtr-Op (Mng)";"Qtr Op Rpt Q3",#N/A,FALSE,"Qtr-Op (Rpt)";"Operating Vs Reported",#N/A,FALSE,"Rpt-Op Inc"}</definedName>
    <definedName name="india">0</definedName>
    <definedName name="instructions">#REF!</definedName>
    <definedName name="italy">0</definedName>
    <definedName name="japan">0</definedName>
    <definedName name="KHN" localSheetId="7" hidden="1">{"'보고양식'!$A$58:$K$111"}</definedName>
    <definedName name="KHN" hidden="1">{"'보고양식'!$A$58:$K$111"}</definedName>
    <definedName name="latinAmerica">0</definedName>
    <definedName name="latinAmericaCountries" localSheetId="7">'[1]MW GEG'!$J$42:$J$46</definedName>
    <definedName name="latinAmericaCountries">#REF!</definedName>
    <definedName name="Linking_1">Sum!$B$4:$BJ$85</definedName>
    <definedName name="Linking_10">Sum!$B$4:$BN$85</definedName>
    <definedName name="Linking_11">#REF!</definedName>
    <definedName name="Linking_12">Sum!$B$4:$BR$85</definedName>
    <definedName name="Linking_13">Sum!$B$4:$BV$85</definedName>
    <definedName name="Linking_14">#REF!</definedName>
    <definedName name="Linking_15">Sum!$B$4:$BZ$85</definedName>
    <definedName name="Linking_16">#REF!</definedName>
    <definedName name="Linking_17">#REF!</definedName>
    <definedName name="Linking_18">Sum!$B$4:$CD$85</definedName>
    <definedName name="Linking_19">#REF!</definedName>
    <definedName name="Linking_2">#REF!</definedName>
    <definedName name="Linking_20">#REF!</definedName>
    <definedName name="Linking_21">Sum!$B$4:$CD$86</definedName>
    <definedName name="Linking_22">Sum!$B$4:$CH$78</definedName>
    <definedName name="Linking_23">#REF!</definedName>
    <definedName name="Linking_24">SOTP!$B$36:$H$57</definedName>
    <definedName name="Linking_25">SOTP!$B$65:$F$80</definedName>
    <definedName name="Linking_26">CF!$P$246:$AA$256</definedName>
    <definedName name="Linking_27">#REF!</definedName>
    <definedName name="Linking_28">#REF!</definedName>
    <definedName name="Linking_29">Sum!$B$3:$CL$78</definedName>
    <definedName name="Linking_3">#REF!</definedName>
    <definedName name="Linking_30">#REF!</definedName>
    <definedName name="Linking_31">#REF!</definedName>
    <definedName name="Linking_32">Sum!$B$4:$CL$75</definedName>
    <definedName name="Linking_33">#REF!</definedName>
    <definedName name="Linking_34">#REF!</definedName>
    <definedName name="Linking_35">Sum!$B$3:$CL$76</definedName>
    <definedName name="Linking_36">#REF!</definedName>
    <definedName name="Linking_37">Sum!$B$3:$CP$76</definedName>
    <definedName name="Linking_38">SOTP!$B$36:$H$56</definedName>
    <definedName name="Linking_39">SOTP!$B$65:$F$79</definedName>
    <definedName name="Linking_4">#REF!</definedName>
    <definedName name="Linking_40">#REF!</definedName>
    <definedName name="Linking_41">Sum!$B$4:$CT$74</definedName>
    <definedName name="Linking_5">Sum!$B$4:$BJ$85</definedName>
    <definedName name="Linking_6">#REF!</definedName>
    <definedName name="Linking_7">Sum!$B$4:$BJ$85</definedName>
    <definedName name="Linking_8">#REF!</definedName>
    <definedName name="Linking_9">#REF!</definedName>
    <definedName name="Linking_Range_10">Sum!$B$4:$BJ$87</definedName>
    <definedName name="Linking_Range_11">Sum!$B$4:$BJ$87</definedName>
    <definedName name="Linking_Range_12">Sum!$B$4:$BJ$85</definedName>
    <definedName name="Linking_Range_15">Sum!$B$4:$BJ$85</definedName>
    <definedName name="Linking_Range_2">Sum!$B$4:$BJ$87</definedName>
    <definedName name="Linking_Range_27">#REF!</definedName>
    <definedName name="Linking_Range_28">#REF!</definedName>
    <definedName name="Linking_Range_29">#REF!</definedName>
    <definedName name="Linking_Range_31">#REF!</definedName>
    <definedName name="Linking_Range_32">#REF!</definedName>
    <definedName name="Linking_Range_34">#REF!</definedName>
    <definedName name="Linking_Range_4">#REF!</definedName>
    <definedName name="Linking_Range_6">Sum!$B$3:$BJ$87</definedName>
    <definedName name="Linking_Range_7">Sum!$B$4:$BJ$87</definedName>
    <definedName name="Linking_Range_8">#REF!</definedName>
    <definedName name="Linking_Range_9">Sum!$B$4:$BJ$87</definedName>
    <definedName name="Linking_Text_1">#REF!</definedName>
    <definedName name="middleEast">0</definedName>
    <definedName name="middleEastAfrica">0</definedName>
    <definedName name="middleEastAfricaRegion">#REF!</definedName>
    <definedName name="middleEastAfricaStates" localSheetId="7">'[1]MW GEG'!$H$23:$H$24</definedName>
    <definedName name="middleEastAfricaStates">#REF!</definedName>
    <definedName name="multSecurities_L">#REF!</definedName>
    <definedName name="northAmerica">0</definedName>
    <definedName name="northAmericaCountries" localSheetId="7">'[1]MW GEG'!$J$39:$J$40</definedName>
    <definedName name="northAmericaCountries">#REF!</definedName>
    <definedName name="Notes" localSheetId="7">[1]VAActuals_Consensus!$C$169,[1]VAActuals_Consensus!$C$170:$C$172</definedName>
    <definedName name="Notes">#REF!,#REF!</definedName>
    <definedName name="onepager">#REF!</definedName>
    <definedName name="otherAfrica">0</definedName>
    <definedName name="otherAsiaPacific">0</definedName>
    <definedName name="otherCentralEasternEurope">0</definedName>
    <definedName name="otherDevelopedEurope">0</definedName>
    <definedName name="otherLATAM">0</definedName>
    <definedName name="PL_ODPS_08">#REF!</definedName>
    <definedName name="PL_ODPS_09">#REF!</definedName>
    <definedName name="PL_ODPS_10">#REF!</definedName>
    <definedName name="PL_ODPS_11">#REF!</definedName>
    <definedName name="PL_ODPS_H1_07">#REF!</definedName>
    <definedName name="PL_ODPS_H1_09">#REF!</definedName>
    <definedName name="PL_ODPS_H1_11">#REF!</definedName>
    <definedName name="PL_ODPS_H2_07">#REF!</definedName>
    <definedName name="PL_ODPS_H2_08">#REF!</definedName>
    <definedName name="PL_ODPS_H2_09">#REF!</definedName>
    <definedName name="PL_ODPS_H2_11">#REF!</definedName>
    <definedName name="PL_REPS_07">#REF!</definedName>
    <definedName name="PL_REPS_08">#REF!</definedName>
    <definedName name="PL_REPS_09">#REF!</definedName>
    <definedName name="PL_REPS_10">#REF!</definedName>
    <definedName name="PL_REPS_11">#REF!</definedName>
    <definedName name="PL_Yield_08">#REF!</definedName>
    <definedName name="PL_Yield_09">#REF!</definedName>
    <definedName name="PL_Yield_10">#REF!</definedName>
    <definedName name="PL_Yield_11">#REF!</definedName>
    <definedName name="_xlnm.Print_Area" localSheetId="2">Sum!$B$4:$BJ$86</definedName>
    <definedName name="q" localSheetId="7" hidden="1">{"Qtr Op Mgd Q2",#N/A,FALSE,"Qtr-Op (Mng)";"Qtr Op Rpt Q2",#N/A,FALSE,"Qtr-Op (Rpt)";"Operating Vs Reported",#N/A,FALSE,"Rpt-Op Inc"}</definedName>
    <definedName name="q" hidden="1">{"Qtr Op Mgd Q2",#N/A,FALSE,"Qtr-Op (Mng)";"Qtr Op Rpt Q2",#N/A,FALSE,"Qtr-Op (Rpt)";"Operating Vs Reported",#N/A,FALSE,"Rpt-Op Inc"}</definedName>
    <definedName name="qrtanal" localSheetId="7" hidden="1">{"cover a","4q",FALSE,"Cover";"Op Earn Mgd Q4",#N/A,FALSE,"Op-Earn (Mng)";"Op Earn Rpt Q4",#N/A,FALSE,"Op-Earn (Rpt)";"Loans",#N/A,FALSE,"Loans";"Credit Costs",#N/A,FALSE,"CCosts";"Net Interest Margin",#N/A,FALSE,"Margin";"Nonint Income",#N/A,FALSE,"NonII";"Nonint Exp",#N/A,FALSE,"NonIE";"Valuation",#N/A,FALSE,"Valuation"}</definedName>
    <definedName name="qrtanal" hidden="1">{"cover a","4q",FALSE,"Cover";"Op Earn Mgd Q4",#N/A,FALSE,"Op-Earn (Mng)";"Op Earn Rpt Q4",#N/A,FALSE,"Op-Earn (Rpt)";"Loans",#N/A,FALSE,"Loans";"Credit Costs",#N/A,FALSE,"CCosts";"Net Interest Margin",#N/A,FALSE,"Margin";"Nonint Income",#N/A,FALSE,"NonII";"Nonint Exp",#N/A,FALSE,"NonIE";"Valuation",#N/A,FALSE,"Valuation"}</definedName>
    <definedName name="R_NTA_08">#REF!</definedName>
    <definedName name="R_NTA_09">#REF!</definedName>
    <definedName name="R_NTA_10">#REF!</definedName>
    <definedName name="R_NTA_11">#REF!</definedName>
    <definedName name="regionalCostExposure" localSheetId="7">'[1]MW GEG'!$F$70:$F$74</definedName>
    <definedName name="regionalCostExposure">#REF!</definedName>
    <definedName name="rep" localSheetId="7" hidden="1">{#N/A,#N/A,FALSE,"COVER";#N/A,#N/A,FALSE,"VALUATION";#N/A,#N/A,FALSE,"FORECAST";#N/A,#N/A,FALSE,"FY ANALYSIS ";#N/A,#N/A,FALSE," HY ANALYSIS"}</definedName>
    <definedName name="rep" hidden="1">{#N/A,#N/A,FALSE,"COVER";#N/A,#N/A,FALSE,"VALUATION";#N/A,#N/A,FALSE,"FORECAST";#N/A,#N/A,FALSE,"FY ANALYSIS ";#N/A,#N/A,FALSE," HY ANALYSIS"}</definedName>
    <definedName name="rngBRICS" localSheetId="7">'[1]MW GEG'!$J$25,'[1]MW GEG'!$H$29:$H$30,'[1]MW GEG'!$J$42,'[1]MW GEG'!$J$20</definedName>
    <definedName name="rngBRICS">#REF!,#REF!,#REF!,#REF!</definedName>
    <definedName name="rngContinentWiseValue">#REF!</definedName>
    <definedName name="rngCountryWiseValue">#REF!</definedName>
    <definedName name="rngEEMEA" localSheetId="7">'[1]MW GEG'!$J$21,'[1]MW GEG'!$H$23,'[1]MW GEG'!$H$24,'[1]MW GEG'!$J$20</definedName>
    <definedName name="rngEEMEA">#REF!,#REF!,#REF!,#REF!</definedName>
    <definedName name="rngStateWiseValue">#REF!</definedName>
    <definedName name="rngTotalRegionExposure" localSheetId="7">'[1]MW GEG'!$D$10</definedName>
    <definedName name="rngTotalRegionExposure">1</definedName>
    <definedName name="Scenarios">SOTP!$C$65:$E$65</definedName>
    <definedName name="sdf" localSheetId="7">{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definedName>
    <definedName name="sdf">{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241}</definedName>
    <definedName name="sds" localSheetId="7" hidden="1">{"'보고양식'!$A$58:$K$111"}</definedName>
    <definedName name="sds" hidden="1">{"'보고양식'!$A$58:$K$111"}</definedName>
    <definedName name="showVersionCheckMessage">1</definedName>
    <definedName name="shrs" localSheetId="7"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hrs"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ocioEconomicRegion">#REF!</definedName>
    <definedName name="socioEconomicRegions" localSheetId="7">'[1]MW GEG'!$D$48:$D$51</definedName>
    <definedName name="socioEconomicRegions">#REF!</definedName>
    <definedName name="spain">0</definedName>
    <definedName name="statistics_type" localSheetId="7">[1]Lookup!$E$2:$F$6</definedName>
    <definedName name="statistics_type">#REF!</definedName>
    <definedName name="ticker">OFFSET(#REF!,1,0,COUNTA(#REF!)-1,1)</definedName>
    <definedName name="totalConsumerDemandExposure">0</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TRNR_011b9479eb454b539146c9618fdd4eec_2088_2" hidden="1">#REF!</definedName>
    <definedName name="TRNR_03723eeab35e4c778879836e27be931e_781_2" hidden="1">#REF!</definedName>
    <definedName name="TRNR_04d9df4bdf3e401799dd4fcc62fef75e_2088_2" hidden="1">#REF!</definedName>
    <definedName name="TRNR_051db17f2fb24e2db5c33793ec8eee3e_2088_2" hidden="1">#REF!</definedName>
    <definedName name="TRNR_0b48e62585614a9ebc1400e62167e282_2087_2" hidden="1">#REF!</definedName>
    <definedName name="TRNR_0c8dc0e60d1a4b86a9d1007d66ee13c4_778_2" hidden="1">#REF!</definedName>
    <definedName name="TRNR_113a8c7f378c4c6eb62327762f80af3d_767_2" hidden="1">#REF!</definedName>
    <definedName name="TRNR_137599591435426e82a5acb7da3d9ea2_2087_2" hidden="1">#REF!</definedName>
    <definedName name="TRNR_1648c8d2e899478d8e8ec769e727c470_2087_2" hidden="1">#REF!</definedName>
    <definedName name="TRNR_1677f9b87d5b4a699e9dfba4b36bd650_2088_2" hidden="1">#REF!</definedName>
    <definedName name="TRNR_1954c609097c4e50ad2f81389e34adf5_2087_2" hidden="1">#REF!</definedName>
    <definedName name="TRNR_1c8e280ae9454063982855605c6f0eb4_2089_2" hidden="1">#REF!</definedName>
    <definedName name="TRNR_1deaab7b73db46f78eca6ca716101abd_2087_2" hidden="1">#REF!</definedName>
    <definedName name="TRNR_1e3f1e97479843d69d13d5c11b338a62_2089_2" hidden="1">#REF!</definedName>
    <definedName name="TRNR_1fa0edf5094e4bf68cc05d487d94b139_781_2" hidden="1">#REF!</definedName>
    <definedName name="TRNR_1fdbce5d5fb6403b8133ae392046c74b_781_2" hidden="1">#REF!</definedName>
    <definedName name="TRNR_226090d3330642e3a7891a7bcc2140f4_766_2" hidden="1">#REF!</definedName>
    <definedName name="TRNR_23e3a8871c1f41c9a2d129608143f6c5_771_2" hidden="1">#REF!</definedName>
    <definedName name="TRNR_2470dcb74dd84ec698cd29bf1e8645c5_764_2" hidden="1">#REF!</definedName>
    <definedName name="TRNR_29b74656ba7c473f8d23d2cd80cf784b_777_2" hidden="1">#REF!</definedName>
    <definedName name="TRNR_2bba3c7308b544fcb487920e1d23ffdc_2087_2" hidden="1">#REF!</definedName>
    <definedName name="TRNR_2d7c38ee7161439c8b0924450108541e_2088_2" hidden="1">#REF!</definedName>
    <definedName name="TRNR_2fbe54182b98478dbaa2df8557347bd3_763_2" hidden="1">#REF!</definedName>
    <definedName name="TRNR_345a20bdb67a47f7903b99124ecb34f1_2087_2" hidden="1">#REF!</definedName>
    <definedName name="TRNR_3526e4573eb34ab7b8ee344717942d8e_772_2" hidden="1">#REF!</definedName>
    <definedName name="TRNR_3755ece457004a908a73db16cab6839b_2089_2" hidden="1">#REF!</definedName>
    <definedName name="TRNR_3ac9927ed3794144bbce02e3c12e1686_1_1" hidden="1">#REF!</definedName>
    <definedName name="TRNR_410ccbb2b85c4222bf2b596aa3be57a0_2089_2" hidden="1">#REF!</definedName>
    <definedName name="TRNR_4562a44ba4bf4a2f824748fdb166f938_2088_2" hidden="1">#REF!</definedName>
    <definedName name="TRNR_517240230a134deeaf2497610e27aa4a_781_2" hidden="1">#REF!</definedName>
    <definedName name="TRNR_5327d70af09b4bfc8fe8cf5ebfafe2e3_37_2" hidden="1">#REF!</definedName>
    <definedName name="TRNR_54a51162420a4a33aa29db20cab595cf_2089_2" hidden="1">#REF!</definedName>
    <definedName name="TRNR_57faa0ffd38a4467b2032af4c255c16c_2088_2" hidden="1">#REF!</definedName>
    <definedName name="TRNR_610b67a007004aa59c2f1b2a69c278f8_2089_2" hidden="1">#REF!</definedName>
    <definedName name="TRNR_64a380f375914fc1a0c801ddf53c5fd6_769_2" hidden="1">#REF!</definedName>
    <definedName name="TRNR_64e15ff59e204b38b3b05865d205b830_2089_2" hidden="1">#REF!</definedName>
    <definedName name="TRNR_6577d679949c45379706f4a0e7761c10_764_2" hidden="1">#REF!</definedName>
    <definedName name="TRNR_6a6d70b1294d41b7bf7332535524cdc6_784_2" hidden="1">#REF!</definedName>
    <definedName name="TRNR_6ceadba58d8347e980243bd5343953c7_774_2" hidden="1">#REF!</definedName>
    <definedName name="TRNR_6d061c9729934701908fbeda529e9af3_2088_2" hidden="1">#REF!</definedName>
    <definedName name="TRNR_6d3dfb1676e8493fa4e1b35f219226e5_2088_2" hidden="1">#REF!</definedName>
    <definedName name="TRNR_6e79e9f0091340a2b7165bf8e02d9ae9_1_1" hidden="1">#REF!</definedName>
    <definedName name="TRNR_6ec5491b3a924240803c13b85dff696d_2087_2" hidden="1">#REF!</definedName>
    <definedName name="TRNR_72ab7824ba694882bcf1a92baf882d6d_2088_2" hidden="1">#REF!</definedName>
    <definedName name="TRNR_79288b1479e44f22a92afa3571a04b22_767_2" hidden="1">#REF!</definedName>
    <definedName name="TRNR_7bddbf649b1f4ab286717f7d7b672366_2087_2" hidden="1">#REF!</definedName>
    <definedName name="TRNR_7cb6b8cd79f54dd9880045904e55d7db_772_2" hidden="1">#REF!</definedName>
    <definedName name="TRNR_7ed708590be24e4d85c5a19a401d9672_2088_2" hidden="1">#REF!</definedName>
    <definedName name="TRNR_826dd419d02c4b7588120263678323aa_1566_1" hidden="1">#REF!</definedName>
    <definedName name="TRNR_829d09dec32c48fab838aba6b2d41b83_2089_2" hidden="1">#REF!</definedName>
    <definedName name="TRNR_8386bf6f04224bae8a6d605f7324269d_2089_2" hidden="1">#REF!</definedName>
    <definedName name="TRNR_83dba4c0fb4444588508b81bb210bbcf_781_2" hidden="1">#REF!</definedName>
    <definedName name="TRNR_85198d9aba604e7fa13d87ededb44b29_764_2" hidden="1">#REF!</definedName>
    <definedName name="TRNR_8738cab645d14c60bca87fe2e3862f9b_2088_2" hidden="1">#REF!</definedName>
    <definedName name="TRNR_8aa2baeaa8464790b595d977e9e8414c_2089_2" hidden="1">#REF!</definedName>
    <definedName name="TRNR_8b422dcaaa4244ac93c1c599697c7982_2087_2" hidden="1">#REF!</definedName>
    <definedName name="TRNR_9043e5a10d554ce7800af91f6f8533cf_784_2" hidden="1">#REF!</definedName>
    <definedName name="TRNR_915f1d2319b54f60b50250cf34f396b8_2089_2" hidden="1">#REF!</definedName>
    <definedName name="TRNR_95e98c5f57644f76a4a8da9e312c7eb5_781_2" hidden="1">#REF!</definedName>
    <definedName name="TRNR_965701baca8b46078aceb745b9f6da36_2087_2" hidden="1">#REF!</definedName>
    <definedName name="TRNR_97c91429b5984d4c90492741ceac2eab_2089_1" hidden="1">#REF!</definedName>
    <definedName name="TRNR_98e0827b48a24665be01d68ddaf19241_523_3" hidden="1">#REF!</definedName>
    <definedName name="TRNR_98f739f627e24661862d9d0cb060fdca_2089_2" hidden="1">#REF!</definedName>
    <definedName name="TRNR_9ab477703049405b9cbb41de036a23a3_763_2" hidden="1">#REF!</definedName>
    <definedName name="TRNR_9c93d1f530d84b63b1850fdcb251b9ac_764_2" hidden="1">#REF!</definedName>
    <definedName name="TRNR_9eccd4f849244940aaa3c2631ea9c26e_2089_2" hidden="1">#REF!</definedName>
    <definedName name="TRNR_a07b8a9b449e49abb5a8bd7155c3c8d7_782_2" hidden="1">#REF!</definedName>
    <definedName name="TRNR_a0c2b12ec0094ffca391cb8328e13d91_2088_2" hidden="1">#REF!</definedName>
    <definedName name="TRNR_a447af3e35444b3e852b50d265aa0370_2087_2" hidden="1">#REF!</definedName>
    <definedName name="TRNR_a46e5949784143cab5daa1ebcbf7de37_2089_2" hidden="1">#REF!</definedName>
    <definedName name="TRNR_ab92e4d35b6a4d12b67aee5935deadc7_769_2" hidden="1">#REF!</definedName>
    <definedName name="TRNR_abe004f286da44ce84690dd58b0b3b1f_13_3" hidden="1">#REF!</definedName>
    <definedName name="TRNR_b346cdec1a324cd6b898a07de7e54c91_774_2" hidden="1">#REF!</definedName>
    <definedName name="TRNR_b46d5b91c9ad4deeb0529e5bf69bb1c2_2089_2" hidden="1">#REF!</definedName>
    <definedName name="TRNR_b481742739134fee929c2e74bf725dde_774_2" hidden="1">#REF!</definedName>
    <definedName name="TRNR_b647ea321d1d45acbdd4e643950e4f4c_2088_2" hidden="1">#REF!</definedName>
    <definedName name="TRNR_b663f13b93c14aa3ad1eb3c225a83369_2088_2" hidden="1">#REF!</definedName>
    <definedName name="TRNR_b8ad761089f64481b4cd76aeea4e933e_769_2" hidden="1">#REF!</definedName>
    <definedName name="TRNR_b8e1ee1732c348bf9f85a3bf5c0822ca_2088_2" hidden="1">#REF!</definedName>
    <definedName name="TRNR_b9ea5dcf02a44bc8a117d353004349fb_2087_2" hidden="1">#REF!</definedName>
    <definedName name="TRNR_be8b2bb778cb4caa8e6a66883e5bad28_772_2" hidden="1">#REF!</definedName>
    <definedName name="TRNR_c1800e8a8921452fbbbac00876a1166d_2088_2" hidden="1">#REF!</definedName>
    <definedName name="TRNR_c3e8b8b8b59341ba8b019191ef40913f_2089_2" hidden="1">#REF!</definedName>
    <definedName name="TRNR_c4caed537ab64a73be92104364a99d52_2088_2" hidden="1">#REF!</definedName>
    <definedName name="TRNR_c4f01d5b859e4b4ca65be7356634fcab_2089_2" hidden="1">#REF!</definedName>
    <definedName name="TRNR_c78c95f1c50e49f586abb591ba1cccce_2089_2" hidden="1">#REF!</definedName>
    <definedName name="TRNR_c87dd6ed8d814f0e8198426b24b646fa_776_2" hidden="1">#REF!</definedName>
    <definedName name="TRNR_cad5148cec3e4850970a8b397acfd0bb_782_2" hidden="1">#REF!</definedName>
    <definedName name="TRNR_ccb0a1dfc9d642b48ca0113de9caddfa_2088_2" hidden="1">#REF!</definedName>
    <definedName name="TRNR_cfaa4745c9fc4782910756170fca4e5a_2089_2" hidden="1">#REF!</definedName>
    <definedName name="TRNR_d222d5ef17c34d15bd326238405fce9e_2088_2" hidden="1">#REF!</definedName>
    <definedName name="TRNR_d3ba7ec6e60c416c9466bf53dc2db6a5_36_2" hidden="1">#REF!</definedName>
    <definedName name="TRNR_d6bb9b5b84d24da2b680eafbf47c810c_2089_2" hidden="1">#REF!</definedName>
    <definedName name="TRNR_d7a76da689004941898c3cac82a82c60_2089_2" hidden="1">#REF!</definedName>
    <definedName name="TRNR_d8906912fc0047b99f5503c91e7a4c9e_2087_2" hidden="1">#REF!</definedName>
    <definedName name="TRNR_e5fad6d199ac43d8bf92507297fbf601_2088_2" hidden="1">#REF!</definedName>
    <definedName name="TRNR_ea9f9b8effd748aa95e67d5e33376513_773_2" hidden="1">#REF!</definedName>
    <definedName name="TRNR_ee834163d6334a85b86b858e6f97f7c2_2089_2" hidden="1">#REF!</definedName>
    <definedName name="TRNR_f33a75f558cc4006bf84d43c40378bf3_2089_2" hidden="1">#REF!</definedName>
    <definedName name="TRNR_f5347d8a5d3d4c1184970d72349a4d3d_784_2" hidden="1">#REF!</definedName>
    <definedName name="TRNR_f542502173894657b83e95a8c479d064_2089_2" hidden="1">#REF!</definedName>
    <definedName name="TRNR_f85375fe35c64122b17f86b374272c52_2088_2" hidden="1">#REF!</definedName>
    <definedName name="TRNR_f98d5ee1ab0f4fd3852bcccae26bc8a7_2089_2" hidden="1">#REF!</definedName>
    <definedName name="TRNR_fae5b36621fd4d29b6731b36f7fbd8ec_2088_2" hidden="1">#REF!</definedName>
    <definedName name="TRNR_fbb5ea8fa877487b92a0016071ecac3c_2087_2" hidden="1">#REF!</definedName>
    <definedName name="TRNR_fe865e0a61744c1d957fbc0ef5d7ac11_2088_2" hidden="1">#REF!</definedName>
    <definedName name="uk" localSheetId="7">'[1]MW GEG'!$H$12</definedName>
    <definedName name="uk">0.31</definedName>
    <definedName name="ValidDateTable">#REF!</definedName>
    <definedName name="wrn.Aging._.and._.Trend._.Analysis." localSheetId="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nnual._.Operating._.Earnings." localSheetId="7"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Complete._.Report." localSheetId="7"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7"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Forecast._.Q1." localSheetId="7"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7"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7"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7"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7" hidden="1">{#N/A,#N/A,FALSE,"COVER";#N/A,#N/A,FALSE,"VALUATION";#N/A,#N/A,FALSE,"FORECAST";#N/A,#N/A,FALSE,"FY ANALYSIS ";#N/A,#N/A,FALSE," HY ANALYSIS"}</definedName>
    <definedName name="wrn.Full._.Report." hidden="1">{#N/A,#N/A,FALSE,"COVER";#N/A,#N/A,FALSE,"VALUATION";#N/A,#N/A,FALSE,"FORECAST";#N/A,#N/A,FALSE,"FY ANALYSIS ";#N/A,#N/A,FALSE," HY ANALYSIS"}</definedName>
    <definedName name="wrn.Qtr._.Op._.Q1." localSheetId="7"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7"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7"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7" hidden="1">{"Qtr Op Mgd Q3",#N/A,FALSE,"Qtr-Op (Mng)";"Qtr Op Rpt Q4",#N/A,FALSE,"Qtr-Op (Rpt)";"Operating Vs Reported",#N/A,FALSE,"Rpt-Op Inc"}</definedName>
    <definedName name="wrn.Qtr._.Op._.Q4." hidden="1">{"Qtr Op Mgd Q3",#N/A,FALSE,"Qtr-Op (Mng)";"Qtr Op Rpt Q4",#N/A,FALSE,"Qtr-Op (Rpt)";"Operating Vs Reported",#N/A,FALSE,"Rpt-Op Inc"}</definedName>
    <definedName name="wrn.Report." localSheetId="7" hidden="1">{#N/A,#N/A,FALSE,"COVER";#N/A,#N/A,FALSE,"FORECAST";#N/A,#N/A,FALSE,"VALUATION";#N/A,#N/A,FALSE,"FY ANALYSIS ";#N/A,#N/A,FALSE," HY ANALYSIS"}</definedName>
    <definedName name="wrn.Report." hidden="1">{#N/A,#N/A,FALSE,"COVER";#N/A,#N/A,FALSE,"FORECAST";#N/A,#N/A,FALSE,"VALUATION";#N/A,#N/A,FALSE,"FY ANALYSIS ";#N/A,#N/A,FALSE," HY ANALYSIS"}</definedName>
    <definedName name="wrn.Variance._.Q1." localSheetId="7" hidden="1">{"Variance Q1",#N/A,FALSE,"Var"}</definedName>
    <definedName name="wrn.Variance._.Q1." hidden="1">{"Variance Q1",#N/A,FALSE,"Var"}</definedName>
    <definedName name="wrn.Variance._.Q2." localSheetId="7" hidden="1">{"Variance Q2",#N/A,FALSE,"Var"}</definedName>
    <definedName name="wrn.Variance._.Q2." hidden="1">{"Variance Q2",#N/A,FALSE,"Var"}</definedName>
    <definedName name="wrn.Variance._.Q3." localSheetId="7" hidden="1">{"Variance Q3",#N/A,FALSE,"Var"}</definedName>
    <definedName name="wrn.Variance._.Q3." hidden="1">{"Variance Q3",#N/A,FALSE,"Var"}</definedName>
    <definedName name="wrn.Variance._.Q4" localSheetId="7" hidden="1">{"Variance Q4",#N/A,FALSE,"Var"}</definedName>
    <definedName name="wrn.Variance._.Q4" hidden="1">{"Variance Q4",#N/A,FALSE,"Var"}</definedName>
    <definedName name="wrn.Variance._.Q4." localSheetId="7" hidden="1">{"Variance Q4",#N/A,FALSE,"Var"}</definedName>
    <definedName name="wrn.Variance._.Q4." hidden="1">{"Variance Q4",#N/A,FALSE,"Var"}</definedName>
    <definedName name="ws" localSheetId="7" hidden="1">{"'보고양식'!$A$58:$K$111"}</definedName>
    <definedName name="ws" hidden="1">{"'보고양식'!$A$58:$K$111"}</definedName>
    <definedName name="x" localSheetId="7" hidden="1">{"cover a","1q",FALSE,"Cover";"Op Earn Mgd Q1",#N/A,FALSE,"Op-Earn (Mng)";"Op Earn Rpt Q1",#N/A,FALSE,"Op-Earn (Rpt)";"Loans",#N/A,FALSE,"Loans";"Credit Costs",#N/A,FALSE,"CCosts";"Net Interest Margin",#N/A,FALSE,"Margin";"Nonint Income",#N/A,FALSE,"NonII";"Nonint Exp",#N/A,FALSE,"NonIE";"Valuation",#N/A,FALSE,"Valuation"}</definedName>
    <definedName name="x" hidden="1">{"cover a","1q",FALSE,"Cover";"Op Earn Mgd Q1",#N/A,FALSE,"Op-Earn (Mng)";"Op Earn Rpt Q1",#N/A,FALSE,"Op-Earn (Rpt)";"Loans",#N/A,FALSE,"Loans";"Credit Costs",#N/A,FALSE,"CCosts";"Net Interest Margin",#N/A,FALSE,"Margin";"Nonint Income",#N/A,FALSE,"NonII";"Nonint Exp",#N/A,FALSE,"NonIE";"Valuation",#N/A,FALSE,"Valuation"}</definedName>
    <definedName name="xaxislabels">OFFSET(#REF!,0,0,COUNTA(#REF!)+1,1)</definedName>
    <definedName name="xdfhg" localSheetId="7" hidden="1">#REF!</definedName>
    <definedName name="xdfhg" hidden="1">#REF!</definedName>
    <definedName name="z" localSheetId="7" hidden="1">{#N/A,#N/A,FALSE,"Aging Summary";#N/A,#N/A,FALSE,"Ratio Analysis";#N/A,#N/A,FALSE,"Test 120 Day Accts";#N/A,#N/A,FALSE,"Tickmarks"}</definedName>
    <definedName name="z" hidden="1">{#N/A,#N/A,FALSE,"Aging Summary";#N/A,#N/A,FALSE,"Ratio Analysis";#N/A,#N/A,FALSE,"Test 120 Day Accts";#N/A,#N/A,FALSE,"Tickmarks"}</definedName>
    <definedName name="ㄴㄴ" localSheetId="7" hidden="1">{#N/A,#N/A,FALSE,"Aging Summary";#N/A,#N/A,FALSE,"Ratio Analysis";#N/A,#N/A,FALSE,"Test 120 Day Accts";#N/A,#N/A,FALSE,"Tickmarks"}</definedName>
    <definedName name="ㄴㄴ" hidden="1">{#N/A,#N/A,FALSE,"Aging Summary";#N/A,#N/A,FALSE,"Ratio Analysis";#N/A,#N/A,FALSE,"Test 120 Day Accts";#N/A,#N/A,FALSE,"Tickmarks"}</definedName>
    <definedName name="매출원가" localSheetId="7" hidden="1">{#N/A,#N/A,FALSE,"Aging Summary";#N/A,#N/A,FALSE,"Ratio Analysis";#N/A,#N/A,FALSE,"Test 120 Day Accts";#N/A,#N/A,FALSE,"Tickmarks"}</definedName>
    <definedName name="매출원가" hidden="1">{#N/A,#N/A,FALSE,"Aging Summary";#N/A,#N/A,FALSE,"Ratio Analysis";#N/A,#N/A,FALSE,"Test 120 Day Accts";#N/A,#N/A,FALSE,"Tickmarks"}</definedName>
    <definedName name="매출원가1" localSheetId="7" hidden="1">{#N/A,#N/A,FALSE,"Aging Summary";#N/A,#N/A,FALSE,"Ratio Analysis";#N/A,#N/A,FALSE,"Test 120 Day Accts";#N/A,#N/A,FALSE,"Tickmarks"}</definedName>
    <definedName name="매출원가1" hidden="1">{#N/A,#N/A,FALSE,"Aging Summary";#N/A,#N/A,FALSE,"Ratio Analysis";#N/A,#N/A,FALSE,"Test 120 Day Accts";#N/A,#N/A,FALSE,"Tickmarks"}</definedName>
    <definedName name="제조" hidden="1">#REF!</definedName>
    <definedName name="ㅏㅏ" localSheetId="7" hidden="1">{#N/A,#N/A,FALSE,"Aging Summary";#N/A,#N/A,FALSE,"Ratio Analysis";#N/A,#N/A,FALSE,"Test 120 Day Accts";#N/A,#N/A,FALSE,"Tickmarks"}</definedName>
    <definedName name="ㅏㅏ" hidden="1">{#N/A,#N/A,FALSE,"Aging Summary";#N/A,#N/A,FALSE,"Ratio Analysis";#N/A,#N/A,FALSE,"Test 120 Day Accts";#N/A,#N/A,FALSE,"Tickmarks"}</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E3" i="8" l="1"/>
  <c r="DC3" i="8"/>
  <c r="C74" i="61"/>
  <c r="AK58" i="51"/>
  <c r="AO58" i="51" s="1"/>
  <c r="AJ58" i="51"/>
  <c r="AN58" i="51" s="1"/>
  <c r="AR461" i="1" l="1"/>
  <c r="AV461" i="1" s="1"/>
  <c r="AZ461" i="1" s="1"/>
  <c r="AF415" i="1"/>
  <c r="AJ415" i="1"/>
  <c r="AN439" i="1"/>
  <c r="AP439" i="1"/>
  <c r="AO117" i="5"/>
  <c r="BR122" i="51"/>
  <c r="BQ122" i="51"/>
  <c r="BP122" i="51"/>
  <c r="BR119" i="51"/>
  <c r="BQ119" i="51"/>
  <c r="BP119" i="51"/>
  <c r="BR115" i="51"/>
  <c r="BQ115" i="51"/>
  <c r="BP115" i="51"/>
  <c r="BR112" i="51"/>
  <c r="BQ112" i="51"/>
  <c r="BP112" i="51"/>
  <c r="BQ107" i="51"/>
  <c r="BP107" i="51"/>
  <c r="BQ106" i="51"/>
  <c r="BP106" i="51"/>
  <c r="BQ103" i="51"/>
  <c r="BP103" i="51"/>
  <c r="BQ102" i="51"/>
  <c r="BP102" i="51"/>
  <c r="BQ99" i="51"/>
  <c r="BP99" i="51"/>
  <c r="BQ98" i="51"/>
  <c r="BP98" i="51"/>
  <c r="BQ94" i="51"/>
  <c r="BP94" i="51"/>
  <c r="BQ93" i="51"/>
  <c r="BP93" i="51"/>
  <c r="BQ90" i="51"/>
  <c r="BP90" i="51"/>
  <c r="BQ89" i="51"/>
  <c r="BP89" i="51"/>
  <c r="BR86" i="51"/>
  <c r="BQ86" i="51"/>
  <c r="BP86" i="51"/>
  <c r="BQ84" i="51"/>
  <c r="BP84" i="51"/>
  <c r="BQ83" i="51"/>
  <c r="BP83" i="51"/>
  <c r="BQ79" i="51"/>
  <c r="BP79" i="51"/>
  <c r="BQ78" i="51"/>
  <c r="BP78" i="51"/>
  <c r="BQ75" i="51"/>
  <c r="BP75" i="51"/>
  <c r="BQ74" i="51"/>
  <c r="BP74" i="51"/>
  <c r="BR71" i="51"/>
  <c r="BQ71" i="51"/>
  <c r="BP71" i="51"/>
  <c r="BQ69" i="51"/>
  <c r="BP69" i="51"/>
  <c r="BQ68" i="51"/>
  <c r="BP68" i="51"/>
  <c r="BQ64" i="51"/>
  <c r="BP64" i="51"/>
  <c r="BQ63" i="51"/>
  <c r="BP63" i="51"/>
  <c r="BQ60" i="51"/>
  <c r="BP60" i="51"/>
  <c r="BQ59" i="51"/>
  <c r="BP59" i="51"/>
  <c r="BQ56" i="51"/>
  <c r="BP56" i="51"/>
  <c r="BQ55" i="51"/>
  <c r="BP55" i="51"/>
  <c r="BQ51" i="51"/>
  <c r="BP51" i="51"/>
  <c r="BQ50" i="51"/>
  <c r="BP50" i="51"/>
  <c r="BQ47" i="51"/>
  <c r="BP47" i="51"/>
  <c r="BQ46" i="51"/>
  <c r="BP46" i="51"/>
  <c r="BR43" i="51"/>
  <c r="BQ43" i="51"/>
  <c r="BP43" i="51"/>
  <c r="BQ41" i="51"/>
  <c r="BP41" i="51"/>
  <c r="BQ40" i="51"/>
  <c r="BP40" i="51"/>
  <c r="BR33" i="51"/>
  <c r="BR105" i="51" s="1"/>
  <c r="BR32" i="51"/>
  <c r="BR101" i="51" s="1"/>
  <c r="BR31" i="51"/>
  <c r="BR97" i="51" s="1"/>
  <c r="BR28" i="51"/>
  <c r="BR92" i="51" s="1"/>
  <c r="BR27" i="51"/>
  <c r="BR88" i="51" s="1"/>
  <c r="BR26" i="51"/>
  <c r="BR82" i="51" s="1"/>
  <c r="BR23" i="51"/>
  <c r="BR77" i="51" s="1"/>
  <c r="BR22" i="51"/>
  <c r="BR73" i="51" s="1"/>
  <c r="BR21" i="51"/>
  <c r="BR67" i="51" s="1"/>
  <c r="BR18" i="51"/>
  <c r="BR62" i="51" s="1"/>
  <c r="BR17" i="51"/>
  <c r="BR58" i="51" s="1"/>
  <c r="BR16" i="51"/>
  <c r="BR54" i="51" s="1"/>
  <c r="BR13" i="51"/>
  <c r="BR49" i="51" s="1"/>
  <c r="BR12" i="51"/>
  <c r="BR45" i="51" s="1"/>
  <c r="BR11" i="51"/>
  <c r="BR39" i="51" s="1"/>
  <c r="BR9" i="51"/>
  <c r="BR37" i="51" s="1"/>
  <c r="BQ9" i="51"/>
  <c r="BQ37" i="51" s="1"/>
  <c r="BP9" i="51"/>
  <c r="BP37" i="51" s="1"/>
  <c r="BM107" i="51"/>
  <c r="BL107" i="51"/>
  <c r="BM106" i="51"/>
  <c r="BL106" i="51"/>
  <c r="BM103" i="51"/>
  <c r="BL103" i="51"/>
  <c r="BM102" i="51"/>
  <c r="BL102" i="51"/>
  <c r="BM99" i="51"/>
  <c r="BL99" i="51"/>
  <c r="BM98" i="51"/>
  <c r="BL98" i="51"/>
  <c r="BM94" i="51"/>
  <c r="BL94" i="51"/>
  <c r="BM93" i="51"/>
  <c r="BL93" i="51"/>
  <c r="BM90" i="51"/>
  <c r="BL90" i="51"/>
  <c r="BM89" i="51"/>
  <c r="BL89" i="51"/>
  <c r="BM84" i="51"/>
  <c r="BL84" i="51"/>
  <c r="BM83" i="51"/>
  <c r="BL83" i="51"/>
  <c r="BM79" i="51"/>
  <c r="BL79" i="51"/>
  <c r="BM78" i="51"/>
  <c r="BL78" i="51"/>
  <c r="BM75" i="51"/>
  <c r="BL75" i="51"/>
  <c r="BM74" i="51"/>
  <c r="BL74" i="51"/>
  <c r="BM69" i="51"/>
  <c r="BL69" i="51"/>
  <c r="BM68" i="51"/>
  <c r="BL68" i="51"/>
  <c r="BM64" i="51"/>
  <c r="BL64" i="51"/>
  <c r="BM63" i="51"/>
  <c r="BL63" i="51"/>
  <c r="BM60" i="51"/>
  <c r="BL60" i="51"/>
  <c r="BM59" i="51"/>
  <c r="BL59" i="51"/>
  <c r="BM56" i="51"/>
  <c r="BL56" i="51"/>
  <c r="BM55" i="51"/>
  <c r="BL55" i="51"/>
  <c r="BM51" i="51"/>
  <c r="BL51" i="51"/>
  <c r="BM50" i="51"/>
  <c r="BL50" i="51"/>
  <c r="BM47" i="51"/>
  <c r="BL47" i="51"/>
  <c r="BM46" i="51"/>
  <c r="BL46" i="51"/>
  <c r="BM41" i="51"/>
  <c r="BL41" i="51"/>
  <c r="BM40" i="51"/>
  <c r="BL40" i="51"/>
  <c r="BN9" i="51"/>
  <c r="BN37" i="51" s="1"/>
  <c r="BM9" i="51"/>
  <c r="BM37" i="51" s="1"/>
  <c r="BL9" i="51"/>
  <c r="BL37" i="51" s="1"/>
  <c r="BI107" i="51"/>
  <c r="BH107" i="51"/>
  <c r="BI106" i="51"/>
  <c r="BH106" i="51"/>
  <c r="BI103" i="51"/>
  <c r="BH103" i="51"/>
  <c r="BI102" i="51"/>
  <c r="BH102" i="51"/>
  <c r="BI99" i="51"/>
  <c r="BH99" i="51"/>
  <c r="BI98" i="51"/>
  <c r="BH98" i="51"/>
  <c r="BI94" i="51"/>
  <c r="BH94" i="51"/>
  <c r="BI93" i="51"/>
  <c r="BH93" i="51"/>
  <c r="BI90" i="51"/>
  <c r="BH90" i="51"/>
  <c r="BI89" i="51"/>
  <c r="BH89" i="51"/>
  <c r="BI84" i="51"/>
  <c r="BH84" i="51"/>
  <c r="BI83" i="51"/>
  <c r="BH83" i="51"/>
  <c r="BI79" i="51"/>
  <c r="BH79" i="51"/>
  <c r="BI78" i="51"/>
  <c r="BH78" i="51"/>
  <c r="BI75" i="51"/>
  <c r="BH75" i="51"/>
  <c r="BI74" i="51"/>
  <c r="BH74" i="51"/>
  <c r="BI69" i="51"/>
  <c r="BH69" i="51"/>
  <c r="BI68" i="51"/>
  <c r="BH68" i="51"/>
  <c r="BI64" i="51"/>
  <c r="BH64" i="51"/>
  <c r="BI63" i="51"/>
  <c r="BH63" i="51"/>
  <c r="BI60" i="51"/>
  <c r="BH60" i="51"/>
  <c r="BI59" i="51"/>
  <c r="BH59" i="51"/>
  <c r="BI56" i="51"/>
  <c r="BH56" i="51"/>
  <c r="BI55" i="51"/>
  <c r="BH55" i="51"/>
  <c r="BI51" i="51"/>
  <c r="BH51" i="51"/>
  <c r="BI50" i="51"/>
  <c r="BH50" i="51"/>
  <c r="BI47" i="51"/>
  <c r="BH47" i="51"/>
  <c r="BI46" i="51"/>
  <c r="BH46" i="51"/>
  <c r="BI41" i="51"/>
  <c r="BH41" i="51"/>
  <c r="BI40" i="51"/>
  <c r="BH40" i="51"/>
  <c r="BJ9" i="51"/>
  <c r="BJ37" i="51" s="1"/>
  <c r="BI9" i="51"/>
  <c r="BI37" i="51" s="1"/>
  <c r="BH9" i="51"/>
  <c r="BH37" i="51" s="1"/>
  <c r="BZ239" i="4"/>
  <c r="BY187" i="4"/>
  <c r="BX187" i="4"/>
  <c r="BY186" i="4"/>
  <c r="BX186" i="4"/>
  <c r="BY185" i="4"/>
  <c r="BX185" i="4"/>
  <c r="BY184" i="4"/>
  <c r="BX184" i="4"/>
  <c r="BY183" i="4"/>
  <c r="BX183" i="4"/>
  <c r="BY175" i="4"/>
  <c r="BX175" i="4"/>
  <c r="BY174" i="4"/>
  <c r="BX174" i="4"/>
  <c r="BY173" i="4"/>
  <c r="BX173" i="4"/>
  <c r="BY171" i="4"/>
  <c r="BX171" i="4"/>
  <c r="BZ144" i="4"/>
  <c r="BZ141" i="4"/>
  <c r="BZ139" i="4"/>
  <c r="BZ10" i="4"/>
  <c r="BY10" i="4"/>
  <c r="BX10" i="4"/>
  <c r="BV239" i="4"/>
  <c r="BU187" i="4"/>
  <c r="BT187" i="4"/>
  <c r="BU186" i="4"/>
  <c r="BT186" i="4"/>
  <c r="BU185" i="4"/>
  <c r="BT185" i="4"/>
  <c r="BU184" i="4"/>
  <c r="BT184" i="4"/>
  <c r="BU183" i="4"/>
  <c r="BT183" i="4"/>
  <c r="BU175" i="4"/>
  <c r="BT175" i="4"/>
  <c r="BU174" i="4"/>
  <c r="BT174" i="4"/>
  <c r="BU173" i="4"/>
  <c r="BT173" i="4"/>
  <c r="BU171" i="4"/>
  <c r="BT171" i="4"/>
  <c r="BV144" i="4"/>
  <c r="BW144" i="4" s="1"/>
  <c r="BV141" i="4"/>
  <c r="BW141" i="4" s="1"/>
  <c r="BV139" i="4"/>
  <c r="BW139" i="4" s="1"/>
  <c r="BV10" i="4"/>
  <c r="BU10" i="4"/>
  <c r="BT10" i="4"/>
  <c r="BZ173" i="5"/>
  <c r="BY168" i="5"/>
  <c r="BX168" i="5"/>
  <c r="BY142" i="5"/>
  <c r="BX142" i="5"/>
  <c r="BY136" i="5"/>
  <c r="BX136" i="5"/>
  <c r="BY125" i="5"/>
  <c r="BX125" i="5"/>
  <c r="BZ115" i="5"/>
  <c r="BZ102" i="5"/>
  <c r="BZ10" i="5"/>
  <c r="BY10" i="5"/>
  <c r="BX10" i="5"/>
  <c r="BV173" i="5"/>
  <c r="BU168" i="5"/>
  <c r="BT168" i="5"/>
  <c r="BU142" i="5"/>
  <c r="BT142" i="5"/>
  <c r="BU136" i="5"/>
  <c r="BT136" i="5"/>
  <c r="BU125" i="5"/>
  <c r="BT125" i="5"/>
  <c r="BV115" i="5"/>
  <c r="BV102" i="5"/>
  <c r="BV10" i="5"/>
  <c r="BU10" i="5"/>
  <c r="BT10" i="5"/>
  <c r="BZ389" i="1"/>
  <c r="BY389" i="1" s="1"/>
  <c r="BY381" i="1"/>
  <c r="BY334" i="1"/>
  <c r="BY326" i="1"/>
  <c r="BY253" i="1"/>
  <c r="BY245" i="1"/>
  <c r="BZ139" i="1"/>
  <c r="BY128" i="1"/>
  <c r="BX128" i="1"/>
  <c r="BY87" i="1"/>
  <c r="BX87" i="1"/>
  <c r="BZ86" i="1"/>
  <c r="BZ85" i="1"/>
  <c r="BZ84" i="1"/>
  <c r="BZ83" i="1"/>
  <c r="BZ82" i="1"/>
  <c r="BZ81" i="1"/>
  <c r="BZ80" i="1"/>
  <c r="BZ79" i="1"/>
  <c r="BZ78" i="1"/>
  <c r="BZ77" i="1"/>
  <c r="BV389" i="1"/>
  <c r="BU389" i="1" s="1"/>
  <c r="BU381" i="1"/>
  <c r="BU334" i="1"/>
  <c r="BU326" i="1"/>
  <c r="BU253" i="1"/>
  <c r="BU245" i="1"/>
  <c r="BV139" i="1"/>
  <c r="BU128" i="1"/>
  <c r="BT128" i="1"/>
  <c r="BU87" i="1"/>
  <c r="BT87" i="1"/>
  <c r="BV86" i="1"/>
  <c r="BW86" i="1" s="1"/>
  <c r="BV85" i="1"/>
  <c r="BW85" i="1" s="1"/>
  <c r="BV84" i="1"/>
  <c r="BW84" i="1" s="1"/>
  <c r="BV83" i="1"/>
  <c r="BW83" i="1" s="1"/>
  <c r="BV82" i="1"/>
  <c r="BW82" i="1" s="1"/>
  <c r="BV81" i="1"/>
  <c r="BW81" i="1" s="1"/>
  <c r="BV80" i="1"/>
  <c r="BW80" i="1" s="1"/>
  <c r="BV79" i="1"/>
  <c r="BW79" i="1" s="1"/>
  <c r="BV78" i="1"/>
  <c r="BW78" i="1" s="1"/>
  <c r="BV77" i="1"/>
  <c r="BW77" i="1" s="1"/>
  <c r="AO231" i="4"/>
  <c r="AO254" i="4"/>
  <c r="AP247" i="4"/>
  <c r="AP198" i="4"/>
  <c r="AP153" i="4"/>
  <c r="AP160" i="4"/>
  <c r="AP158" i="4"/>
  <c r="AP125" i="4"/>
  <c r="AP88" i="4"/>
  <c r="AP334" i="1"/>
  <c r="AO95" i="1"/>
  <c r="AP86" i="1"/>
  <c r="BD461" i="1" l="1"/>
  <c r="BH461" i="1" s="1"/>
  <c r="BL461" i="1" s="1"/>
  <c r="BY161" i="4"/>
  <c r="BU161" i="4"/>
  <c r="BX161" i="4"/>
  <c r="BT159" i="4"/>
  <c r="BQ117" i="51"/>
  <c r="BU159" i="4"/>
  <c r="BX159" i="4"/>
  <c r="BR117" i="51"/>
  <c r="BT161" i="4"/>
  <c r="BY159" i="4"/>
  <c r="BX162" i="4"/>
  <c r="BY162" i="4"/>
  <c r="BT163" i="4"/>
  <c r="BZ87" i="1"/>
  <c r="BU163" i="4"/>
  <c r="BY163" i="4"/>
  <c r="BX163" i="4"/>
  <c r="BT162" i="4"/>
  <c r="BU162" i="4"/>
  <c r="BP117" i="51"/>
  <c r="BZ128" i="1"/>
  <c r="BV87" i="1"/>
  <c r="BW87" i="1" s="1"/>
  <c r="BV128" i="1"/>
  <c r="AO63" i="4"/>
  <c r="AO251" i="4"/>
  <c r="AO61" i="4" s="1"/>
  <c r="AO249" i="4"/>
  <c r="AO60" i="4" s="1"/>
  <c r="AP59" i="4"/>
  <c r="AP245" i="4"/>
  <c r="AO244" i="4"/>
  <c r="AO58" i="4" s="1"/>
  <c r="AO241" i="4"/>
  <c r="AO57" i="4" s="1"/>
  <c r="AP240" i="4"/>
  <c r="AP242" i="4" s="1"/>
  <c r="AP238" i="4"/>
  <c r="AP236" i="4"/>
  <c r="AO236" i="4"/>
  <c r="AP232" i="4"/>
  <c r="AP132" i="5" s="1"/>
  <c r="AO232" i="4"/>
  <c r="AO132" i="5" s="1"/>
  <c r="AO228" i="4"/>
  <c r="AO225" i="4"/>
  <c r="AO222" i="4"/>
  <c r="AO216" i="4"/>
  <c r="AO213" i="4"/>
  <c r="AO38" i="4" s="1"/>
  <c r="AO210" i="4"/>
  <c r="AO207" i="4"/>
  <c r="AO204" i="4"/>
  <c r="AO201" i="4"/>
  <c r="AO198" i="4"/>
  <c r="AP195" i="4"/>
  <c r="AO194" i="4"/>
  <c r="AP192" i="4"/>
  <c r="AO191" i="4"/>
  <c r="AO25" i="4" s="1"/>
  <c r="AO189" i="4"/>
  <c r="AP188" i="4"/>
  <c r="AP189" i="4" s="1"/>
  <c r="AO177" i="4"/>
  <c r="AP173" i="4"/>
  <c r="AP171" i="4"/>
  <c r="AP168" i="4"/>
  <c r="AP172" i="4"/>
  <c r="AP170" i="4"/>
  <c r="AO157" i="4"/>
  <c r="AO156" i="4"/>
  <c r="AO24" i="4" s="1"/>
  <c r="AP152" i="4"/>
  <c r="AO151" i="4"/>
  <c r="AO23" i="4" s="1"/>
  <c r="AP148" i="4"/>
  <c r="AP147" i="4"/>
  <c r="AP137" i="4"/>
  <c r="AO137" i="4"/>
  <c r="AO136" i="4"/>
  <c r="AO22" i="4" s="1"/>
  <c r="AP134" i="4"/>
  <c r="AO133" i="4"/>
  <c r="AO27" i="4" s="1"/>
  <c r="AP131" i="4"/>
  <c r="AO130" i="4"/>
  <c r="AO21" i="4" s="1"/>
  <c r="AP126" i="4"/>
  <c r="AO124" i="4"/>
  <c r="AO16" i="4" s="1"/>
  <c r="AO121" i="4"/>
  <c r="AP119" i="4"/>
  <c r="AO115" i="4"/>
  <c r="AO113" i="4"/>
  <c r="AO13" i="4" s="1"/>
  <c r="AO99" i="4"/>
  <c r="AO93" i="4"/>
  <c r="AP75" i="4"/>
  <c r="AP63" i="4"/>
  <c r="AP61" i="4"/>
  <c r="AP60" i="4"/>
  <c r="AP58" i="4"/>
  <c r="AP57" i="4"/>
  <c r="AP56" i="4"/>
  <c r="AP46" i="4"/>
  <c r="AP38" i="4"/>
  <c r="AP27" i="4"/>
  <c r="AP26" i="4"/>
  <c r="AP25" i="4"/>
  <c r="AP24" i="4"/>
  <c r="AP23" i="4"/>
  <c r="AP22" i="4"/>
  <c r="AP21" i="4"/>
  <c r="AP16" i="4"/>
  <c r="AP15" i="4"/>
  <c r="AP14" i="4"/>
  <c r="AP13" i="4"/>
  <c r="AP71" i="4" s="1"/>
  <c r="AP129" i="5"/>
  <c r="AO129" i="5"/>
  <c r="AP117" i="5"/>
  <c r="AO102" i="5"/>
  <c r="AP79" i="5"/>
  <c r="AO78" i="5"/>
  <c r="AO77" i="5"/>
  <c r="AO76" i="5"/>
  <c r="AO75" i="5"/>
  <c r="AO74" i="5"/>
  <c r="AO86" i="5" s="1"/>
  <c r="AO73" i="5"/>
  <c r="AO72" i="5"/>
  <c r="AO71" i="5"/>
  <c r="AO70" i="5"/>
  <c r="AO69" i="5"/>
  <c r="AO68" i="5"/>
  <c r="AO238" i="4" s="1"/>
  <c r="AO67" i="5"/>
  <c r="AP55" i="5"/>
  <c r="AP51" i="5"/>
  <c r="AO50" i="5"/>
  <c r="AO49" i="5"/>
  <c r="AO48" i="5"/>
  <c r="AO47" i="5"/>
  <c r="AO46" i="5"/>
  <c r="AO45" i="5"/>
  <c r="AO44" i="5"/>
  <c r="AO43" i="5"/>
  <c r="AO42" i="5"/>
  <c r="AO41" i="5"/>
  <c r="AO23" i="5"/>
  <c r="AP22" i="5"/>
  <c r="AP24" i="5" s="1"/>
  <c r="AO21" i="5"/>
  <c r="AO20" i="5"/>
  <c r="AO19" i="5"/>
  <c r="AO18" i="5"/>
  <c r="AO17" i="5"/>
  <c r="AO16" i="5"/>
  <c r="AO15" i="5"/>
  <c r="AO14" i="5"/>
  <c r="AP466" i="1"/>
  <c r="AO465" i="1"/>
  <c r="AR465" i="1" s="1"/>
  <c r="AS465" i="1" s="1"/>
  <c r="AV465" i="1" s="1"/>
  <c r="AO464" i="1"/>
  <c r="AP462" i="1"/>
  <c r="AO461" i="1"/>
  <c r="AO460" i="1"/>
  <c r="AO12" i="1" s="1"/>
  <c r="AO432" i="1"/>
  <c r="AO428" i="1"/>
  <c r="AO424" i="1"/>
  <c r="AO420" i="1"/>
  <c r="AO419" i="1"/>
  <c r="AP421" i="1"/>
  <c r="AP426" i="1" s="1"/>
  <c r="AP417" i="1"/>
  <c r="AD31" i="51" s="1"/>
  <c r="AD97" i="51" s="1"/>
  <c r="AO416" i="1"/>
  <c r="AO414" i="1"/>
  <c r="AO389" i="1"/>
  <c r="AO386" i="1"/>
  <c r="AO384" i="1"/>
  <c r="AP382" i="1"/>
  <c r="AO381" i="1"/>
  <c r="AP378" i="1"/>
  <c r="AP377" i="1"/>
  <c r="AD28" i="51" s="1"/>
  <c r="AD92" i="51" s="1"/>
  <c r="AO376" i="1"/>
  <c r="AP375" i="1"/>
  <c r="AO373" i="1"/>
  <c r="AO365" i="1"/>
  <c r="AP360" i="1"/>
  <c r="AO359" i="1"/>
  <c r="AP354" i="1"/>
  <c r="AO350" i="1"/>
  <c r="AO349" i="1"/>
  <c r="AO348" i="1"/>
  <c r="AP351" i="1"/>
  <c r="AO344" i="1"/>
  <c r="AO331" i="1"/>
  <c r="AO329" i="1"/>
  <c r="AP327" i="1"/>
  <c r="AO326" i="1"/>
  <c r="AP323" i="1"/>
  <c r="AD23" i="51" s="1"/>
  <c r="AD77" i="51" s="1"/>
  <c r="AO322" i="1"/>
  <c r="AP321" i="1"/>
  <c r="AO319" i="1"/>
  <c r="AO312" i="1"/>
  <c r="AP306" i="1"/>
  <c r="AO305" i="1"/>
  <c r="AP300" i="1"/>
  <c r="AP297" i="1"/>
  <c r="AP302" i="1" s="1"/>
  <c r="AO295" i="1"/>
  <c r="AP294" i="1"/>
  <c r="AD21" i="51" s="1"/>
  <c r="AD67" i="51" s="1"/>
  <c r="AO293" i="1"/>
  <c r="AO291" i="1"/>
  <c r="AO281" i="1"/>
  <c r="AP280" i="1"/>
  <c r="AO278" i="1"/>
  <c r="AO275" i="1"/>
  <c r="AP274" i="1"/>
  <c r="AD17" i="51" s="1"/>
  <c r="AD58" i="51" s="1"/>
  <c r="AP272" i="1"/>
  <c r="AO271" i="1"/>
  <c r="AP268" i="1"/>
  <c r="AD16" i="51" s="1"/>
  <c r="AD54" i="51" s="1"/>
  <c r="AO267" i="1"/>
  <c r="AP265" i="1"/>
  <c r="AO264" i="1"/>
  <c r="AO253" i="1"/>
  <c r="AO250" i="1"/>
  <c r="AO245" i="1"/>
  <c r="AP246" i="1"/>
  <c r="AO237" i="1"/>
  <c r="AO230" i="1"/>
  <c r="AP225" i="1"/>
  <c r="AO224" i="1"/>
  <c r="AO225" i="1" s="1"/>
  <c r="AP219" i="1"/>
  <c r="AO215" i="1"/>
  <c r="AO214" i="1"/>
  <c r="AO213" i="1"/>
  <c r="AO211" i="1"/>
  <c r="AO209" i="1"/>
  <c r="AO152" i="1"/>
  <c r="AO151" i="1"/>
  <c r="AO150" i="1"/>
  <c r="AP141" i="1"/>
  <c r="AO138" i="1"/>
  <c r="AO137" i="1"/>
  <c r="AP136" i="1"/>
  <c r="AP139" i="1" s="1"/>
  <c r="AO136" i="1"/>
  <c r="AO131" i="1"/>
  <c r="AO120" i="1"/>
  <c r="AO107" i="1" s="1"/>
  <c r="AO119" i="1"/>
  <c r="AO115" i="1" s="1"/>
  <c r="AO117" i="1"/>
  <c r="AO56" i="4" s="1"/>
  <c r="AP115" i="1"/>
  <c r="AP107" i="1"/>
  <c r="AO105" i="1"/>
  <c r="AO82" i="5" s="1"/>
  <c r="AO98" i="1"/>
  <c r="AP96" i="1"/>
  <c r="AP95" i="1"/>
  <c r="AP87" i="1"/>
  <c r="AO85" i="1"/>
  <c r="AO84" i="1"/>
  <c r="AO83" i="1"/>
  <c r="AO82" i="1"/>
  <c r="AO81" i="1"/>
  <c r="AO80" i="1"/>
  <c r="AO79" i="1"/>
  <c r="AO78" i="1"/>
  <c r="AO77" i="1"/>
  <c r="AP44" i="1"/>
  <c r="AO37" i="1"/>
  <c r="AP26" i="1"/>
  <c r="AP12" i="1"/>
  <c r="CI43" i="8"/>
  <c r="CM43" i="8"/>
  <c r="CQ43" i="8"/>
  <c r="CI44" i="8"/>
  <c r="CM44" i="8"/>
  <c r="CQ44" i="8"/>
  <c r="CI45" i="8"/>
  <c r="CM45" i="8"/>
  <c r="CQ45" i="8"/>
  <c r="CI47" i="8"/>
  <c r="CM47" i="8"/>
  <c r="CQ47" i="8"/>
  <c r="CI49" i="8"/>
  <c r="CM49" i="8"/>
  <c r="CQ49" i="8"/>
  <c r="CI50" i="8"/>
  <c r="CM50" i="8"/>
  <c r="CQ50" i="8"/>
  <c r="CI51" i="8"/>
  <c r="CM51" i="8"/>
  <c r="CQ51" i="8"/>
  <c r="CI52" i="8"/>
  <c r="CM52" i="8"/>
  <c r="CQ52" i="8"/>
  <c r="CI54" i="8"/>
  <c r="CM54" i="8"/>
  <c r="CQ54" i="8"/>
  <c r="CI56" i="8"/>
  <c r="CM56" i="8"/>
  <c r="CQ56" i="8"/>
  <c r="CI57" i="8"/>
  <c r="CM57" i="8"/>
  <c r="CQ57" i="8"/>
  <c r="CI58" i="8"/>
  <c r="CM58" i="8"/>
  <c r="CQ58" i="8"/>
  <c r="CI59" i="8"/>
  <c r="CM59" i="8"/>
  <c r="CQ59" i="8"/>
  <c r="CI60" i="8"/>
  <c r="CM60" i="8"/>
  <c r="CQ60" i="8"/>
  <c r="CI61" i="8"/>
  <c r="CM61" i="8"/>
  <c r="CQ61" i="8"/>
  <c r="CI62" i="8"/>
  <c r="CM62" i="8"/>
  <c r="CQ62" i="8"/>
  <c r="CI64" i="8"/>
  <c r="CJ64" i="8"/>
  <c r="CK64" i="8"/>
  <c r="CL64" i="8"/>
  <c r="CM64" i="8"/>
  <c r="CN64" i="8"/>
  <c r="CO64" i="8"/>
  <c r="CP64" i="8"/>
  <c r="CQ64" i="8"/>
  <c r="CR64" i="8"/>
  <c r="CS64" i="8"/>
  <c r="CT64" i="8"/>
  <c r="CI65" i="8"/>
  <c r="CM65" i="8"/>
  <c r="CQ65" i="8"/>
  <c r="CI66" i="8"/>
  <c r="CM66" i="8"/>
  <c r="CQ66" i="8"/>
  <c r="CI67" i="8"/>
  <c r="CM67" i="8"/>
  <c r="CQ67" i="8"/>
  <c r="CI68" i="8"/>
  <c r="CM68" i="8"/>
  <c r="CQ68" i="8"/>
  <c r="CI69" i="8"/>
  <c r="CM69" i="8"/>
  <c r="CQ69" i="8"/>
  <c r="CI70" i="8"/>
  <c r="CM70" i="8"/>
  <c r="CQ70" i="8"/>
  <c r="CI72" i="8"/>
  <c r="CM72" i="8"/>
  <c r="CQ72" i="8"/>
  <c r="CI26" i="8"/>
  <c r="CM26" i="8"/>
  <c r="CQ26" i="8"/>
  <c r="CI27" i="8"/>
  <c r="CM27" i="8"/>
  <c r="CQ27" i="8"/>
  <c r="CI28" i="8"/>
  <c r="CM28" i="8"/>
  <c r="CQ28" i="8"/>
  <c r="CI29" i="8"/>
  <c r="CM29" i="8"/>
  <c r="CQ29" i="8"/>
  <c r="CI31" i="8"/>
  <c r="CM31" i="8"/>
  <c r="CQ31" i="8"/>
  <c r="CI32" i="8"/>
  <c r="CM32" i="8"/>
  <c r="CQ32" i="8"/>
  <c r="CI35" i="8"/>
  <c r="CM35" i="8"/>
  <c r="CQ35" i="8"/>
  <c r="CI36" i="8"/>
  <c r="CM36" i="8"/>
  <c r="CQ36" i="8"/>
  <c r="CI37" i="8"/>
  <c r="CM37" i="8"/>
  <c r="CQ37" i="8"/>
  <c r="CI40" i="8"/>
  <c r="CJ40" i="8"/>
  <c r="CK40" i="8"/>
  <c r="CM40" i="8"/>
  <c r="CN40" i="8"/>
  <c r="CO40" i="8"/>
  <c r="CQ40" i="8"/>
  <c r="CR40" i="8"/>
  <c r="CS40" i="8"/>
  <c r="CI9" i="8"/>
  <c r="CM9" i="8"/>
  <c r="CQ9" i="8"/>
  <c r="CI10" i="8"/>
  <c r="CM10" i="8"/>
  <c r="CQ10" i="8"/>
  <c r="CI11" i="8"/>
  <c r="CM11" i="8"/>
  <c r="CQ11" i="8"/>
  <c r="CI12" i="8"/>
  <c r="CM12" i="8"/>
  <c r="CQ12" i="8"/>
  <c r="CI13" i="8"/>
  <c r="CM13" i="8"/>
  <c r="CQ13" i="8"/>
  <c r="CI14" i="8"/>
  <c r="CM14" i="8"/>
  <c r="CQ14" i="8"/>
  <c r="CI15" i="8"/>
  <c r="CM15" i="8"/>
  <c r="CQ15" i="8"/>
  <c r="CI16" i="8"/>
  <c r="CM16" i="8"/>
  <c r="CQ16" i="8"/>
  <c r="CI17" i="8"/>
  <c r="CJ17" i="8"/>
  <c r="CK17" i="8"/>
  <c r="CM17" i="8"/>
  <c r="CN17" i="8"/>
  <c r="CO17" i="8"/>
  <c r="CQ17" i="8"/>
  <c r="CR17" i="8"/>
  <c r="CS17" i="8"/>
  <c r="CI18" i="8"/>
  <c r="CM18" i="8"/>
  <c r="CQ18" i="8"/>
  <c r="CI20" i="8"/>
  <c r="CM20" i="8"/>
  <c r="CQ20" i="8"/>
  <c r="CI21" i="8"/>
  <c r="CM21" i="8"/>
  <c r="CQ21" i="8"/>
  <c r="CI22" i="8"/>
  <c r="CM22" i="8"/>
  <c r="CQ22" i="8"/>
  <c r="AM41" i="8"/>
  <c r="AM49" i="8" s="1"/>
  <c r="AE8" i="8"/>
  <c r="AE50" i="8" s="1"/>
  <c r="AI8" i="8"/>
  <c r="AM8" i="8"/>
  <c r="AE9" i="8"/>
  <c r="AE51" i="8" s="1"/>
  <c r="AI9" i="8"/>
  <c r="AM9" i="8"/>
  <c r="AE10" i="8"/>
  <c r="AE52" i="8" s="1"/>
  <c r="AI10" i="8"/>
  <c r="AM10" i="8"/>
  <c r="AI11" i="8"/>
  <c r="AM11" i="8"/>
  <c r="AE12" i="8"/>
  <c r="AE54" i="8" s="1"/>
  <c r="AI12" i="8"/>
  <c r="AM12" i="8"/>
  <c r="AE13" i="8"/>
  <c r="AF13" i="8"/>
  <c r="AG13" i="8"/>
  <c r="AH13" i="8"/>
  <c r="AI13" i="8"/>
  <c r="AJ13" i="8"/>
  <c r="AK13" i="8"/>
  <c r="AL13" i="8"/>
  <c r="AM13" i="8"/>
  <c r="AN13" i="8"/>
  <c r="AO13" i="8"/>
  <c r="AP13" i="8"/>
  <c r="AE14" i="8"/>
  <c r="AE55" i="8" s="1"/>
  <c r="AI14" i="8"/>
  <c r="AM14" i="8"/>
  <c r="AI16" i="8"/>
  <c r="AM16" i="8"/>
  <c r="AE17" i="8"/>
  <c r="AE59" i="8" s="1"/>
  <c r="AI17" i="8"/>
  <c r="AM17" i="8"/>
  <c r="AI18" i="8"/>
  <c r="AM18" i="8"/>
  <c r="AI19" i="8"/>
  <c r="AM19" i="8"/>
  <c r="AI20" i="8"/>
  <c r="AM20" i="8"/>
  <c r="AE21" i="8"/>
  <c r="AF21" i="8"/>
  <c r="AG21" i="8"/>
  <c r="AH21" i="8"/>
  <c r="AI21" i="8"/>
  <c r="AJ21" i="8"/>
  <c r="AK21" i="8"/>
  <c r="AL21" i="8"/>
  <c r="AM21" i="8"/>
  <c r="AN21" i="8"/>
  <c r="AO21" i="8"/>
  <c r="AP21" i="8"/>
  <c r="AE30" i="8"/>
  <c r="AI30" i="8"/>
  <c r="AM30" i="8"/>
  <c r="AE36" i="8"/>
  <c r="AI36" i="8"/>
  <c r="AM36" i="8"/>
  <c r="AE37" i="8"/>
  <c r="AE72" i="8" s="1"/>
  <c r="AI37" i="8"/>
  <c r="AM37" i="8"/>
  <c r="AE38" i="8"/>
  <c r="AI38" i="8"/>
  <c r="AM38" i="8"/>
  <c r="AE39" i="8"/>
  <c r="AE74" i="8" s="1"/>
  <c r="AI39" i="8"/>
  <c r="AM39" i="8"/>
  <c r="AO17" i="1" l="1"/>
  <c r="AS461" i="1"/>
  <c r="AW461" i="1" s="1"/>
  <c r="BA461" i="1" s="1"/>
  <c r="BZ161" i="4"/>
  <c r="BV161" i="4"/>
  <c r="BP461" i="1"/>
  <c r="BV159" i="4"/>
  <c r="BZ162" i="4"/>
  <c r="BZ159" i="4"/>
  <c r="BV162" i="4"/>
  <c r="AO119" i="4"/>
  <c r="BZ163" i="4"/>
  <c r="BV163" i="4"/>
  <c r="AP144" i="4"/>
  <c r="AP145" i="4" s="1"/>
  <c r="AP149" i="4" s="1"/>
  <c r="AM45" i="8"/>
  <c r="AP356" i="1"/>
  <c r="AO321" i="1"/>
  <c r="AO240" i="1"/>
  <c r="AO239" i="1" s="1"/>
  <c r="AO158" i="4"/>
  <c r="AI52" i="8"/>
  <c r="AO46" i="4"/>
  <c r="AO70" i="4" s="1"/>
  <c r="AO125" i="4"/>
  <c r="AO17" i="4" s="1"/>
  <c r="AI55" i="8"/>
  <c r="AI51" i="8"/>
  <c r="AP210" i="1"/>
  <c r="AO106" i="1"/>
  <c r="AP241" i="1"/>
  <c r="AD13" i="51" s="1"/>
  <c r="AD49" i="51" s="1"/>
  <c r="AP216" i="1"/>
  <c r="AP221" i="1" s="1"/>
  <c r="AI50" i="8"/>
  <c r="AO327" i="1"/>
  <c r="AP239" i="1"/>
  <c r="AP96" i="5"/>
  <c r="AP98" i="5" s="1"/>
  <c r="AP17" i="4"/>
  <c r="AP18" i="4" s="1"/>
  <c r="AO282" i="1"/>
  <c r="AC18" i="51" s="1"/>
  <c r="AC62" i="51" s="1"/>
  <c r="AO346" i="1"/>
  <c r="AO418" i="1"/>
  <c r="AO421" i="1" s="1"/>
  <c r="AO426" i="1" s="1"/>
  <c r="AO439" i="1" s="1"/>
  <c r="AI73" i="8"/>
  <c r="AP42" i="1"/>
  <c r="AO22" i="5"/>
  <c r="AO24" i="5" s="1"/>
  <c r="AO38" i="5" s="1"/>
  <c r="AI45" i="8"/>
  <c r="CQ46" i="8"/>
  <c r="AO51" i="5"/>
  <c r="AO64" i="5" s="1"/>
  <c r="AO79" i="5"/>
  <c r="AO88" i="5" s="1"/>
  <c r="AO272" i="1"/>
  <c r="AO323" i="1"/>
  <c r="AC23" i="51" s="1"/>
  <c r="AC77" i="51" s="1"/>
  <c r="AO382" i="1"/>
  <c r="AO296" i="1"/>
  <c r="AO297" i="1" s="1"/>
  <c r="AO310" i="1" s="1"/>
  <c r="AO318" i="1" s="1"/>
  <c r="AO26" i="4"/>
  <c r="AO28" i="4" s="1"/>
  <c r="AO219" i="4"/>
  <c r="AM74" i="8"/>
  <c r="AP219" i="4"/>
  <c r="AO247" i="4"/>
  <c r="AO59" i="4" s="1"/>
  <c r="AO62" i="4" s="1"/>
  <c r="AO64" i="4" s="1"/>
  <c r="AP62" i="4"/>
  <c r="AP64" i="4" s="1"/>
  <c r="AP253" i="4"/>
  <c r="AP70" i="4"/>
  <c r="AP87" i="4" s="1"/>
  <c r="AP90" i="4" s="1"/>
  <c r="AP94" i="4" s="1"/>
  <c r="AP162" i="4"/>
  <c r="AO71" i="4"/>
  <c r="AP28" i="4"/>
  <c r="AO14" i="4"/>
  <c r="AO15" i="4"/>
  <c r="AP92" i="4"/>
  <c r="AO92" i="4" s="1"/>
  <c r="AO462" i="1"/>
  <c r="AO466" i="1"/>
  <c r="AP70" i="1"/>
  <c r="AO21" i="1"/>
  <c r="AP427" i="1"/>
  <c r="AD32" i="51" s="1"/>
  <c r="AD101" i="51" s="1"/>
  <c r="AP431" i="1"/>
  <c r="AP425" i="1"/>
  <c r="AP434" i="1"/>
  <c r="AO435" i="1"/>
  <c r="AP436" i="1"/>
  <c r="AD33" i="51" s="1"/>
  <c r="AD105" i="51" s="1"/>
  <c r="AO375" i="1"/>
  <c r="AO377" i="1"/>
  <c r="AC28" i="51" s="1"/>
  <c r="AC92" i="51" s="1"/>
  <c r="AO360" i="1"/>
  <c r="AP361" i="1"/>
  <c r="AP363" i="1"/>
  <c r="AP372" i="1" s="1"/>
  <c r="AO306" i="1"/>
  <c r="AO44" i="1"/>
  <c r="AP307" i="1"/>
  <c r="AP310" i="1"/>
  <c r="AO280" i="1"/>
  <c r="AP282" i="1"/>
  <c r="AD18" i="51" s="1"/>
  <c r="AD62" i="51" s="1"/>
  <c r="AO216" i="1"/>
  <c r="AO226" i="1" s="1"/>
  <c r="AP98" i="1"/>
  <c r="AO86" i="1"/>
  <c r="AO87" i="1" s="1"/>
  <c r="CM53" i="8"/>
  <c r="AI54" i="8"/>
  <c r="AM53" i="8"/>
  <c r="AM52" i="8"/>
  <c r="CI53" i="8"/>
  <c r="CI46" i="8"/>
  <c r="AM72" i="8"/>
  <c r="AI15" i="8"/>
  <c r="CM46" i="8"/>
  <c r="AM55" i="8"/>
  <c r="AM51" i="8"/>
  <c r="CQ53" i="8"/>
  <c r="AI44" i="8"/>
  <c r="AM54" i="8"/>
  <c r="AI74" i="8"/>
  <c r="AI43" i="8"/>
  <c r="AE43" i="8"/>
  <c r="AM46" i="8"/>
  <c r="AM73" i="8"/>
  <c r="AM58" i="8"/>
  <c r="AI46" i="8"/>
  <c r="AI42" i="8"/>
  <c r="AM44" i="8"/>
  <c r="AM43" i="8"/>
  <c r="AM50" i="8"/>
  <c r="AM15" i="8"/>
  <c r="AM42" i="8"/>
  <c r="AM59" i="8"/>
  <c r="AI72" i="8"/>
  <c r="AM60" i="8"/>
  <c r="AI59" i="8"/>
  <c r="AM61" i="8"/>
  <c r="BE461" i="1" l="1"/>
  <c r="BB461" i="1"/>
  <c r="BT461" i="1"/>
  <c r="AP11" i="1"/>
  <c r="AP118" i="4" s="1"/>
  <c r="AP395" i="1"/>
  <c r="AO351" i="1"/>
  <c r="AO363" i="1" s="1"/>
  <c r="AO42" i="1"/>
  <c r="AO246" i="1"/>
  <c r="AO241" i="1"/>
  <c r="AC13" i="51" s="1"/>
  <c r="AC49" i="51" s="1"/>
  <c r="AP228" i="1"/>
  <c r="AP231" i="1" s="1"/>
  <c r="AP226" i="1"/>
  <c r="AO126" i="4"/>
  <c r="AP101" i="5"/>
  <c r="AO307" i="1"/>
  <c r="AO425" i="1"/>
  <c r="AP30" i="4"/>
  <c r="AP103" i="4"/>
  <c r="AO94" i="5"/>
  <c r="AO96" i="5"/>
  <c r="AO302" i="1"/>
  <c r="AP13" i="1"/>
  <c r="AD112" i="51" s="1"/>
  <c r="AP72" i="4"/>
  <c r="AP105" i="4" s="1"/>
  <c r="AO228" i="1"/>
  <c r="AP102" i="4"/>
  <c r="AP394" i="1"/>
  <c r="AO72" i="4"/>
  <c r="AO104" i="4" s="1"/>
  <c r="AP174" i="4"/>
  <c r="AP164" i="4"/>
  <c r="AP255" i="4"/>
  <c r="AO253" i="4"/>
  <c r="AO255" i="4" s="1"/>
  <c r="AO18" i="4"/>
  <c r="AO30" i="4" s="1"/>
  <c r="AO94" i="4"/>
  <c r="AP98" i="4"/>
  <c r="AO98" i="4" s="1"/>
  <c r="AO436" i="1"/>
  <c r="AC33" i="51" s="1"/>
  <c r="AC105" i="51" s="1"/>
  <c r="AO434" i="1"/>
  <c r="AO429" i="1"/>
  <c r="AO431" i="1"/>
  <c r="AO427" i="1"/>
  <c r="AC32" i="51" s="1"/>
  <c r="AC101" i="51" s="1"/>
  <c r="AP366" i="1"/>
  <c r="AP364" i="1"/>
  <c r="AD27" i="51" s="1"/>
  <c r="AD88" i="51" s="1"/>
  <c r="AO313" i="1"/>
  <c r="AP313" i="1"/>
  <c r="AP311" i="1"/>
  <c r="AD22" i="51" s="1"/>
  <c r="AD73" i="51" s="1"/>
  <c r="AO221" i="1"/>
  <c r="AM56" i="8"/>
  <c r="BI461" i="1" l="1"/>
  <c r="BF461" i="1"/>
  <c r="BX461" i="1"/>
  <c r="AO356" i="1"/>
  <c r="AO372" i="1"/>
  <c r="AO366" i="1"/>
  <c r="AO361" i="1"/>
  <c r="AP229" i="1"/>
  <c r="AD12" i="51" s="1"/>
  <c r="AD45" i="51" s="1"/>
  <c r="AO364" i="1"/>
  <c r="AC27" i="51" s="1"/>
  <c r="AC88" i="51" s="1"/>
  <c r="AE11" i="8"/>
  <c r="AO105" i="4"/>
  <c r="AP165" i="4"/>
  <c r="AP104" i="4"/>
  <c r="AO339" i="1"/>
  <c r="AO101" i="5"/>
  <c r="AO97" i="5"/>
  <c r="AO98" i="5" s="1"/>
  <c r="AO311" i="1"/>
  <c r="AC22" i="51" s="1"/>
  <c r="AC73" i="51" s="1"/>
  <c r="AO236" i="1"/>
  <c r="AO229" i="1"/>
  <c r="AC12" i="51" s="1"/>
  <c r="AC45" i="51" s="1"/>
  <c r="AO231" i="1"/>
  <c r="AO11" i="1"/>
  <c r="BM461" i="1" l="1"/>
  <c r="BJ461" i="1"/>
  <c r="AO394" i="1"/>
  <c r="AO395" i="1"/>
  <c r="AE53" i="8"/>
  <c r="AE15" i="8"/>
  <c r="AI53" i="8"/>
  <c r="AO13" i="1"/>
  <c r="AC112" i="51" s="1"/>
  <c r="AO118" i="4"/>
  <c r="AO258" i="1"/>
  <c r="BQ461" i="1" l="1"/>
  <c r="BN461" i="1"/>
  <c r="AE56" i="8"/>
  <c r="AI56" i="8"/>
  <c r="BU461" i="1" l="1"/>
  <c r="BR461" i="1"/>
  <c r="BY461" i="1" l="1"/>
  <c r="BZ461" i="1" s="1"/>
  <c r="BV461" i="1"/>
  <c r="AK104" i="51" l="1"/>
  <c r="AA83" i="8"/>
  <c r="AQ83" i="8"/>
  <c r="AU83" i="8"/>
  <c r="AY83" i="8"/>
  <c r="BC83" i="8"/>
  <c r="BG83" i="8"/>
  <c r="BH83" i="8"/>
  <c r="BR77" i="1"/>
  <c r="BS77" i="1" s="1"/>
  <c r="BN77" i="1"/>
  <c r="BO77" i="1" s="1"/>
  <c r="BJ77" i="1"/>
  <c r="BK77" i="1" s="1"/>
  <c r="BF77" i="1"/>
  <c r="BG77" i="1" s="1"/>
  <c r="BB77" i="1"/>
  <c r="BC77" i="1" s="1"/>
  <c r="AX77" i="1"/>
  <c r="AY77" i="1" s="1"/>
  <c r="AN351" i="1" l="1"/>
  <c r="AN247" i="4"/>
  <c r="AN198" i="4"/>
  <c r="AN125" i="4"/>
  <c r="AN88" i="4"/>
  <c r="AN334" i="1"/>
  <c r="AO334" i="1" s="1"/>
  <c r="AN239" i="1"/>
  <c r="AJ290" i="1"/>
  <c r="AN253" i="4" l="1"/>
  <c r="AN255" i="4" s="1"/>
  <c r="AN245" i="4"/>
  <c r="AN240" i="4"/>
  <c r="AN242" i="4" s="1"/>
  <c r="AN238" i="4"/>
  <c r="AN236" i="4"/>
  <c r="AN219" i="4"/>
  <c r="AN195" i="4"/>
  <c r="AN192" i="4"/>
  <c r="AN187" i="4"/>
  <c r="AN186" i="4"/>
  <c r="AN185" i="4"/>
  <c r="AN184" i="4"/>
  <c r="AN183" i="4"/>
  <c r="AN182" i="4"/>
  <c r="AN174" i="4"/>
  <c r="AN173" i="4"/>
  <c r="AN171" i="4"/>
  <c r="AN170" i="4"/>
  <c r="AN164" i="4"/>
  <c r="AN152" i="4"/>
  <c r="AN149" i="4"/>
  <c r="AN137" i="4"/>
  <c r="AN134" i="4"/>
  <c r="AN131" i="4"/>
  <c r="AN126" i="4"/>
  <c r="AO127" i="4" s="1"/>
  <c r="AN119" i="4"/>
  <c r="AN63" i="4"/>
  <c r="AN61" i="4"/>
  <c r="AN60" i="4"/>
  <c r="AN58" i="4"/>
  <c r="AN57" i="4"/>
  <c r="AN56" i="4"/>
  <c r="AO85" i="5" s="1"/>
  <c r="AN46" i="4"/>
  <c r="AN38" i="4"/>
  <c r="AN27" i="4"/>
  <c r="AN26" i="4"/>
  <c r="AN25" i="4"/>
  <c r="AO59" i="5" s="1"/>
  <c r="AN24" i="4"/>
  <c r="AN23" i="4"/>
  <c r="AO56" i="5" s="1"/>
  <c r="AN22" i="4"/>
  <c r="AN21" i="4"/>
  <c r="AO57" i="5" s="1"/>
  <c r="AN16" i="4"/>
  <c r="AN15" i="4"/>
  <c r="AO30" i="5" s="1"/>
  <c r="AN14" i="4"/>
  <c r="AO32" i="5" s="1"/>
  <c r="AN13" i="4"/>
  <c r="AN92" i="4" s="1"/>
  <c r="AN129" i="5"/>
  <c r="AN86" i="5"/>
  <c r="AP86" i="5" s="1"/>
  <c r="AN79" i="5"/>
  <c r="AN88" i="5" s="1"/>
  <c r="AN51" i="5"/>
  <c r="AN64" i="5" s="1"/>
  <c r="AN22" i="5"/>
  <c r="AN24" i="5" s="1"/>
  <c r="AN466" i="1"/>
  <c r="AN462" i="1"/>
  <c r="AN437" i="1"/>
  <c r="AN436" i="1"/>
  <c r="AB33" i="51" s="1"/>
  <c r="AN421" i="1"/>
  <c r="AN417" i="1"/>
  <c r="AB31" i="51" s="1"/>
  <c r="AN388" i="1"/>
  <c r="AN390" i="1" s="1"/>
  <c r="AN391" i="1" s="1"/>
  <c r="AN382" i="1"/>
  <c r="AN378" i="1"/>
  <c r="AN377" i="1"/>
  <c r="AB28" i="51" s="1"/>
  <c r="AN375" i="1"/>
  <c r="AN360" i="1"/>
  <c r="AN356" i="1"/>
  <c r="AN347" i="1"/>
  <c r="AB26" i="51" s="1"/>
  <c r="AN327" i="1"/>
  <c r="AN323" i="1"/>
  <c r="AB23" i="51" s="1"/>
  <c r="AN321" i="1"/>
  <c r="AN306" i="1"/>
  <c r="AN297" i="1"/>
  <c r="AN310" i="1" s="1"/>
  <c r="AN294" i="1"/>
  <c r="AB21" i="51" s="1"/>
  <c r="AN283" i="1"/>
  <c r="AN282" i="1"/>
  <c r="AB18" i="51" s="1"/>
  <c r="AN280" i="1"/>
  <c r="AN273" i="1"/>
  <c r="AN272" i="1"/>
  <c r="AN268" i="1"/>
  <c r="AB16" i="51" s="1"/>
  <c r="AN246" i="1"/>
  <c r="AN242" i="1"/>
  <c r="AN241" i="1"/>
  <c r="AB13" i="51" s="1"/>
  <c r="AN225" i="1"/>
  <c r="AN216" i="1"/>
  <c r="AN228" i="1" s="1"/>
  <c r="AN236" i="1" s="1"/>
  <c r="AP236" i="1" s="1"/>
  <c r="AN212" i="1"/>
  <c r="AB11" i="51" s="1"/>
  <c r="AN172" i="1"/>
  <c r="AN141" i="1"/>
  <c r="AN136" i="1"/>
  <c r="AN139" i="1" s="1"/>
  <c r="AO139" i="1" s="1"/>
  <c r="AO140" i="1" s="1"/>
  <c r="AO141" i="1" s="1"/>
  <c r="AN127" i="1"/>
  <c r="AN118" i="1"/>
  <c r="AN115" i="1"/>
  <c r="AN107" i="1"/>
  <c r="AN105" i="1"/>
  <c r="AP105" i="1" s="1"/>
  <c r="AP106" i="1" s="1"/>
  <c r="AN98" i="1"/>
  <c r="AN87" i="1"/>
  <c r="AN44" i="1"/>
  <c r="AN42" i="1"/>
  <c r="AN26" i="1"/>
  <c r="AN17" i="1"/>
  <c r="AP17" i="1" s="1"/>
  <c r="AP21" i="1" s="1"/>
  <c r="AN12" i="1"/>
  <c r="AN318" i="1" l="1"/>
  <c r="AP318" i="1" s="1"/>
  <c r="AP339" i="1" s="1"/>
  <c r="AQ310" i="1"/>
  <c r="AE18" i="8" s="1"/>
  <c r="AN277" i="1"/>
  <c r="AN286" i="1" s="1"/>
  <c r="AO273" i="1"/>
  <c r="AN121" i="1"/>
  <c r="AP118" i="1"/>
  <c r="AP121" i="1" s="1"/>
  <c r="AP122" i="1" s="1"/>
  <c r="AO26" i="5"/>
  <c r="AN70" i="1"/>
  <c r="AO26" i="1"/>
  <c r="AO70" i="1" s="1"/>
  <c r="AP258" i="1"/>
  <c r="AN106" i="1"/>
  <c r="AN70" i="4"/>
  <c r="AN87" i="4" s="1"/>
  <c r="AN90" i="4" s="1"/>
  <c r="AN94" i="4" s="1"/>
  <c r="AN162" i="4"/>
  <c r="AO162" i="4" s="1"/>
  <c r="AN161" i="4"/>
  <c r="AO161" i="4" s="1"/>
  <c r="AN16" i="1"/>
  <c r="AN18" i="1" s="1"/>
  <c r="AN17" i="4"/>
  <c r="AN18" i="4" s="1"/>
  <c r="AN159" i="4"/>
  <c r="AO159" i="4" s="1"/>
  <c r="AN99" i="1"/>
  <c r="AN59" i="4"/>
  <c r="AN62" i="4" s="1"/>
  <c r="AN64" i="4" s="1"/>
  <c r="AN28" i="4"/>
  <c r="AN71" i="4"/>
  <c r="AN82" i="5"/>
  <c r="AP82" i="5" s="1"/>
  <c r="AN38" i="5"/>
  <c r="AN94" i="5" s="1"/>
  <c r="AN96" i="5"/>
  <c r="AN425" i="1"/>
  <c r="AN426" i="1"/>
  <c r="AQ426" i="1" s="1"/>
  <c r="AE20" i="8" s="1"/>
  <c r="AE46" i="8" s="1"/>
  <c r="AN361" i="1"/>
  <c r="AN363" i="1"/>
  <c r="AQ363" i="1" s="1"/>
  <c r="AE19" i="8" s="1"/>
  <c r="AN313" i="1"/>
  <c r="AN302" i="1"/>
  <c r="AN307" i="1"/>
  <c r="AN274" i="1"/>
  <c r="AB17" i="51" s="1"/>
  <c r="AN231" i="1"/>
  <c r="AQ231" i="1" s="1"/>
  <c r="AE16" i="8" s="1"/>
  <c r="AN221" i="1"/>
  <c r="AN226" i="1"/>
  <c r="AN21" i="1"/>
  <c r="AE61" i="8" l="1"/>
  <c r="AI61" i="8"/>
  <c r="AE45" i="8"/>
  <c r="AE58" i="8"/>
  <c r="AE42" i="8"/>
  <c r="AI58" i="8"/>
  <c r="AE60" i="8"/>
  <c r="AE44" i="8"/>
  <c r="AI60" i="8"/>
  <c r="AN122" i="1"/>
  <c r="AO118" i="1"/>
  <c r="AO121" i="1" s="1"/>
  <c r="AO122" i="1" s="1"/>
  <c r="AO277" i="1"/>
  <c r="AO274" i="1"/>
  <c r="AC17" i="51" s="1"/>
  <c r="AC58" i="51" s="1"/>
  <c r="AO31" i="5"/>
  <c r="AN311" i="1"/>
  <c r="AB22" i="51" s="1"/>
  <c r="AN258" i="1"/>
  <c r="AN72" i="4"/>
  <c r="AN30" i="4"/>
  <c r="AN103" i="4"/>
  <c r="AN102" i="4"/>
  <c r="AN105" i="4"/>
  <c r="AN104" i="4"/>
  <c r="AN98" i="4"/>
  <c r="AN339" i="1"/>
  <c r="AN101" i="5"/>
  <c r="AN98" i="5"/>
  <c r="AN434" i="1"/>
  <c r="AN30" i="1" s="1"/>
  <c r="AN431" i="1"/>
  <c r="AN427" i="1"/>
  <c r="AB32" i="51" s="1"/>
  <c r="AN366" i="1"/>
  <c r="AN364" i="1"/>
  <c r="AB27" i="51" s="1"/>
  <c r="AN372" i="1"/>
  <c r="AN11" i="1"/>
  <c r="AN118" i="4" s="1"/>
  <c r="AN229" i="1"/>
  <c r="AB12" i="51" s="1"/>
  <c r="AP277" i="1" l="1"/>
  <c r="AO286" i="1"/>
  <c r="AN395" i="1"/>
  <c r="AN25" i="1"/>
  <c r="AN394" i="1"/>
  <c r="AN13" i="1"/>
  <c r="AB112" i="51" s="1"/>
  <c r="AN20" i="1"/>
  <c r="AN22" i="1" s="1"/>
  <c r="AP286" i="1" l="1"/>
  <c r="AP25" i="1"/>
  <c r="AN179" i="1"/>
  <c r="AN74" i="4"/>
  <c r="AB115" i="51"/>
  <c r="AN23" i="1"/>
  <c r="AN28" i="1"/>
  <c r="AP179" i="1" l="1"/>
  <c r="AO25" i="1"/>
  <c r="AO179" i="1" s="1"/>
  <c r="AN34" i="1"/>
  <c r="AB122" i="51" s="1"/>
  <c r="AB119" i="51"/>
  <c r="AB117" i="51"/>
  <c r="AR460" i="1" l="1"/>
  <c r="AF14" i="8" s="1"/>
  <c r="BE47" i="51"/>
  <c r="BD47" i="51"/>
  <c r="BA47" i="51"/>
  <c r="AZ47" i="51"/>
  <c r="AW47" i="51"/>
  <c r="AV47" i="51"/>
  <c r="AS47" i="51"/>
  <c r="AR47" i="51"/>
  <c r="AO47" i="51"/>
  <c r="AN47" i="51"/>
  <c r="AK47" i="51"/>
  <c r="AJ47" i="51"/>
  <c r="AG47" i="51"/>
  <c r="AF47" i="51"/>
  <c r="BR173" i="5" l="1"/>
  <c r="BN173" i="5"/>
  <c r="BJ173" i="5"/>
  <c r="BF173" i="5"/>
  <c r="BB173" i="5"/>
  <c r="AX173" i="5"/>
  <c r="AT173" i="5"/>
  <c r="AL346" i="1"/>
  <c r="Z21" i="8"/>
  <c r="Z17" i="8"/>
  <c r="AD269" i="1"/>
  <c r="AL265" i="1"/>
  <c r="AH265" i="1"/>
  <c r="AF265" i="1"/>
  <c r="AD265" i="1"/>
  <c r="AB265" i="1"/>
  <c r="Z265" i="1"/>
  <c r="AG102" i="51"/>
  <c r="AF102" i="51"/>
  <c r="AJ417" i="1"/>
  <c r="X31" i="51" s="1"/>
  <c r="X97" i="51" s="1"/>
  <c r="AL417" i="1"/>
  <c r="Z31" i="51" s="1"/>
  <c r="Z97" i="51" s="1"/>
  <c r="AL351" i="1" l="1"/>
  <c r="AP352" i="1" s="1"/>
  <c r="AP347" i="1"/>
  <c r="AD26" i="51" s="1"/>
  <c r="AD82" i="51" s="1"/>
  <c r="AK117" i="5"/>
  <c r="AL245" i="4" l="1"/>
  <c r="AL247" i="4"/>
  <c r="AL253" i="4" s="1"/>
  <c r="AL255" i="4" s="1"/>
  <c r="AL175" i="4"/>
  <c r="AK414" i="1"/>
  <c r="AL37" i="1"/>
  <c r="AL281" i="1"/>
  <c r="AP283" i="1" s="1"/>
  <c r="AL240" i="1"/>
  <c r="AP242" i="1" s="1"/>
  <c r="AJ437" i="1"/>
  <c r="AL435" i="1"/>
  <c r="AL418" i="1"/>
  <c r="AL296" i="1"/>
  <c r="AL211" i="1"/>
  <c r="AP212" i="1" s="1"/>
  <c r="AD11" i="51" s="1"/>
  <c r="AD39" i="51" s="1"/>
  <c r="AL198" i="4"/>
  <c r="AL160" i="4"/>
  <c r="AL158" i="4"/>
  <c r="AL125" i="4"/>
  <c r="AL88" i="4"/>
  <c r="AK20" i="5"/>
  <c r="AL334" i="1"/>
  <c r="AL250" i="1"/>
  <c r="AL86" i="1"/>
  <c r="AL437" i="1" l="1"/>
  <c r="AP437" i="1"/>
  <c r="AK254" i="4"/>
  <c r="AK63" i="4" s="1"/>
  <c r="AK251" i="4"/>
  <c r="AK61" i="4" s="1"/>
  <c r="AK249" i="4"/>
  <c r="AK60" i="4" s="1"/>
  <c r="AK247" i="4"/>
  <c r="AK59" i="4" s="1"/>
  <c r="AK244" i="4"/>
  <c r="AO245" i="4" s="1"/>
  <c r="AK241" i="4"/>
  <c r="AL240" i="4"/>
  <c r="AL242" i="4" s="1"/>
  <c r="AL238" i="4"/>
  <c r="AL236" i="4"/>
  <c r="AK236" i="4"/>
  <c r="AL232" i="4"/>
  <c r="AK231" i="4"/>
  <c r="AK228" i="4"/>
  <c r="AK45" i="4" s="1"/>
  <c r="AK225" i="4"/>
  <c r="AK44" i="4" s="1"/>
  <c r="AK222" i="4"/>
  <c r="AK216" i="4"/>
  <c r="AK42" i="4" s="1"/>
  <c r="AK213" i="4"/>
  <c r="AK38" i="4" s="1"/>
  <c r="AK210" i="4"/>
  <c r="AK37" i="4" s="1"/>
  <c r="AK207" i="4"/>
  <c r="AK36" i="4" s="1"/>
  <c r="AK204" i="4"/>
  <c r="AK35" i="4" s="1"/>
  <c r="AK201" i="4"/>
  <c r="AK34" i="4" s="1"/>
  <c r="AK198" i="4"/>
  <c r="AL195" i="4"/>
  <c r="AK194" i="4"/>
  <c r="AO195" i="4" s="1"/>
  <c r="AL192" i="4"/>
  <c r="AK191" i="4"/>
  <c r="AK189" i="4"/>
  <c r="AL181" i="4"/>
  <c r="AL188" i="4" s="1"/>
  <c r="AK177" i="4"/>
  <c r="AL173" i="4"/>
  <c r="AL171" i="4"/>
  <c r="AL168" i="4"/>
  <c r="AP169" i="4" s="1"/>
  <c r="AP176" i="4" s="1"/>
  <c r="AL172" i="4"/>
  <c r="AL170" i="4"/>
  <c r="AK157" i="4"/>
  <c r="AK156" i="4"/>
  <c r="AK24" i="4" s="1"/>
  <c r="AL152" i="4"/>
  <c r="AK151" i="4"/>
  <c r="AL148" i="4"/>
  <c r="AL147" i="4"/>
  <c r="AL137" i="4"/>
  <c r="AK137" i="4"/>
  <c r="AK136" i="4"/>
  <c r="AK22" i="4" s="1"/>
  <c r="AL134" i="4"/>
  <c r="AK133" i="4"/>
  <c r="AL131" i="4"/>
  <c r="AK130" i="4"/>
  <c r="AK125" i="4"/>
  <c r="AK124" i="4"/>
  <c r="AK16" i="4" s="1"/>
  <c r="AK121" i="4"/>
  <c r="AK15" i="4" s="1"/>
  <c r="AL119" i="4"/>
  <c r="AK115" i="4"/>
  <c r="AK113" i="4"/>
  <c r="AK13" i="4" s="1"/>
  <c r="AK71" i="4" s="1"/>
  <c r="AK99" i="4"/>
  <c r="AK93" i="4"/>
  <c r="AL75" i="4"/>
  <c r="AL63" i="4"/>
  <c r="AL61" i="4"/>
  <c r="AL60" i="4"/>
  <c r="AL58" i="4"/>
  <c r="AL57" i="4"/>
  <c r="AL56" i="4"/>
  <c r="AL46" i="4"/>
  <c r="AL45" i="4"/>
  <c r="AL44" i="4"/>
  <c r="AL43" i="4"/>
  <c r="AL42" i="4"/>
  <c r="AL38" i="4"/>
  <c r="AL37" i="4"/>
  <c r="AL36" i="4"/>
  <c r="AL35" i="4"/>
  <c r="AL34" i="4"/>
  <c r="AL27" i="4"/>
  <c r="AL26" i="4"/>
  <c r="AL25" i="4"/>
  <c r="AL24" i="4"/>
  <c r="AL23" i="4"/>
  <c r="AL22" i="4"/>
  <c r="AL21" i="4"/>
  <c r="AL16" i="4"/>
  <c r="AL15" i="4"/>
  <c r="AL14" i="4"/>
  <c r="AL13" i="4"/>
  <c r="AL71" i="4" s="1"/>
  <c r="AL129" i="5"/>
  <c r="AK129" i="5"/>
  <c r="AL117" i="5"/>
  <c r="AK102" i="5"/>
  <c r="AL79" i="5"/>
  <c r="AK78" i="5"/>
  <c r="AK77" i="5"/>
  <c r="AK76" i="5"/>
  <c r="AK75" i="5"/>
  <c r="AK74" i="5"/>
  <c r="AK86" i="5" s="1"/>
  <c r="AK73" i="5"/>
  <c r="AK72" i="5"/>
  <c r="AK71" i="5"/>
  <c r="AK70" i="5"/>
  <c r="AK69" i="5"/>
  <c r="AK68" i="5"/>
  <c r="AK238" i="4" s="1"/>
  <c r="AK67" i="5"/>
  <c r="AL55" i="5"/>
  <c r="AL51" i="5"/>
  <c r="AK50" i="5"/>
  <c r="AK49" i="5"/>
  <c r="AK48" i="5"/>
  <c r="AK47" i="5"/>
  <c r="AK46" i="5"/>
  <c r="AK45" i="5"/>
  <c r="AK44" i="5"/>
  <c r="AK43" i="5"/>
  <c r="AK42" i="5"/>
  <c r="AK41" i="5"/>
  <c r="AK23" i="5"/>
  <c r="AL22" i="5"/>
  <c r="AL24" i="5" s="1"/>
  <c r="AK21" i="5"/>
  <c r="AK19" i="5"/>
  <c r="AK18" i="5"/>
  <c r="AK17" i="5"/>
  <c r="AK16" i="5"/>
  <c r="AK15" i="5"/>
  <c r="AK14" i="5"/>
  <c r="AL466" i="1"/>
  <c r="AK465" i="1"/>
  <c r="AK464" i="1"/>
  <c r="AL462" i="1"/>
  <c r="AK461" i="1"/>
  <c r="AK460" i="1"/>
  <c r="AL444" i="1"/>
  <c r="AL443" i="1"/>
  <c r="AL436" i="1"/>
  <c r="Z33" i="51" s="1"/>
  <c r="AK435" i="1"/>
  <c r="AO437" i="1" s="1"/>
  <c r="AK432" i="1"/>
  <c r="AK428" i="1"/>
  <c r="AK424" i="1"/>
  <c r="AL421" i="1"/>
  <c r="AK420" i="1"/>
  <c r="AK419" i="1"/>
  <c r="AK418" i="1"/>
  <c r="AK416" i="1"/>
  <c r="AK389" i="1"/>
  <c r="AK386" i="1"/>
  <c r="AO387" i="1" s="1"/>
  <c r="AK384" i="1"/>
  <c r="AO385" i="1" s="1"/>
  <c r="AL382" i="1"/>
  <c r="AK381" i="1"/>
  <c r="AL378" i="1"/>
  <c r="AL377" i="1"/>
  <c r="Z28" i="51" s="1"/>
  <c r="AK376" i="1"/>
  <c r="AO378" i="1" s="1"/>
  <c r="AL375" i="1"/>
  <c r="AK373" i="1"/>
  <c r="AK365" i="1"/>
  <c r="AL360" i="1"/>
  <c r="AK359" i="1"/>
  <c r="AK360" i="1" s="1"/>
  <c r="AL354" i="1"/>
  <c r="AK350" i="1"/>
  <c r="AK349" i="1"/>
  <c r="AK348" i="1"/>
  <c r="AL347" i="1"/>
  <c r="Z26" i="51" s="1"/>
  <c r="AK346" i="1"/>
  <c r="AO347" i="1" s="1"/>
  <c r="AC26" i="51" s="1"/>
  <c r="AC82" i="51" s="1"/>
  <c r="AK344" i="1"/>
  <c r="AK331" i="1"/>
  <c r="AK329" i="1"/>
  <c r="AL327" i="1"/>
  <c r="AK326" i="1"/>
  <c r="AL323" i="1"/>
  <c r="Z23" i="51" s="1"/>
  <c r="AK322" i="1"/>
  <c r="AL321" i="1"/>
  <c r="AK319" i="1"/>
  <c r="AK312" i="1"/>
  <c r="AL306" i="1"/>
  <c r="AK305" i="1"/>
  <c r="AK306" i="1" s="1"/>
  <c r="AL300" i="1"/>
  <c r="AL297" i="1"/>
  <c r="AP298" i="1" s="1"/>
  <c r="AK296" i="1"/>
  <c r="AK295" i="1"/>
  <c r="AL294" i="1"/>
  <c r="Z21" i="51" s="1"/>
  <c r="AK293" i="1"/>
  <c r="AO294" i="1" s="1"/>
  <c r="AC21" i="51" s="1"/>
  <c r="AC67" i="51" s="1"/>
  <c r="AK291" i="1"/>
  <c r="AL283" i="1"/>
  <c r="AL282" i="1"/>
  <c r="Z18" i="51" s="1"/>
  <c r="AK281" i="1"/>
  <c r="AO283" i="1" s="1"/>
  <c r="AL280" i="1"/>
  <c r="AK278" i="1"/>
  <c r="AK275" i="1"/>
  <c r="AL274" i="1"/>
  <c r="Z17" i="51" s="1"/>
  <c r="AL272" i="1"/>
  <c r="AK271" i="1"/>
  <c r="AL268" i="1"/>
  <c r="Z16" i="51" s="1"/>
  <c r="AK267" i="1"/>
  <c r="AO268" i="1" s="1"/>
  <c r="AC16" i="51" s="1"/>
  <c r="AC54" i="51" s="1"/>
  <c r="AK264" i="1"/>
  <c r="AO265" i="1" s="1"/>
  <c r="AK253" i="1"/>
  <c r="AL246" i="1"/>
  <c r="AK245" i="1"/>
  <c r="AL242" i="1"/>
  <c r="AL241" i="1"/>
  <c r="Z13" i="51" s="1"/>
  <c r="AK240" i="1"/>
  <c r="AO242" i="1" s="1"/>
  <c r="AL239" i="1"/>
  <c r="AK237" i="1"/>
  <c r="AK230" i="1"/>
  <c r="AL225" i="1"/>
  <c r="AK224" i="1"/>
  <c r="AK225" i="1" s="1"/>
  <c r="AL219" i="1"/>
  <c r="AL216" i="1"/>
  <c r="AK215" i="1"/>
  <c r="AK214" i="1"/>
  <c r="AK213" i="1"/>
  <c r="AL212" i="1"/>
  <c r="Z11" i="51" s="1"/>
  <c r="AK211" i="1"/>
  <c r="AO212" i="1" s="1"/>
  <c r="AC11" i="51" s="1"/>
  <c r="AC39" i="51" s="1"/>
  <c r="AL210" i="1"/>
  <c r="AK209" i="1"/>
  <c r="AK152" i="1"/>
  <c r="AN165" i="1" s="1"/>
  <c r="AK151" i="1"/>
  <c r="AN164" i="1" s="1"/>
  <c r="AK150" i="1"/>
  <c r="AN163" i="1" s="1"/>
  <c r="CF11" i="8" s="1"/>
  <c r="AL141" i="1"/>
  <c r="AK138" i="1"/>
  <c r="AK137" i="1"/>
  <c r="AK110" i="1" s="1"/>
  <c r="AL136" i="1"/>
  <c r="AK136" i="1"/>
  <c r="AK131" i="1"/>
  <c r="AK120" i="1"/>
  <c r="AK107" i="1" s="1"/>
  <c r="AK119" i="1"/>
  <c r="AK115" i="1" s="1"/>
  <c r="AK117" i="1"/>
  <c r="AK56" i="4" s="1"/>
  <c r="AL115" i="1"/>
  <c r="AL110" i="1"/>
  <c r="AL107" i="1"/>
  <c r="AK105" i="1"/>
  <c r="AK82" i="5" s="1"/>
  <c r="AK98" i="1"/>
  <c r="AL96" i="1"/>
  <c r="AL95" i="1"/>
  <c r="AK86" i="1"/>
  <c r="AK85" i="1"/>
  <c r="AK84" i="1"/>
  <c r="AK83" i="1"/>
  <c r="AK82" i="1"/>
  <c r="AK81" i="1"/>
  <c r="AK80" i="1"/>
  <c r="AK79" i="1"/>
  <c r="AK78" i="1"/>
  <c r="AL87" i="1"/>
  <c r="AL44" i="1"/>
  <c r="AL42" i="1"/>
  <c r="AK37" i="1"/>
  <c r="AL26" i="1"/>
  <c r="AL70" i="1" s="1"/>
  <c r="AL12" i="1"/>
  <c r="AO417" i="1" l="1"/>
  <c r="AC31" i="51" s="1"/>
  <c r="AC97" i="51" s="1"/>
  <c r="AK415" i="1"/>
  <c r="AK23" i="4"/>
  <c r="AO152" i="4"/>
  <c r="AK25" i="4"/>
  <c r="AO192" i="4"/>
  <c r="AP422" i="1"/>
  <c r="AK21" i="4"/>
  <c r="AO131" i="4"/>
  <c r="AK27" i="4"/>
  <c r="AO134" i="4"/>
  <c r="AP177" i="4"/>
  <c r="AP166" i="4"/>
  <c r="AP388" i="1"/>
  <c r="AP385" i="1"/>
  <c r="AP387" i="1"/>
  <c r="AL226" i="1"/>
  <c r="AP217" i="1"/>
  <c r="AP249" i="1"/>
  <c r="AP251" i="1"/>
  <c r="AP252" i="1"/>
  <c r="AP333" i="1"/>
  <c r="AP332" i="1"/>
  <c r="AP330" i="1"/>
  <c r="AK232" i="4"/>
  <c r="AN232" i="4"/>
  <c r="AN132" i="5" s="1"/>
  <c r="AL189" i="4"/>
  <c r="AN181" i="4"/>
  <c r="AN188" i="4" s="1"/>
  <c r="AN180" i="4" s="1"/>
  <c r="AN189" i="4" s="1"/>
  <c r="AK17" i="1"/>
  <c r="C86" i="61"/>
  <c r="AL16" i="1"/>
  <c r="E86" i="61"/>
  <c r="AK12" i="1"/>
  <c r="AK58" i="4"/>
  <c r="AL361" i="1"/>
  <c r="AL356" i="1"/>
  <c r="AL425" i="1"/>
  <c r="AL310" i="1"/>
  <c r="AK42" i="1"/>
  <c r="AK321" i="1"/>
  <c r="AL145" i="4"/>
  <c r="AL149" i="4" s="1"/>
  <c r="AK158" i="4"/>
  <c r="AK436" i="1"/>
  <c r="Y33" i="51" s="1"/>
  <c r="AL221" i="1"/>
  <c r="AP222" i="1" s="1"/>
  <c r="AD43" i="51" s="1"/>
  <c r="AK282" i="1"/>
  <c r="Y18" i="51" s="1"/>
  <c r="AL17" i="4"/>
  <c r="AL18" i="4" s="1"/>
  <c r="AK46" i="4"/>
  <c r="AK70" i="4" s="1"/>
  <c r="AK72" i="4" s="1"/>
  <c r="AK16" i="1"/>
  <c r="AK119" i="4"/>
  <c r="AL96" i="5"/>
  <c r="AL98" i="5" s="1"/>
  <c r="AL162" i="4"/>
  <c r="AL164" i="4" s="1"/>
  <c r="AK297" i="1"/>
  <c r="AL70" i="4"/>
  <c r="AL72" i="4" s="1"/>
  <c r="AK77" i="1"/>
  <c r="AK87" i="1" s="1"/>
  <c r="AL139" i="1"/>
  <c r="AL114" i="1" s="1"/>
  <c r="AL113" i="1" s="1"/>
  <c r="AK108" i="1"/>
  <c r="AL33" i="4"/>
  <c r="AL39" i="4" s="1"/>
  <c r="AK44" i="1"/>
  <c r="AK51" i="5"/>
  <c r="AK64" i="5" s="1"/>
  <c r="AL47" i="4"/>
  <c r="AL98" i="1"/>
  <c r="AK280" i="1"/>
  <c r="AL302" i="1"/>
  <c r="AK22" i="5"/>
  <c r="AK24" i="5" s="1"/>
  <c r="AK38" i="5" s="1"/>
  <c r="AK79" i="5"/>
  <c r="AK88" i="5" s="1"/>
  <c r="AK323" i="1"/>
  <c r="Y23" i="51" s="1"/>
  <c r="AK466" i="1"/>
  <c r="AL28" i="4"/>
  <c r="AK57" i="4"/>
  <c r="AK272" i="1"/>
  <c r="AK26" i="4"/>
  <c r="AK17" i="4"/>
  <c r="AK126" i="4"/>
  <c r="AN127" i="4" s="1"/>
  <c r="AK14" i="4"/>
  <c r="AK33" i="4"/>
  <c r="AK43" i="4"/>
  <c r="AL92" i="4"/>
  <c r="AK92" i="4" s="1"/>
  <c r="AL219" i="4"/>
  <c r="AK219" i="4"/>
  <c r="AL59" i="4"/>
  <c r="AL62" i="4" s="1"/>
  <c r="AL64" i="4" s="1"/>
  <c r="AL126" i="4"/>
  <c r="AP127" i="4" s="1"/>
  <c r="AL108" i="1"/>
  <c r="AK216" i="1"/>
  <c r="AO217" i="1" s="1"/>
  <c r="AK351" i="1"/>
  <c r="AO352" i="1" s="1"/>
  <c r="AK246" i="1"/>
  <c r="AO251" i="1" s="1"/>
  <c r="AK239" i="1"/>
  <c r="AK241" i="1"/>
  <c r="Y13" i="51" s="1"/>
  <c r="AK382" i="1"/>
  <c r="AK375" i="1"/>
  <c r="AK377" i="1"/>
  <c r="Y28" i="51" s="1"/>
  <c r="AK421" i="1"/>
  <c r="AK106" i="1"/>
  <c r="AL228" i="1"/>
  <c r="AL307" i="1"/>
  <c r="AL363" i="1"/>
  <c r="AL426" i="1"/>
  <c r="Z20" i="8" s="1"/>
  <c r="AK462" i="1"/>
  <c r="AK327" i="1"/>
  <c r="AQ116" i="5"/>
  <c r="AP303" i="1" l="1"/>
  <c r="AD71" i="51" s="1"/>
  <c r="AK307" i="1"/>
  <c r="AO298" i="1"/>
  <c r="AP335" i="1"/>
  <c r="AP254" i="1"/>
  <c r="AP357" i="1"/>
  <c r="AD86" i="51" s="1"/>
  <c r="AO330" i="1"/>
  <c r="AO332" i="1"/>
  <c r="AO422" i="1"/>
  <c r="AK28" i="4"/>
  <c r="AP390" i="1"/>
  <c r="AO388" i="1"/>
  <c r="AS460" i="1"/>
  <c r="AG14" i="8" s="1"/>
  <c r="AK21" i="1"/>
  <c r="AK18" i="1"/>
  <c r="AL165" i="4"/>
  <c r="AN157" i="4"/>
  <c r="AL313" i="1"/>
  <c r="Z18" i="8"/>
  <c r="AK62" i="4"/>
  <c r="AK64" i="4" s="1"/>
  <c r="AK104" i="4" s="1"/>
  <c r="Z19" i="8"/>
  <c r="AL311" i="1"/>
  <c r="Z22" i="51" s="1"/>
  <c r="AL11" i="1"/>
  <c r="AL13" i="1" s="1"/>
  <c r="Z112" i="51" s="1"/>
  <c r="AD113" i="51" s="1"/>
  <c r="AL87" i="4"/>
  <c r="AL90" i="4" s="1"/>
  <c r="AL102" i="4" s="1"/>
  <c r="AK302" i="1"/>
  <c r="AL101" i="5"/>
  <c r="AK310" i="1"/>
  <c r="AK313" i="1" s="1"/>
  <c r="AL174" i="4"/>
  <c r="AL49" i="4"/>
  <c r="AL30" i="4"/>
  <c r="AK96" i="5"/>
  <c r="AK101" i="5" s="1"/>
  <c r="AK94" i="5"/>
  <c r="AK39" i="4"/>
  <c r="AK18" i="4"/>
  <c r="AL105" i="4"/>
  <c r="AL104" i="4"/>
  <c r="AK253" i="4"/>
  <c r="AK255" i="4" s="1"/>
  <c r="AK47" i="4"/>
  <c r="AL427" i="1"/>
  <c r="Z32" i="51" s="1"/>
  <c r="AL431" i="1"/>
  <c r="AL434" i="1"/>
  <c r="AL229" i="1"/>
  <c r="Z12" i="51" s="1"/>
  <c r="AL231" i="1"/>
  <c r="Z16" i="8" s="1"/>
  <c r="AK425" i="1"/>
  <c r="AK426" i="1"/>
  <c r="AK429" i="1" s="1"/>
  <c r="AK221" i="1"/>
  <c r="AK228" i="1"/>
  <c r="AL364" i="1"/>
  <c r="Z27" i="51" s="1"/>
  <c r="AL366" i="1"/>
  <c r="AL372" i="1"/>
  <c r="AK356" i="1"/>
  <c r="AK361" i="1"/>
  <c r="AK363" i="1"/>
  <c r="AK226" i="1"/>
  <c r="AK30" i="4" l="1"/>
  <c r="AO357" i="1"/>
  <c r="AC86" i="51" s="1"/>
  <c r="AP257" i="1"/>
  <c r="AP336" i="1"/>
  <c r="AP391" i="1"/>
  <c r="AO390" i="1"/>
  <c r="AO391" i="1" s="1"/>
  <c r="AO303" i="1"/>
  <c r="AC71" i="51" s="1"/>
  <c r="AO222" i="1"/>
  <c r="AC43" i="51" s="1"/>
  <c r="AK105" i="4"/>
  <c r="AL94" i="4"/>
  <c r="AK94" i="4" s="1"/>
  <c r="AL103" i="4"/>
  <c r="AL30" i="1"/>
  <c r="AL90" i="5" s="1"/>
  <c r="AL91" i="5" s="1"/>
  <c r="AK318" i="1"/>
  <c r="AK339" i="1" s="1"/>
  <c r="AK311" i="1"/>
  <c r="Y22" i="51" s="1"/>
  <c r="AL51" i="4"/>
  <c r="AL52" i="4" s="1"/>
  <c r="AL53" i="4" s="1"/>
  <c r="AL118" i="4"/>
  <c r="AK97" i="5"/>
  <c r="AK98" i="5" s="1"/>
  <c r="AL20" i="1"/>
  <c r="AK49" i="4"/>
  <c r="AK236" i="1"/>
  <c r="AK229" i="1"/>
  <c r="Y12" i="51" s="1"/>
  <c r="AK231" i="1"/>
  <c r="AK372" i="1"/>
  <c r="AK395" i="1" s="1"/>
  <c r="AK364" i="1"/>
  <c r="Y27" i="51" s="1"/>
  <c r="AK366" i="1"/>
  <c r="AL395" i="1"/>
  <c r="AL394" i="1"/>
  <c r="AK427" i="1"/>
  <c r="Y32" i="51" s="1"/>
  <c r="AK434" i="1"/>
  <c r="AK431" i="1"/>
  <c r="AK11" i="1"/>
  <c r="AK118" i="4" s="1"/>
  <c r="AJ153" i="4"/>
  <c r="AJ88" i="4"/>
  <c r="AJ198" i="4"/>
  <c r="AJ247" i="4"/>
  <c r="AJ125" i="4"/>
  <c r="AJ264" i="1"/>
  <c r="AJ388" i="1"/>
  <c r="AJ387" i="1"/>
  <c r="AJ385" i="1"/>
  <c r="AJ334" i="1"/>
  <c r="AK334" i="1" s="1"/>
  <c r="AJ250" i="1"/>
  <c r="AK250" i="1" s="1"/>
  <c r="AK51" i="4" l="1"/>
  <c r="AK65" i="4" s="1"/>
  <c r="AL98" i="4"/>
  <c r="AK98" i="4" s="1"/>
  <c r="AK153" i="4"/>
  <c r="AN153" i="4"/>
  <c r="AO153" i="4" s="1"/>
  <c r="AN265" i="1"/>
  <c r="AJ265" i="1"/>
  <c r="AK30" i="1"/>
  <c r="AK90" i="5" s="1"/>
  <c r="AK91" i="5" s="1"/>
  <c r="AK83" i="5" s="1"/>
  <c r="AL65" i="4"/>
  <c r="AK52" i="4"/>
  <c r="AK53" i="4" s="1"/>
  <c r="AK394" i="1"/>
  <c r="AK75" i="4"/>
  <c r="AK258" i="1"/>
  <c r="AK53" i="1"/>
  <c r="AK13" i="1"/>
  <c r="Y112" i="51" s="1"/>
  <c r="AC113" i="51" s="1"/>
  <c r="AK20" i="1"/>
  <c r="AK22" i="1" s="1"/>
  <c r="Y115" i="51" s="1"/>
  <c r="AO75" i="4" l="1"/>
  <c r="AN75" i="4"/>
  <c r="AN77" i="4" s="1"/>
  <c r="AN78" i="4" s="1"/>
  <c r="Y117" i="51"/>
  <c r="AK23" i="1"/>
  <c r="AK74" i="4"/>
  <c r="AK77" i="4" s="1"/>
  <c r="AK78" i="4" s="1"/>
  <c r="AJ253" i="4"/>
  <c r="AJ255" i="4" s="1"/>
  <c r="AJ245" i="4"/>
  <c r="AJ240" i="4"/>
  <c r="AJ242" i="4" s="1"/>
  <c r="AJ238" i="4"/>
  <c r="AJ236" i="4"/>
  <c r="AJ38" i="4"/>
  <c r="AJ33" i="4"/>
  <c r="AK33" i="5" s="1"/>
  <c r="AJ195" i="4"/>
  <c r="AJ192" i="4"/>
  <c r="AJ187" i="4"/>
  <c r="AJ186" i="4"/>
  <c r="AJ185" i="4"/>
  <c r="AJ184" i="4"/>
  <c r="AJ183" i="4"/>
  <c r="AJ182" i="4"/>
  <c r="AJ174" i="4"/>
  <c r="AJ173" i="4"/>
  <c r="AJ171" i="4"/>
  <c r="AJ170" i="4"/>
  <c r="AJ164" i="4"/>
  <c r="AJ152" i="4"/>
  <c r="AJ149" i="4"/>
  <c r="AJ137" i="4"/>
  <c r="AJ134" i="4"/>
  <c r="AJ131" i="4"/>
  <c r="AJ126" i="4"/>
  <c r="AK127" i="4" s="1"/>
  <c r="AJ119" i="4"/>
  <c r="AJ75" i="4"/>
  <c r="AJ63" i="4"/>
  <c r="AJ61" i="4"/>
  <c r="AJ60" i="4"/>
  <c r="AJ58" i="4"/>
  <c r="AJ57" i="4"/>
  <c r="AJ56" i="4"/>
  <c r="AK85" i="5" s="1"/>
  <c r="AJ46" i="4"/>
  <c r="AJ45" i="4"/>
  <c r="AJ44" i="4"/>
  <c r="AJ43" i="4"/>
  <c r="AK61" i="5" s="1"/>
  <c r="AJ42" i="4"/>
  <c r="AJ37" i="4"/>
  <c r="AJ36" i="4"/>
  <c r="AK35" i="5" s="1"/>
  <c r="AJ35" i="4"/>
  <c r="AK34" i="5" s="1"/>
  <c r="AJ34" i="4"/>
  <c r="AJ27" i="4"/>
  <c r="AJ26" i="4"/>
  <c r="AJ25" i="4"/>
  <c r="AK59" i="5" s="1"/>
  <c r="AJ24" i="4"/>
  <c r="AJ23" i="4"/>
  <c r="AK56" i="5" s="1"/>
  <c r="AJ22" i="4"/>
  <c r="AJ21" i="4"/>
  <c r="AK57" i="5" s="1"/>
  <c r="AJ16" i="4"/>
  <c r="AJ15" i="4"/>
  <c r="AK30" i="5" s="1"/>
  <c r="AJ14" i="4"/>
  <c r="AK32" i="5" s="1"/>
  <c r="AK26" i="5" s="1"/>
  <c r="AJ13" i="4"/>
  <c r="AJ92" i="4" s="1"/>
  <c r="AJ86" i="5"/>
  <c r="AL86" i="5" s="1"/>
  <c r="AJ79" i="5"/>
  <c r="AJ88" i="5" s="1"/>
  <c r="AJ51" i="5"/>
  <c r="AJ64" i="5" s="1"/>
  <c r="AJ22" i="5"/>
  <c r="AJ24" i="5" s="1"/>
  <c r="AJ466" i="1"/>
  <c r="AJ462" i="1"/>
  <c r="AJ421" i="1"/>
  <c r="AJ436" i="1"/>
  <c r="X33" i="51" s="1"/>
  <c r="AJ382" i="1"/>
  <c r="AJ378" i="1"/>
  <c r="AJ377" i="1"/>
  <c r="X28" i="51" s="1"/>
  <c r="AJ375" i="1"/>
  <c r="AJ360" i="1"/>
  <c r="AJ351" i="1"/>
  <c r="AJ347" i="1"/>
  <c r="X26" i="51" s="1"/>
  <c r="AJ327" i="1"/>
  <c r="AJ323" i="1"/>
  <c r="X23" i="51" s="1"/>
  <c r="AJ321" i="1"/>
  <c r="AJ306" i="1"/>
  <c r="AJ297" i="1"/>
  <c r="AJ294" i="1"/>
  <c r="X21" i="51" s="1"/>
  <c r="AJ283" i="1"/>
  <c r="AJ282" i="1"/>
  <c r="X18" i="51" s="1"/>
  <c r="AJ280" i="1"/>
  <c r="AJ273" i="1"/>
  <c r="AJ272" i="1"/>
  <c r="AJ268" i="1"/>
  <c r="X16" i="51" s="1"/>
  <c r="AJ246" i="1"/>
  <c r="AJ242" i="1"/>
  <c r="AJ241" i="1"/>
  <c r="X13" i="51" s="1"/>
  <c r="AJ239" i="1"/>
  <c r="AJ225" i="1"/>
  <c r="AJ216" i="1"/>
  <c r="AJ212" i="1"/>
  <c r="X11" i="51" s="1"/>
  <c r="AJ172" i="1"/>
  <c r="AJ141" i="1"/>
  <c r="AJ136" i="1"/>
  <c r="AJ139" i="1" s="1"/>
  <c r="AK139" i="1" s="1"/>
  <c r="AJ127" i="1"/>
  <c r="AJ118" i="1"/>
  <c r="AJ115" i="1"/>
  <c r="AJ107" i="1"/>
  <c r="AJ105" i="1"/>
  <c r="AJ82" i="5" s="1"/>
  <c r="AL82" i="5" s="1"/>
  <c r="AJ98" i="1"/>
  <c r="AJ87" i="1"/>
  <c r="AN422" i="1" l="1"/>
  <c r="AN333" i="1"/>
  <c r="AJ221" i="1"/>
  <c r="AN217" i="1"/>
  <c r="AJ307" i="1"/>
  <c r="AN298" i="1"/>
  <c r="AN248" i="1"/>
  <c r="AN251" i="1"/>
  <c r="AJ363" i="1"/>
  <c r="AJ372" i="1" s="1"/>
  <c r="AN352" i="1"/>
  <c r="AJ274" i="1"/>
  <c r="X17" i="51" s="1"/>
  <c r="AK273" i="1"/>
  <c r="AJ426" i="1"/>
  <c r="AJ427" i="1" s="1"/>
  <c r="X32" i="51" s="1"/>
  <c r="AK60" i="5"/>
  <c r="AJ121" i="1"/>
  <c r="AL118" i="1"/>
  <c r="AL121" i="1" s="1"/>
  <c r="AL122" i="1" s="1"/>
  <c r="AK62" i="5"/>
  <c r="AJ159" i="4"/>
  <c r="AK159" i="4" s="1"/>
  <c r="AK114" i="1"/>
  <c r="AK113" i="1" s="1"/>
  <c r="AK140" i="1"/>
  <c r="AK141" i="1" s="1"/>
  <c r="AK36" i="5"/>
  <c r="AL105" i="1"/>
  <c r="AL106" i="1" s="1"/>
  <c r="AJ161" i="4"/>
  <c r="AK161" i="4" s="1"/>
  <c r="AJ96" i="5"/>
  <c r="AJ98" i="5" s="1"/>
  <c r="AJ106" i="1"/>
  <c r="AJ59" i="4"/>
  <c r="AJ62" i="4" s="1"/>
  <c r="AJ64" i="4" s="1"/>
  <c r="AJ17" i="4"/>
  <c r="AJ18" i="4" s="1"/>
  <c r="AJ39" i="4"/>
  <c r="AJ162" i="4"/>
  <c r="AK162" i="4" s="1"/>
  <c r="AJ361" i="1"/>
  <c r="AJ99" i="1"/>
  <c r="AJ226" i="1"/>
  <c r="AJ277" i="1"/>
  <c r="AJ228" i="1"/>
  <c r="AJ70" i="4"/>
  <c r="AJ87" i="4" s="1"/>
  <c r="AJ90" i="4" s="1"/>
  <c r="AJ47" i="4"/>
  <c r="AJ165" i="4"/>
  <c r="AJ219" i="4"/>
  <c r="AJ71" i="4"/>
  <c r="AJ28" i="4"/>
  <c r="AJ38" i="5"/>
  <c r="AJ94" i="5" s="1"/>
  <c r="AJ425" i="1"/>
  <c r="AJ356" i="1"/>
  <c r="AJ302" i="1"/>
  <c r="AJ310" i="1"/>
  <c r="AN335" i="1" l="1"/>
  <c r="AO333" i="1"/>
  <c r="AN252" i="1"/>
  <c r="AO248" i="1"/>
  <c r="AO249" i="1" s="1"/>
  <c r="AN303" i="1"/>
  <c r="AB71" i="51" s="1"/>
  <c r="AN222" i="1"/>
  <c r="AB43" i="51" s="1"/>
  <c r="AN357" i="1"/>
  <c r="AB86" i="51" s="1"/>
  <c r="AJ366" i="1"/>
  <c r="AJ431" i="1"/>
  <c r="AJ434" i="1"/>
  <c r="AK274" i="1"/>
  <c r="Y17" i="51" s="1"/>
  <c r="AK277" i="1"/>
  <c r="AK286" i="1" s="1"/>
  <c r="AK31" i="5"/>
  <c r="AJ286" i="1"/>
  <c r="AJ122" i="1"/>
  <c r="AK118" i="1"/>
  <c r="AK121" i="1" s="1"/>
  <c r="AK122" i="1" s="1"/>
  <c r="AJ102" i="4"/>
  <c r="AJ101" i="5"/>
  <c r="AJ103" i="4"/>
  <c r="AJ94" i="4"/>
  <c r="AJ98" i="4" s="1"/>
  <c r="AJ72" i="4"/>
  <c r="AJ49" i="4"/>
  <c r="AJ236" i="1"/>
  <c r="AJ229" i="1"/>
  <c r="X12" i="51" s="1"/>
  <c r="AJ231" i="1"/>
  <c r="AJ30" i="4"/>
  <c r="AJ364" i="1"/>
  <c r="X27" i="51" s="1"/>
  <c r="AJ311" i="1"/>
  <c r="X22" i="51" s="1"/>
  <c r="AJ318" i="1"/>
  <c r="AJ313" i="1"/>
  <c r="AN254" i="1" l="1"/>
  <c r="AO252" i="1"/>
  <c r="AN336" i="1"/>
  <c r="AO335" i="1"/>
  <c r="AO336" i="1" s="1"/>
  <c r="AL277" i="1"/>
  <c r="AL286" i="1" s="1"/>
  <c r="AJ339" i="1"/>
  <c r="AL318" i="1"/>
  <c r="AL339" i="1" s="1"/>
  <c r="AJ258" i="1"/>
  <c r="AL236" i="1"/>
  <c r="AJ51" i="4"/>
  <c r="AJ65" i="4" s="1"/>
  <c r="AJ104" i="4"/>
  <c r="AJ105" i="4"/>
  <c r="AN257" i="1" l="1"/>
  <c r="AO254" i="1"/>
  <c r="AO257" i="1" s="1"/>
  <c r="AL25" i="1"/>
  <c r="AL258" i="1"/>
  <c r="AJ52" i="4"/>
  <c r="AJ53" i="4" s="1"/>
  <c r="AL179" i="1" l="1"/>
  <c r="AC93" i="4" l="1"/>
  <c r="AG93" i="4"/>
  <c r="AH44" i="1"/>
  <c r="AD44" i="1"/>
  <c r="AB44" i="1"/>
  <c r="Z44" i="1"/>
  <c r="X44" i="1"/>
  <c r="V44" i="1"/>
  <c r="T44" i="1"/>
  <c r="R44" i="1"/>
  <c r="P44" i="1"/>
  <c r="N44" i="1"/>
  <c r="L44" i="1"/>
  <c r="J44" i="1"/>
  <c r="H44" i="1"/>
  <c r="F44" i="1"/>
  <c r="D44" i="1"/>
  <c r="AF44" i="1"/>
  <c r="V210" i="1"/>
  <c r="Z210" i="1"/>
  <c r="AD210" i="1"/>
  <c r="AH210" i="1"/>
  <c r="AH117" i="5"/>
  <c r="BE103" i="51"/>
  <c r="BD103" i="51"/>
  <c r="BA103" i="51"/>
  <c r="AZ103" i="51"/>
  <c r="AW103" i="51"/>
  <c r="AV103" i="51"/>
  <c r="AS103" i="51"/>
  <c r="AR103" i="51"/>
  <c r="AO103" i="51"/>
  <c r="AN103" i="51"/>
  <c r="AK103" i="51"/>
  <c r="AJ103" i="51"/>
  <c r="AG103" i="51"/>
  <c r="AF103" i="51"/>
  <c r="BE102" i="51"/>
  <c r="BD102" i="51"/>
  <c r="BA102" i="51"/>
  <c r="AZ102" i="51"/>
  <c r="AW102" i="51"/>
  <c r="AV102" i="51"/>
  <c r="AS102" i="51"/>
  <c r="AR102" i="51"/>
  <c r="AO102" i="51"/>
  <c r="AN102" i="51"/>
  <c r="AK102" i="51"/>
  <c r="AJ102" i="51"/>
  <c r="BE46" i="51"/>
  <c r="BD46" i="51"/>
  <c r="BA46" i="51"/>
  <c r="AZ46" i="51"/>
  <c r="AW46" i="51"/>
  <c r="AV46" i="51"/>
  <c r="AS46" i="51"/>
  <c r="AR46" i="51"/>
  <c r="AO46" i="51"/>
  <c r="AN46" i="51"/>
  <c r="AK46" i="51"/>
  <c r="AJ46" i="51"/>
  <c r="AG46" i="51"/>
  <c r="AF46" i="51"/>
  <c r="AG70" i="5"/>
  <c r="AH79" i="5"/>
  <c r="AE41" i="8" l="1"/>
  <c r="AE49" i="8" s="1"/>
  <c r="AA38" i="8" l="1"/>
  <c r="AE73" i="8" s="1"/>
  <c r="W38" i="8"/>
  <c r="S38" i="8"/>
  <c r="O38" i="8"/>
  <c r="K38" i="8"/>
  <c r="AH77" i="1"/>
  <c r="AD462" i="1"/>
  <c r="AB462" i="1"/>
  <c r="Z462" i="1"/>
  <c r="X462" i="1"/>
  <c r="AF462" i="1"/>
  <c r="AH462" i="1"/>
  <c r="AF17" i="1"/>
  <c r="AG435" i="1"/>
  <c r="AK437" i="1" s="1"/>
  <c r="AG424" i="1"/>
  <c r="AG420" i="1"/>
  <c r="AG419" i="1"/>
  <c r="AG418" i="1"/>
  <c r="AG416" i="1"/>
  <c r="AG152" i="1"/>
  <c r="AJ165" i="1" s="1"/>
  <c r="AG151" i="1"/>
  <c r="AJ164" i="1" s="1"/>
  <c r="AG150" i="1"/>
  <c r="AJ163" i="1" s="1"/>
  <c r="CB11" i="8" s="1"/>
  <c r="R96" i="1"/>
  <c r="V96" i="1"/>
  <c r="Z96" i="1"/>
  <c r="AD96" i="1"/>
  <c r="AH96" i="1"/>
  <c r="AH22" i="5"/>
  <c r="AK417" i="1" l="1"/>
  <c r="Y31" i="51" s="1"/>
  <c r="Y97" i="51" s="1"/>
  <c r="AG415" i="1"/>
  <c r="AH88" i="4"/>
  <c r="AH198" i="4"/>
  <c r="AH160" i="4"/>
  <c r="AH158" i="4"/>
  <c r="AH141" i="4"/>
  <c r="AH247" i="4"/>
  <c r="AH125" i="4"/>
  <c r="AH138" i="1"/>
  <c r="Y264" i="1"/>
  <c r="Y265" i="1" s="1"/>
  <c r="AC264" i="1"/>
  <c r="AG264" i="1"/>
  <c r="Y344" i="1"/>
  <c r="AC344" i="1"/>
  <c r="AG344" i="1"/>
  <c r="Y291" i="1"/>
  <c r="AC291" i="1"/>
  <c r="AG291" i="1"/>
  <c r="AR428" i="1"/>
  <c r="AS428" i="1" s="1"/>
  <c r="AT428" i="1" s="1"/>
  <c r="AV428" i="1" s="1"/>
  <c r="AW428" i="1" s="1"/>
  <c r="AX428" i="1" s="1"/>
  <c r="AZ428" i="1" s="1"/>
  <c r="BA428" i="1" s="1"/>
  <c r="BB428" i="1" s="1"/>
  <c r="BD428" i="1" s="1"/>
  <c r="BE428" i="1" s="1"/>
  <c r="BF428" i="1" s="1"/>
  <c r="BH428" i="1" s="1"/>
  <c r="BI428" i="1" s="1"/>
  <c r="BJ428" i="1" s="1"/>
  <c r="BL428" i="1" s="1"/>
  <c r="BM428" i="1" s="1"/>
  <c r="BN428" i="1" s="1"/>
  <c r="BP428" i="1" s="1"/>
  <c r="BQ428" i="1" s="1"/>
  <c r="BR428" i="1" s="1"/>
  <c r="BT428" i="1" s="1"/>
  <c r="BU428" i="1" s="1"/>
  <c r="BV428" i="1" s="1"/>
  <c r="BX428" i="1" s="1"/>
  <c r="BY428" i="1" s="1"/>
  <c r="BZ428" i="1" s="1"/>
  <c r="AR365" i="1"/>
  <c r="AS365" i="1" s="1"/>
  <c r="AT365" i="1" s="1"/>
  <c r="AV365" i="1" s="1"/>
  <c r="AW365" i="1" s="1"/>
  <c r="AX365" i="1" s="1"/>
  <c r="AZ365" i="1" s="1"/>
  <c r="BA365" i="1" s="1"/>
  <c r="BB365" i="1" s="1"/>
  <c r="BD365" i="1" s="1"/>
  <c r="BE365" i="1" s="1"/>
  <c r="BF365" i="1" s="1"/>
  <c r="BH365" i="1" s="1"/>
  <c r="BI365" i="1" s="1"/>
  <c r="BJ365" i="1" s="1"/>
  <c r="BL365" i="1" s="1"/>
  <c r="BM365" i="1" s="1"/>
  <c r="BN365" i="1" s="1"/>
  <c r="BP365" i="1" s="1"/>
  <c r="BQ365" i="1" s="1"/>
  <c r="BR365" i="1" s="1"/>
  <c r="BT365" i="1" s="1"/>
  <c r="BU365" i="1" s="1"/>
  <c r="BV365" i="1" s="1"/>
  <c r="BX365" i="1" s="1"/>
  <c r="BY365" i="1" s="1"/>
  <c r="BZ365" i="1" s="1"/>
  <c r="AC365" i="1"/>
  <c r="AG365" i="1"/>
  <c r="AV312" i="1"/>
  <c r="AW312" i="1" s="1"/>
  <c r="AX312" i="1" s="1"/>
  <c r="AZ312" i="1" s="1"/>
  <c r="BA312" i="1" s="1"/>
  <c r="BB312" i="1" s="1"/>
  <c r="BD312" i="1" s="1"/>
  <c r="BE312" i="1" s="1"/>
  <c r="BF312" i="1" s="1"/>
  <c r="BH312" i="1" s="1"/>
  <c r="BI312" i="1" s="1"/>
  <c r="BJ312" i="1" s="1"/>
  <c r="BL312" i="1" s="1"/>
  <c r="BM312" i="1" s="1"/>
  <c r="BN312" i="1" s="1"/>
  <c r="BP312" i="1" s="1"/>
  <c r="BQ312" i="1" s="1"/>
  <c r="BR312" i="1" s="1"/>
  <c r="BT312" i="1" s="1"/>
  <c r="BU312" i="1" s="1"/>
  <c r="BV312" i="1" s="1"/>
  <c r="BX312" i="1" s="1"/>
  <c r="BY312" i="1" s="1"/>
  <c r="BZ312" i="1" s="1"/>
  <c r="AC275" i="1"/>
  <c r="AR275" i="1"/>
  <c r="AS275" i="1" s="1"/>
  <c r="AT275" i="1" s="1"/>
  <c r="AV275" i="1" s="1"/>
  <c r="AW275" i="1" s="1"/>
  <c r="AX275" i="1" s="1"/>
  <c r="AZ275" i="1" s="1"/>
  <c r="BA275" i="1" s="1"/>
  <c r="BB275" i="1" s="1"/>
  <c r="BD275" i="1" s="1"/>
  <c r="BE275" i="1" s="1"/>
  <c r="BF275" i="1" s="1"/>
  <c r="BH275" i="1" s="1"/>
  <c r="BI275" i="1" s="1"/>
  <c r="BJ275" i="1" s="1"/>
  <c r="BL275" i="1" s="1"/>
  <c r="BM275" i="1" s="1"/>
  <c r="BN275" i="1" s="1"/>
  <c r="BP275" i="1" s="1"/>
  <c r="BQ275" i="1" s="1"/>
  <c r="BR275" i="1" s="1"/>
  <c r="BT275" i="1" s="1"/>
  <c r="BU275" i="1" s="1"/>
  <c r="BV275" i="1" s="1"/>
  <c r="BX275" i="1" s="1"/>
  <c r="BY275" i="1" s="1"/>
  <c r="BZ275" i="1" s="1"/>
  <c r="AG275" i="1"/>
  <c r="AR230" i="1"/>
  <c r="AS230" i="1" s="1"/>
  <c r="AT230" i="1" s="1"/>
  <c r="AV230" i="1" s="1"/>
  <c r="AW230" i="1" s="1"/>
  <c r="AX230" i="1" s="1"/>
  <c r="AZ230" i="1" s="1"/>
  <c r="BA230" i="1" s="1"/>
  <c r="BB230" i="1" s="1"/>
  <c r="BD230" i="1" s="1"/>
  <c r="BE230" i="1" s="1"/>
  <c r="BF230" i="1" s="1"/>
  <c r="BH230" i="1" s="1"/>
  <c r="BI230" i="1" s="1"/>
  <c r="BJ230" i="1" s="1"/>
  <c r="BL230" i="1" s="1"/>
  <c r="BM230" i="1" s="1"/>
  <c r="BN230" i="1" s="1"/>
  <c r="BP230" i="1" s="1"/>
  <c r="BQ230" i="1" s="1"/>
  <c r="BR230" i="1" s="1"/>
  <c r="BT230" i="1" s="1"/>
  <c r="BU230" i="1" s="1"/>
  <c r="BV230" i="1" s="1"/>
  <c r="BX230" i="1" s="1"/>
  <c r="BY230" i="1" s="1"/>
  <c r="BZ230" i="1" s="1"/>
  <c r="AC230" i="1"/>
  <c r="AG230" i="1"/>
  <c r="AG428" i="1"/>
  <c r="AH389" i="1"/>
  <c r="AG312" i="1"/>
  <c r="AC312" i="1"/>
  <c r="S22" i="8"/>
  <c r="O22" i="8"/>
  <c r="K22" i="8"/>
  <c r="K81" i="8" s="1"/>
  <c r="AC265" i="1" l="1"/>
  <c r="AG265" i="1"/>
  <c r="AK265" i="1"/>
  <c r="O81" i="8"/>
  <c r="O86" i="8"/>
  <c r="S81" i="8"/>
  <c r="S86" i="8"/>
  <c r="AH162" i="4"/>
  <c r="AG102" i="5" l="1"/>
  <c r="AG78" i="5"/>
  <c r="AG77" i="5"/>
  <c r="AG76" i="5"/>
  <c r="AG75" i="5"/>
  <c r="AG74" i="5"/>
  <c r="AG86" i="5" s="1"/>
  <c r="AG73" i="5"/>
  <c r="AG72" i="5"/>
  <c r="AG71" i="5"/>
  <c r="AG69" i="5"/>
  <c r="AG68" i="5"/>
  <c r="AG238" i="4" s="1"/>
  <c r="AG67" i="5"/>
  <c r="AH55" i="5"/>
  <c r="AH51" i="5"/>
  <c r="AG50" i="5"/>
  <c r="AG49" i="5"/>
  <c r="AG48" i="5"/>
  <c r="AG47" i="5"/>
  <c r="AG46" i="5"/>
  <c r="AG45" i="5"/>
  <c r="AG44" i="5"/>
  <c r="AG43" i="5"/>
  <c r="AG42" i="5"/>
  <c r="AG41" i="5"/>
  <c r="AG23" i="5"/>
  <c r="AH24" i="5"/>
  <c r="AG21" i="5"/>
  <c r="AG19" i="5"/>
  <c r="AG18" i="5"/>
  <c r="AG17" i="5"/>
  <c r="AG16" i="5"/>
  <c r="AG15" i="5"/>
  <c r="AG14" i="5"/>
  <c r="AG254" i="4"/>
  <c r="AG63" i="4" s="1"/>
  <c r="AH253" i="4"/>
  <c r="AH255" i="4" s="1"/>
  <c r="AG251" i="4"/>
  <c r="AG61" i="4" s="1"/>
  <c r="AG249" i="4"/>
  <c r="AG60" i="4" s="1"/>
  <c r="AG247" i="4"/>
  <c r="AG59" i="4" s="1"/>
  <c r="AH245" i="4"/>
  <c r="AG244" i="4"/>
  <c r="AG241" i="4"/>
  <c r="AG57" i="4" s="1"/>
  <c r="AH240" i="4"/>
  <c r="AH238" i="4"/>
  <c r="AH236" i="4"/>
  <c r="AG236" i="4"/>
  <c r="AH232" i="4"/>
  <c r="AG231" i="4"/>
  <c r="AG228" i="4"/>
  <c r="AG225" i="4"/>
  <c r="AG222" i="4"/>
  <c r="AH219" i="4"/>
  <c r="AG216" i="4"/>
  <c r="AG213" i="4"/>
  <c r="AG38" i="4" s="1"/>
  <c r="AG210" i="4"/>
  <c r="AG207" i="4"/>
  <c r="AG204" i="4"/>
  <c r="AG201" i="4"/>
  <c r="AG198" i="4"/>
  <c r="AH195" i="4"/>
  <c r="AG194" i="4"/>
  <c r="AH192" i="4"/>
  <c r="AG191" i="4"/>
  <c r="AH181" i="4"/>
  <c r="AH173" i="4"/>
  <c r="AH172" i="4"/>
  <c r="AH168" i="4"/>
  <c r="AL169" i="4" s="1"/>
  <c r="AL176" i="4" s="1"/>
  <c r="AN169" i="4" s="1"/>
  <c r="AH174" i="4"/>
  <c r="AH171" i="4"/>
  <c r="AG158" i="4"/>
  <c r="AG58" i="5" s="1"/>
  <c r="AG157" i="4"/>
  <c r="AG156" i="4"/>
  <c r="AG24" i="4" s="1"/>
  <c r="AG153" i="4"/>
  <c r="AG75" i="4" s="1"/>
  <c r="AH152" i="4"/>
  <c r="AG151" i="4"/>
  <c r="AH148" i="4"/>
  <c r="AH147" i="4"/>
  <c r="AH137" i="4"/>
  <c r="AH145" i="4" s="1"/>
  <c r="AH149" i="4" s="1"/>
  <c r="AG137" i="4"/>
  <c r="AG136" i="4"/>
  <c r="AG22" i="4" s="1"/>
  <c r="AH134" i="4"/>
  <c r="AG133" i="4"/>
  <c r="AH131" i="4"/>
  <c r="AG130" i="4"/>
  <c r="AH126" i="4"/>
  <c r="AL127" i="4" s="1"/>
  <c r="AG125" i="4"/>
  <c r="AG17" i="4" s="1"/>
  <c r="AG124" i="4"/>
  <c r="AG16" i="4" s="1"/>
  <c r="AG121" i="4"/>
  <c r="AG15" i="4" s="1"/>
  <c r="AH119" i="4"/>
  <c r="AG115" i="4"/>
  <c r="AG14" i="4" s="1"/>
  <c r="AG113" i="4"/>
  <c r="AG99" i="4"/>
  <c r="AH75" i="4"/>
  <c r="AH63" i="4"/>
  <c r="AH61" i="4"/>
  <c r="AH60" i="4"/>
  <c r="AH59" i="4"/>
  <c r="AH58" i="4"/>
  <c r="AH57" i="4"/>
  <c r="AH56" i="4"/>
  <c r="AH46" i="4"/>
  <c r="AH38" i="4"/>
  <c r="AH27" i="4"/>
  <c r="AH26" i="4"/>
  <c r="AH25" i="4"/>
  <c r="AH24" i="4"/>
  <c r="AH23" i="4"/>
  <c r="AH22" i="4"/>
  <c r="AH21" i="4"/>
  <c r="AH17" i="4"/>
  <c r="AH16" i="4"/>
  <c r="AH15" i="4"/>
  <c r="AH14" i="4"/>
  <c r="AH466" i="1"/>
  <c r="AG465" i="1"/>
  <c r="AG464" i="1"/>
  <c r="AG461" i="1"/>
  <c r="AG460" i="1"/>
  <c r="AG386" i="1"/>
  <c r="AK387" i="1" s="1"/>
  <c r="AG384" i="1"/>
  <c r="AK385" i="1" s="1"/>
  <c r="AH382" i="1"/>
  <c r="AG381" i="1"/>
  <c r="AH378" i="1"/>
  <c r="AH377" i="1"/>
  <c r="V28" i="51" s="1"/>
  <c r="V92" i="51" s="1"/>
  <c r="AG376" i="1"/>
  <c r="AK378" i="1" s="1"/>
  <c r="AH375" i="1"/>
  <c r="AG373" i="1"/>
  <c r="AH360" i="1"/>
  <c r="AG359" i="1"/>
  <c r="AH354" i="1"/>
  <c r="AH351" i="1"/>
  <c r="AL352" i="1" s="1"/>
  <c r="AG350" i="1"/>
  <c r="AG349" i="1"/>
  <c r="AG348" i="1"/>
  <c r="AH347" i="1"/>
  <c r="V26" i="51" s="1"/>
  <c r="V82" i="51" s="1"/>
  <c r="AG346" i="1"/>
  <c r="AK347" i="1" s="1"/>
  <c r="Y26" i="51" s="1"/>
  <c r="AG334" i="1"/>
  <c r="AG331" i="1"/>
  <c r="AG329" i="1"/>
  <c r="AH327" i="1"/>
  <c r="AG326" i="1"/>
  <c r="AH323" i="1"/>
  <c r="V23" i="51" s="1"/>
  <c r="V77" i="51" s="1"/>
  <c r="AG322" i="1"/>
  <c r="AH321" i="1"/>
  <c r="AG319" i="1"/>
  <c r="AH306" i="1"/>
  <c r="AG305" i="1"/>
  <c r="AG306" i="1" s="1"/>
  <c r="AH300" i="1"/>
  <c r="AH297" i="1"/>
  <c r="AG296" i="1"/>
  <c r="AG295" i="1"/>
  <c r="AH294" i="1"/>
  <c r="V21" i="51" s="1"/>
  <c r="V67" i="51" s="1"/>
  <c r="AG293" i="1"/>
  <c r="AK294" i="1" s="1"/>
  <c r="Y21" i="51" s="1"/>
  <c r="AH283" i="1"/>
  <c r="AH282" i="1"/>
  <c r="V18" i="51" s="1"/>
  <c r="V62" i="51" s="1"/>
  <c r="AG281" i="1"/>
  <c r="AK283" i="1" s="1"/>
  <c r="AH280" i="1"/>
  <c r="AG278" i="1"/>
  <c r="AH274" i="1"/>
  <c r="V17" i="51" s="1"/>
  <c r="V58" i="51" s="1"/>
  <c r="AH272" i="1"/>
  <c r="AG271" i="1"/>
  <c r="AH268" i="1"/>
  <c r="V16" i="51" s="1"/>
  <c r="V54" i="51" s="1"/>
  <c r="AG267" i="1"/>
  <c r="AG253" i="1"/>
  <c r="AH246" i="1"/>
  <c r="AG245" i="1"/>
  <c r="AH242" i="1"/>
  <c r="AH241" i="1"/>
  <c r="V13" i="51" s="1"/>
  <c r="V49" i="51" s="1"/>
  <c r="AG240" i="1"/>
  <c r="AK242" i="1" s="1"/>
  <c r="AH239" i="1"/>
  <c r="AG237" i="1"/>
  <c r="AH225" i="1"/>
  <c r="AG224" i="1"/>
  <c r="AH219" i="1"/>
  <c r="AH216" i="1"/>
  <c r="AG215" i="1"/>
  <c r="AG214" i="1"/>
  <c r="AG213" i="1"/>
  <c r="AH212" i="1"/>
  <c r="V11" i="51" s="1"/>
  <c r="V39" i="51" s="1"/>
  <c r="AG211" i="1"/>
  <c r="AK212" i="1" s="1"/>
  <c r="Y11" i="51" s="1"/>
  <c r="AG209" i="1"/>
  <c r="AH141" i="1"/>
  <c r="AG138" i="1"/>
  <c r="AG137" i="1"/>
  <c r="AH136" i="1"/>
  <c r="AH139" i="1" s="1"/>
  <c r="AG136" i="1"/>
  <c r="AG131" i="1"/>
  <c r="AG120" i="1"/>
  <c r="AG107" i="1" s="1"/>
  <c r="AG119" i="1"/>
  <c r="AG115" i="1" s="1"/>
  <c r="AG117" i="1"/>
  <c r="AG56" i="4" s="1"/>
  <c r="AJ85" i="5" s="1"/>
  <c r="AL85" i="5" s="1"/>
  <c r="AH115" i="1"/>
  <c r="AH107" i="1"/>
  <c r="AG105" i="1"/>
  <c r="AG82" i="5" s="1"/>
  <c r="AG98" i="1"/>
  <c r="AH95" i="1"/>
  <c r="AH87" i="1"/>
  <c r="AG86" i="1"/>
  <c r="AG85" i="1"/>
  <c r="AG84" i="1"/>
  <c r="AG83" i="1"/>
  <c r="AG82" i="1"/>
  <c r="AG81" i="1"/>
  <c r="AG80" i="1"/>
  <c r="AG79" i="1"/>
  <c r="AG78" i="1"/>
  <c r="AG77" i="1"/>
  <c r="AH42" i="1"/>
  <c r="AG37" i="1"/>
  <c r="AH26" i="1"/>
  <c r="AH70" i="1" s="1"/>
  <c r="AH12" i="1"/>
  <c r="AK268" i="1" l="1"/>
  <c r="Y16" i="51" s="1"/>
  <c r="AG12" i="1"/>
  <c r="AG58" i="4"/>
  <c r="AK245" i="4"/>
  <c r="AL249" i="1"/>
  <c r="AL252" i="1"/>
  <c r="AL251" i="1"/>
  <c r="AH307" i="1"/>
  <c r="AL298" i="1"/>
  <c r="AG26" i="4"/>
  <c r="AK195" i="4"/>
  <c r="AG21" i="4"/>
  <c r="AJ57" i="5" s="1"/>
  <c r="AL57" i="5" s="1"/>
  <c r="AK131" i="4"/>
  <c r="AG23" i="4"/>
  <c r="AJ56" i="5" s="1"/>
  <c r="AL56" i="5" s="1"/>
  <c r="AK152" i="4"/>
  <c r="AL166" i="4"/>
  <c r="AL177" i="4"/>
  <c r="AH96" i="5"/>
  <c r="AH101" i="5" s="1"/>
  <c r="AH228" i="1"/>
  <c r="AH231" i="1" s="1"/>
  <c r="AL217" i="1"/>
  <c r="AG25" i="4"/>
  <c r="AJ59" i="5" s="1"/>
  <c r="AL59" i="5" s="1"/>
  <c r="AK192" i="4"/>
  <c r="AL332" i="1"/>
  <c r="AL333" i="1"/>
  <c r="AL330" i="1"/>
  <c r="AG27" i="4"/>
  <c r="AK134" i="4"/>
  <c r="AL388" i="1"/>
  <c r="AL387" i="1"/>
  <c r="AL385" i="1"/>
  <c r="AG232" i="4"/>
  <c r="AJ232" i="4"/>
  <c r="AJ31" i="5"/>
  <c r="AL31" i="5" s="1"/>
  <c r="AH242" i="4"/>
  <c r="AG119" i="4"/>
  <c r="AG44" i="1"/>
  <c r="AH356" i="1"/>
  <c r="AH16" i="1"/>
  <c r="AG241" i="1"/>
  <c r="U13" i="51" s="1"/>
  <c r="U49" i="51" s="1"/>
  <c r="AG46" i="4"/>
  <c r="AG70" i="4" s="1"/>
  <c r="AH70" i="4"/>
  <c r="AH87" i="4" s="1"/>
  <c r="AH90" i="4" s="1"/>
  <c r="AH94" i="4" s="1"/>
  <c r="AG462" i="1"/>
  <c r="AG17" i="1"/>
  <c r="AG225" i="1"/>
  <c r="AH28" i="4"/>
  <c r="AG282" i="1"/>
  <c r="U18" i="51" s="1"/>
  <c r="U62" i="51" s="1"/>
  <c r="AG466" i="1"/>
  <c r="AG239" i="1"/>
  <c r="AG87" i="1"/>
  <c r="U33" i="8" s="1"/>
  <c r="AG351" i="1"/>
  <c r="AG79" i="5"/>
  <c r="AG88" i="5" s="1"/>
  <c r="AH221" i="1"/>
  <c r="AG382" i="1"/>
  <c r="AH188" i="4"/>
  <c r="AJ181" i="4" s="1"/>
  <c r="AJ188" i="4" s="1"/>
  <c r="AJ180" i="4" s="1"/>
  <c r="AJ189" i="4" s="1"/>
  <c r="AG51" i="5"/>
  <c r="AG64" i="5" s="1"/>
  <c r="AG246" i="1"/>
  <c r="AK251" i="1" s="1"/>
  <c r="AH302" i="1"/>
  <c r="AG323" i="1"/>
  <c r="U23" i="51" s="1"/>
  <c r="U77" i="51" s="1"/>
  <c r="AG327" i="1"/>
  <c r="AH363" i="1"/>
  <c r="AH170" i="4"/>
  <c r="AG42" i="1"/>
  <c r="AG297" i="1"/>
  <c r="AH62" i="4"/>
  <c r="AH64" i="4" s="1"/>
  <c r="AG126" i="4"/>
  <c r="AJ127" i="4" s="1"/>
  <c r="AG22" i="5"/>
  <c r="AG24" i="5" s="1"/>
  <c r="AG38" i="5" s="1"/>
  <c r="AG219" i="4"/>
  <c r="AG62" i="4"/>
  <c r="AG64" i="4" s="1"/>
  <c r="AG253" i="4"/>
  <c r="AG255" i="4" s="1"/>
  <c r="AG377" i="1"/>
  <c r="U28" i="51" s="1"/>
  <c r="U92" i="51" s="1"/>
  <c r="AH361" i="1"/>
  <c r="AG375" i="1"/>
  <c r="AG360" i="1"/>
  <c r="AH310" i="1"/>
  <c r="AG321" i="1"/>
  <c r="AG280" i="1"/>
  <c r="AG272" i="1"/>
  <c r="AG216" i="1"/>
  <c r="AK217" i="1" s="1"/>
  <c r="AH226" i="1"/>
  <c r="AH98" i="1"/>
  <c r="AG106" i="1"/>
  <c r="AH17" i="1" l="1"/>
  <c r="AI17" i="1" s="1"/>
  <c r="AL357" i="1"/>
  <c r="Z86" i="51" s="1"/>
  <c r="AL303" i="1"/>
  <c r="Z71" i="51" s="1"/>
  <c r="AH98" i="5"/>
  <c r="AG307" i="1"/>
  <c r="AK298" i="1"/>
  <c r="AL335" i="1"/>
  <c r="AL390" i="1"/>
  <c r="AK388" i="1"/>
  <c r="AL254" i="1"/>
  <c r="AH229" i="1"/>
  <c r="V12" i="51" s="1"/>
  <c r="V45" i="51" s="1"/>
  <c r="AL222" i="1"/>
  <c r="Z43" i="51" s="1"/>
  <c r="AK332" i="1"/>
  <c r="AK330" i="1"/>
  <c r="AG363" i="1"/>
  <c r="AK352" i="1"/>
  <c r="AG28" i="4"/>
  <c r="AH103" i="4"/>
  <c r="AH98" i="4"/>
  <c r="AG98" i="4" s="1"/>
  <c r="AG94" i="4"/>
  <c r="AG356" i="1"/>
  <c r="AG361" i="1"/>
  <c r="AG94" i="5"/>
  <c r="AG16" i="1"/>
  <c r="AG18" i="1" s="1"/>
  <c r="AG96" i="5"/>
  <c r="AG101" i="5" s="1"/>
  <c r="AH372" i="1"/>
  <c r="AH366" i="1"/>
  <c r="AH102" i="4"/>
  <c r="AH364" i="1"/>
  <c r="V27" i="51" s="1"/>
  <c r="V88" i="51" s="1"/>
  <c r="AG302" i="1"/>
  <c r="AG310" i="1"/>
  <c r="AH311" i="1"/>
  <c r="V22" i="51" s="1"/>
  <c r="V73" i="51" s="1"/>
  <c r="AH313" i="1"/>
  <c r="AG228" i="1"/>
  <c r="AG221" i="1"/>
  <c r="AG226" i="1"/>
  <c r="AH18" i="1" l="1"/>
  <c r="AH21" i="1"/>
  <c r="V22" i="8" s="1"/>
  <c r="AK222" i="1"/>
  <c r="Y43" i="51" s="1"/>
  <c r="AK303" i="1"/>
  <c r="Y71" i="51" s="1"/>
  <c r="AG366" i="1"/>
  <c r="AL257" i="1"/>
  <c r="AG364" i="1"/>
  <c r="U27" i="51" s="1"/>
  <c r="U88" i="51" s="1"/>
  <c r="AK357" i="1"/>
  <c r="Y86" i="51" s="1"/>
  <c r="AG372" i="1"/>
  <c r="AL391" i="1"/>
  <c r="AL336" i="1"/>
  <c r="AG97" i="5"/>
  <c r="AG98" i="5" s="1"/>
  <c r="AG313" i="1"/>
  <c r="AG311" i="1"/>
  <c r="U22" i="51" s="1"/>
  <c r="U73" i="51" s="1"/>
  <c r="AG318" i="1"/>
  <c r="AG339" i="1" s="1"/>
  <c r="AG231" i="1"/>
  <c r="AG236" i="1"/>
  <c r="AG258" i="1" s="1"/>
  <c r="AG229" i="1"/>
  <c r="U12" i="51" s="1"/>
  <c r="U45" i="51" s="1"/>
  <c r="D242" i="4" l="1"/>
  <c r="F242" i="4"/>
  <c r="H242" i="4"/>
  <c r="J242" i="4"/>
  <c r="L242" i="4"/>
  <c r="N242" i="4"/>
  <c r="P242" i="4"/>
  <c r="R242" i="4"/>
  <c r="CX64" i="8"/>
  <c r="CW64" i="8"/>
  <c r="CV64" i="8"/>
  <c r="CW40" i="8"/>
  <c r="CV40" i="8"/>
  <c r="BO37" i="8"/>
  <c r="BN37" i="8"/>
  <c r="BO36" i="8"/>
  <c r="BO35" i="8"/>
  <c r="BQ136" i="5"/>
  <c r="BP136" i="5"/>
  <c r="BM136" i="5"/>
  <c r="BL136" i="5"/>
  <c r="BI136" i="5"/>
  <c r="BH136" i="5"/>
  <c r="BE136" i="5"/>
  <c r="BD136" i="5"/>
  <c r="BA136" i="5"/>
  <c r="AZ136" i="5"/>
  <c r="AW136" i="5"/>
  <c r="AV136" i="5"/>
  <c r="AS136" i="5"/>
  <c r="AR136" i="5"/>
  <c r="M49" i="8"/>
  <c r="L49" i="8"/>
  <c r="K49" i="8"/>
  <c r="AA41" i="8"/>
  <c r="AA49" i="8" s="1"/>
  <c r="W41" i="8"/>
  <c r="W49" i="8" s="1"/>
  <c r="S41" i="8"/>
  <c r="S49" i="8" s="1"/>
  <c r="O41" i="8"/>
  <c r="O49" i="8" s="1"/>
  <c r="BE98" i="51" l="1"/>
  <c r="BD98" i="51"/>
  <c r="BA98" i="51"/>
  <c r="AZ98" i="51"/>
  <c r="AW98" i="51"/>
  <c r="AV98" i="51"/>
  <c r="AS98" i="51"/>
  <c r="AR98" i="51"/>
  <c r="AO98" i="51"/>
  <c r="AN98" i="51"/>
  <c r="AK98" i="51"/>
  <c r="AJ98" i="51"/>
  <c r="AG98" i="51"/>
  <c r="AF98" i="51"/>
  <c r="BE74" i="51"/>
  <c r="BD74" i="51"/>
  <c r="BA74" i="51"/>
  <c r="AZ74" i="51"/>
  <c r="AW74" i="51"/>
  <c r="AV74" i="51"/>
  <c r="AS74" i="51"/>
  <c r="AR74" i="51"/>
  <c r="AO74" i="51"/>
  <c r="AN74" i="51"/>
  <c r="AK74" i="51"/>
  <c r="AJ74" i="51"/>
  <c r="AG74" i="51"/>
  <c r="BE89" i="51"/>
  <c r="BD89" i="51"/>
  <c r="BA89" i="51"/>
  <c r="AZ89" i="51"/>
  <c r="AW89" i="51"/>
  <c r="AV89" i="51"/>
  <c r="AS89" i="51"/>
  <c r="AR89" i="51"/>
  <c r="AO89" i="51"/>
  <c r="AN89" i="51"/>
  <c r="AK89" i="51"/>
  <c r="AJ89" i="51"/>
  <c r="AG89" i="51"/>
  <c r="AF89" i="51"/>
  <c r="F77" i="61"/>
  <c r="F71" i="61"/>
  <c r="F105" i="51" l="1"/>
  <c r="E105" i="51"/>
  <c r="D105" i="51"/>
  <c r="F101" i="51"/>
  <c r="E101" i="51"/>
  <c r="D101" i="51"/>
  <c r="F86" i="51"/>
  <c r="E86" i="51"/>
  <c r="D86" i="51"/>
  <c r="F71" i="51"/>
  <c r="E71" i="51"/>
  <c r="D71" i="51"/>
  <c r="F26" i="51"/>
  <c r="F82" i="51" s="1"/>
  <c r="E26" i="51"/>
  <c r="E82" i="51" s="1"/>
  <c r="D26" i="51"/>
  <c r="D82" i="51" s="1"/>
  <c r="F21" i="51"/>
  <c r="F67" i="51" s="1"/>
  <c r="E21" i="51"/>
  <c r="E67" i="51" s="1"/>
  <c r="D21" i="51"/>
  <c r="D67" i="51" s="1"/>
  <c r="F18" i="51"/>
  <c r="F62" i="51" s="1"/>
  <c r="E18" i="51"/>
  <c r="E62" i="51" s="1"/>
  <c r="D18" i="51"/>
  <c r="D62" i="51" s="1"/>
  <c r="F17" i="51"/>
  <c r="F58" i="51" s="1"/>
  <c r="E17" i="51"/>
  <c r="E58" i="51" s="1"/>
  <c r="D17" i="51"/>
  <c r="D58" i="51" s="1"/>
  <c r="F16" i="51"/>
  <c r="F54" i="51" s="1"/>
  <c r="E16" i="51"/>
  <c r="E54" i="51" s="1"/>
  <c r="D16" i="51"/>
  <c r="D54" i="51" s="1"/>
  <c r="F9" i="51"/>
  <c r="F37" i="51" s="1"/>
  <c r="E9" i="51"/>
  <c r="E37" i="51" s="1"/>
  <c r="D9" i="51"/>
  <c r="D37" i="51" s="1"/>
  <c r="J105" i="51"/>
  <c r="I105" i="51"/>
  <c r="H105" i="51"/>
  <c r="J101" i="51"/>
  <c r="I101" i="51"/>
  <c r="H101" i="51"/>
  <c r="J86" i="51"/>
  <c r="I86" i="51"/>
  <c r="H86" i="51"/>
  <c r="J71" i="51"/>
  <c r="I71" i="51"/>
  <c r="H71" i="51"/>
  <c r="N105" i="51"/>
  <c r="M105" i="51"/>
  <c r="L105" i="51"/>
  <c r="N101" i="51"/>
  <c r="M101" i="51"/>
  <c r="L101" i="51"/>
  <c r="R105" i="51"/>
  <c r="R101" i="51"/>
  <c r="Q105" i="51"/>
  <c r="Q101" i="51"/>
  <c r="P105" i="51"/>
  <c r="P101" i="51"/>
  <c r="J9" i="51"/>
  <c r="J37" i="51" s="1"/>
  <c r="I9" i="51"/>
  <c r="I37" i="51" s="1"/>
  <c r="H9" i="51"/>
  <c r="H37" i="51" s="1"/>
  <c r="J26" i="51"/>
  <c r="J82" i="51" s="1"/>
  <c r="I26" i="51"/>
  <c r="I82" i="51" s="1"/>
  <c r="H26" i="51"/>
  <c r="H82" i="51" s="1"/>
  <c r="J21" i="51"/>
  <c r="J67" i="51" s="1"/>
  <c r="I21" i="51"/>
  <c r="I67" i="51" s="1"/>
  <c r="H21" i="51"/>
  <c r="H67" i="51" s="1"/>
  <c r="H18" i="51"/>
  <c r="H62" i="51" s="1"/>
  <c r="H17" i="51"/>
  <c r="H58" i="51" s="1"/>
  <c r="J16" i="51"/>
  <c r="J54" i="51" s="1"/>
  <c r="I16" i="51"/>
  <c r="I54" i="51" s="1"/>
  <c r="H16" i="51"/>
  <c r="H54" i="51" s="1"/>
  <c r="BE83" i="51" l="1"/>
  <c r="BD83" i="51"/>
  <c r="BA83" i="51"/>
  <c r="AZ83" i="51"/>
  <c r="AW83" i="51"/>
  <c r="AV83" i="51"/>
  <c r="AS83" i="51"/>
  <c r="AR83" i="51"/>
  <c r="AO83" i="51"/>
  <c r="AN83" i="51"/>
  <c r="AK83" i="51"/>
  <c r="AJ83" i="51"/>
  <c r="AG83" i="51"/>
  <c r="AF83" i="51"/>
  <c r="BE68" i="51"/>
  <c r="BD68" i="51"/>
  <c r="BA68" i="51"/>
  <c r="AZ68" i="51"/>
  <c r="AW68" i="51"/>
  <c r="AV68" i="51"/>
  <c r="AS68" i="51"/>
  <c r="AR68" i="51"/>
  <c r="AO68" i="51"/>
  <c r="AN68" i="51"/>
  <c r="AK68" i="51"/>
  <c r="AJ68" i="51"/>
  <c r="AG68" i="51"/>
  <c r="AF68" i="51"/>
  <c r="E74" i="61"/>
  <c r="D74" i="61"/>
  <c r="F74" i="61" s="1"/>
  <c r="BQ125" i="5"/>
  <c r="BP125" i="5"/>
  <c r="BM125" i="5"/>
  <c r="BL125" i="5"/>
  <c r="BI125" i="5"/>
  <c r="BH125" i="5"/>
  <c r="BE125" i="5"/>
  <c r="BD125" i="5"/>
  <c r="BA125" i="5"/>
  <c r="AZ125" i="5"/>
  <c r="AD354" i="1" l="1"/>
  <c r="Z354" i="1"/>
  <c r="AD300" i="1"/>
  <c r="Z300" i="1"/>
  <c r="T253" i="1"/>
  <c r="V253" i="1"/>
  <c r="Z253" i="1"/>
  <c r="T53" i="1"/>
  <c r="X53" i="1"/>
  <c r="V282" i="1"/>
  <c r="J18" i="51" s="1"/>
  <c r="J62" i="51" s="1"/>
  <c r="BR389" i="1"/>
  <c r="BQ389" i="1" s="1"/>
  <c r="BN389" i="1"/>
  <c r="BM389" i="1" s="1"/>
  <c r="BJ389" i="1"/>
  <c r="BI389" i="1" s="1"/>
  <c r="BF389" i="1"/>
  <c r="BE389" i="1" s="1"/>
  <c r="BB389" i="1"/>
  <c r="BA389" i="1" s="1"/>
  <c r="AX389" i="1"/>
  <c r="AW389" i="1" s="1"/>
  <c r="AT389" i="1"/>
  <c r="AS389" i="1" s="1"/>
  <c r="BQ381" i="1"/>
  <c r="BM381" i="1"/>
  <c r="BI381" i="1"/>
  <c r="BE381" i="1"/>
  <c r="BA381" i="1"/>
  <c r="AW381" i="1"/>
  <c r="AS381" i="1"/>
  <c r="AF382" i="1"/>
  <c r="BQ334" i="1"/>
  <c r="BM334" i="1"/>
  <c r="BI334" i="1"/>
  <c r="BE334" i="1"/>
  <c r="BA334" i="1"/>
  <c r="AW334" i="1"/>
  <c r="AS334" i="1"/>
  <c r="BQ326" i="1"/>
  <c r="BM326" i="1"/>
  <c r="BI326" i="1"/>
  <c r="BE326" i="1"/>
  <c r="BA326" i="1"/>
  <c r="AW326" i="1"/>
  <c r="AS326" i="1"/>
  <c r="BQ253" i="1"/>
  <c r="BM253" i="1"/>
  <c r="BI253" i="1"/>
  <c r="BE253" i="1"/>
  <c r="BA253" i="1"/>
  <c r="AW253" i="1"/>
  <c r="AS253" i="1"/>
  <c r="BQ245" i="1"/>
  <c r="BM245" i="1"/>
  <c r="BI245" i="1"/>
  <c r="BE245" i="1"/>
  <c r="BA245" i="1"/>
  <c r="AW245" i="1"/>
  <c r="AS245" i="1"/>
  <c r="AJ390" i="1" l="1"/>
  <c r="AF42" i="1"/>
  <c r="AD42" i="1"/>
  <c r="AB42" i="1"/>
  <c r="Z42" i="1"/>
  <c r="X42" i="1"/>
  <c r="V42" i="1"/>
  <c r="T42" i="1"/>
  <c r="R42" i="1"/>
  <c r="P42" i="1"/>
  <c r="N42" i="1"/>
  <c r="L42" i="1"/>
  <c r="J42" i="1"/>
  <c r="H42" i="1"/>
  <c r="F42" i="1"/>
  <c r="D42" i="1"/>
  <c r="AJ391" i="1" l="1"/>
  <c r="AK390" i="1"/>
  <c r="AK391" i="1" s="1"/>
  <c r="D5" i="61"/>
  <c r="E5" i="61" s="1"/>
  <c r="F5" i="61" s="1"/>
  <c r="G5" i="61" s="1"/>
  <c r="H5" i="61" s="1"/>
  <c r="J63" i="61"/>
  <c r="C63" i="61"/>
  <c r="D92" i="61"/>
  <c r="D95" i="61"/>
  <c r="D99" i="61" l="1"/>
  <c r="AB240" i="4"/>
  <c r="AB242" i="4" s="1"/>
  <c r="AD240" i="4"/>
  <c r="AD242" i="4" s="1"/>
  <c r="AF240" i="4"/>
  <c r="AF242" i="4" s="1"/>
  <c r="N212" i="1" l="1"/>
  <c r="L212" i="1"/>
  <c r="R212" i="1"/>
  <c r="F11" i="51" s="1"/>
  <c r="F39" i="51" s="1"/>
  <c r="P212" i="1"/>
  <c r="D11" i="51" s="1"/>
  <c r="D39" i="51" s="1"/>
  <c r="V212" i="1"/>
  <c r="J11" i="51" s="1"/>
  <c r="J39" i="51" s="1"/>
  <c r="T212" i="1"/>
  <c r="H11" i="51" s="1"/>
  <c r="H39" i="51" s="1"/>
  <c r="AT77" i="1"/>
  <c r="AU77" i="1" s="1"/>
  <c r="AQ77" i="1"/>
  <c r="BQ87" i="1"/>
  <c r="BP87" i="1"/>
  <c r="BM87" i="1"/>
  <c r="BL87" i="1"/>
  <c r="BI87" i="1"/>
  <c r="BH87" i="1"/>
  <c r="BE87" i="1"/>
  <c r="BD87" i="1"/>
  <c r="BA87" i="1"/>
  <c r="AO33" i="8" s="1"/>
  <c r="AZ87" i="1"/>
  <c r="AN33" i="8" s="1"/>
  <c r="AW87" i="1"/>
  <c r="AK33" i="8" s="1"/>
  <c r="AV87" i="1"/>
  <c r="AJ33" i="8" s="1"/>
  <c r="AS87" i="1"/>
  <c r="AG33" i="8" s="1"/>
  <c r="AR87" i="1"/>
  <c r="AF33" i="8" s="1"/>
  <c r="BR86" i="1"/>
  <c r="BS86" i="1" s="1"/>
  <c r="BN86" i="1"/>
  <c r="BO86" i="1" s="1"/>
  <c r="BJ86" i="1"/>
  <c r="BK86" i="1" s="1"/>
  <c r="BF86" i="1"/>
  <c r="BG86" i="1" s="1"/>
  <c r="BB86" i="1"/>
  <c r="BC86" i="1" s="1"/>
  <c r="AX86" i="1"/>
  <c r="AY86" i="1" s="1"/>
  <c r="AT86" i="1"/>
  <c r="AU86" i="1" s="1"/>
  <c r="AQ86" i="1"/>
  <c r="BR85" i="1"/>
  <c r="BS85" i="1" s="1"/>
  <c r="BN85" i="1"/>
  <c r="BO85" i="1" s="1"/>
  <c r="BJ85" i="1"/>
  <c r="BK85" i="1" s="1"/>
  <c r="BF85" i="1"/>
  <c r="BG85" i="1" s="1"/>
  <c r="BB85" i="1"/>
  <c r="BC85" i="1" s="1"/>
  <c r="AX85" i="1"/>
  <c r="AY85" i="1" s="1"/>
  <c r="AT85" i="1"/>
  <c r="AU85" i="1" s="1"/>
  <c r="AQ85" i="1"/>
  <c r="BR84" i="1"/>
  <c r="BS84" i="1" s="1"/>
  <c r="BN84" i="1"/>
  <c r="BO84" i="1" s="1"/>
  <c r="BJ84" i="1"/>
  <c r="BK84" i="1" s="1"/>
  <c r="BF84" i="1"/>
  <c r="BG84" i="1" s="1"/>
  <c r="BB84" i="1"/>
  <c r="BC84" i="1" s="1"/>
  <c r="AX84" i="1"/>
  <c r="AY84" i="1" s="1"/>
  <c r="AT84" i="1"/>
  <c r="AU84" i="1" s="1"/>
  <c r="AQ84" i="1"/>
  <c r="BR83" i="1"/>
  <c r="BS83" i="1" s="1"/>
  <c r="BN83" i="1"/>
  <c r="BO83" i="1" s="1"/>
  <c r="BJ83" i="1"/>
  <c r="BK83" i="1" s="1"/>
  <c r="BF83" i="1"/>
  <c r="BG83" i="1" s="1"/>
  <c r="BB83" i="1"/>
  <c r="BC83" i="1" s="1"/>
  <c r="AX83" i="1"/>
  <c r="AY83" i="1" s="1"/>
  <c r="AT83" i="1"/>
  <c r="AU83" i="1" s="1"/>
  <c r="AQ83" i="1"/>
  <c r="BR82" i="1"/>
  <c r="BS82" i="1" s="1"/>
  <c r="BN82" i="1"/>
  <c r="BO82" i="1" s="1"/>
  <c r="BJ82" i="1"/>
  <c r="BK82" i="1" s="1"/>
  <c r="BF82" i="1"/>
  <c r="BG82" i="1" s="1"/>
  <c r="BB82" i="1"/>
  <c r="BC82" i="1" s="1"/>
  <c r="AX82" i="1"/>
  <c r="AY82" i="1" s="1"/>
  <c r="AT82" i="1"/>
  <c r="AU82" i="1" s="1"/>
  <c r="AQ82" i="1"/>
  <c r="BR81" i="1"/>
  <c r="BS81" i="1" s="1"/>
  <c r="BN81" i="1"/>
  <c r="BO81" i="1" s="1"/>
  <c r="BJ81" i="1"/>
  <c r="BK81" i="1" s="1"/>
  <c r="BF81" i="1"/>
  <c r="BG81" i="1" s="1"/>
  <c r="BB81" i="1"/>
  <c r="BC81" i="1" s="1"/>
  <c r="AX81" i="1"/>
  <c r="AY81" i="1" s="1"/>
  <c r="AT81" i="1"/>
  <c r="AU81" i="1" s="1"/>
  <c r="AQ81" i="1"/>
  <c r="BR80" i="1"/>
  <c r="BS80" i="1" s="1"/>
  <c r="BN80" i="1"/>
  <c r="BO80" i="1" s="1"/>
  <c r="BJ80" i="1"/>
  <c r="BK80" i="1" s="1"/>
  <c r="BF80" i="1"/>
  <c r="BG80" i="1" s="1"/>
  <c r="BB80" i="1"/>
  <c r="BC80" i="1" s="1"/>
  <c r="AX80" i="1"/>
  <c r="AY80" i="1" s="1"/>
  <c r="AT80" i="1"/>
  <c r="AU80" i="1" s="1"/>
  <c r="AQ80" i="1"/>
  <c r="BR79" i="1"/>
  <c r="BS79" i="1" s="1"/>
  <c r="BN79" i="1"/>
  <c r="BO79" i="1" s="1"/>
  <c r="BJ79" i="1"/>
  <c r="BK79" i="1" s="1"/>
  <c r="BF79" i="1"/>
  <c r="BG79" i="1" s="1"/>
  <c r="BB79" i="1"/>
  <c r="BC79" i="1" s="1"/>
  <c r="AX79" i="1"/>
  <c r="AT79" i="1"/>
  <c r="AU79" i="1" s="1"/>
  <c r="AQ79" i="1"/>
  <c r="BR78" i="1"/>
  <c r="BS78" i="1" s="1"/>
  <c r="BN78" i="1"/>
  <c r="BO78" i="1" s="1"/>
  <c r="BJ78" i="1"/>
  <c r="BK78" i="1" s="1"/>
  <c r="BF78" i="1"/>
  <c r="BG78" i="1" s="1"/>
  <c r="BB78" i="1"/>
  <c r="BC78" i="1" s="1"/>
  <c r="AX78" i="1"/>
  <c r="AY78" i="1" s="1"/>
  <c r="AT78" i="1"/>
  <c r="AU78" i="1" s="1"/>
  <c r="AQ78" i="1"/>
  <c r="A78" i="1"/>
  <c r="A79" i="1"/>
  <c r="A80" i="1"/>
  <c r="A81" i="1"/>
  <c r="A82" i="1"/>
  <c r="A83" i="1"/>
  <c r="A84" i="1"/>
  <c r="A85" i="1"/>
  <c r="A86" i="1"/>
  <c r="A77" i="1"/>
  <c r="B468" i="1"/>
  <c r="C468" i="1"/>
  <c r="BF87" i="1" l="1"/>
  <c r="BB87" i="1"/>
  <c r="AP33" i="8" s="1"/>
  <c r="BR87" i="1"/>
  <c r="AX87" i="1"/>
  <c r="AL33" i="8" s="1"/>
  <c r="BJ87" i="1"/>
  <c r="BN87" i="1"/>
  <c r="AY79" i="1"/>
  <c r="AT87" i="1"/>
  <c r="AH33" i="8" s="1"/>
  <c r="AB131" i="5"/>
  <c r="Z131" i="5"/>
  <c r="X131" i="5"/>
  <c r="BQ142" i="5"/>
  <c r="BP142" i="5"/>
  <c r="BM142" i="5"/>
  <c r="BL142" i="5"/>
  <c r="BI142" i="5"/>
  <c r="BH142" i="5"/>
  <c r="BE142" i="5"/>
  <c r="BD142" i="5"/>
  <c r="BA142" i="5"/>
  <c r="AZ142" i="5"/>
  <c r="AW142" i="5"/>
  <c r="AV142" i="5"/>
  <c r="AS142" i="5"/>
  <c r="AR142" i="5"/>
  <c r="Z219" i="1"/>
  <c r="AD219" i="1"/>
  <c r="F360" i="1"/>
  <c r="D360" i="1"/>
  <c r="J360" i="1"/>
  <c r="H360" i="1"/>
  <c r="N360" i="1"/>
  <c r="L360" i="1"/>
  <c r="P360" i="1"/>
  <c r="R360" i="1"/>
  <c r="V360" i="1"/>
  <c r="T360" i="1"/>
  <c r="Z360" i="1"/>
  <c r="X360" i="1"/>
  <c r="AD360" i="1"/>
  <c r="AB360" i="1"/>
  <c r="AF360" i="1"/>
  <c r="T286" i="1"/>
  <c r="BE99" i="51"/>
  <c r="BD99" i="51"/>
  <c r="BA99" i="51"/>
  <c r="AZ99" i="51"/>
  <c r="AW99" i="51"/>
  <c r="AV99" i="51"/>
  <c r="AS99" i="51"/>
  <c r="AR99" i="51"/>
  <c r="AO99" i="51"/>
  <c r="AN99" i="51"/>
  <c r="AK99" i="51"/>
  <c r="AJ99" i="51"/>
  <c r="B97" i="51"/>
  <c r="B82" i="51"/>
  <c r="B67" i="51"/>
  <c r="B54" i="51"/>
  <c r="AQ87" i="1" l="1"/>
  <c r="AE33" i="8" s="1"/>
  <c r="BC87" i="1"/>
  <c r="AU87" i="1"/>
  <c r="AI33" i="8" s="1"/>
  <c r="BK87" i="1"/>
  <c r="BG87" i="1"/>
  <c r="AY87" i="1"/>
  <c r="AM33" i="8" s="1"/>
  <c r="BO87" i="1"/>
  <c r="BS87" i="1"/>
  <c r="R30" i="8"/>
  <c r="BF21" i="8"/>
  <c r="BE21" i="8"/>
  <c r="BD21" i="8"/>
  <c r="BB21" i="8"/>
  <c r="BA21" i="8"/>
  <c r="AZ21" i="8"/>
  <c r="AX21" i="8"/>
  <c r="AW21" i="8"/>
  <c r="AV21" i="8"/>
  <c r="AT21" i="8"/>
  <c r="AS21" i="8"/>
  <c r="AR21" i="8"/>
  <c r="AD21" i="8"/>
  <c r="AC21" i="8"/>
  <c r="AB21" i="8"/>
  <c r="Y21" i="8"/>
  <c r="X21" i="8"/>
  <c r="BF13" i="8"/>
  <c r="BE13" i="8"/>
  <c r="BD13" i="8"/>
  <c r="BB13" i="8"/>
  <c r="BA13" i="8"/>
  <c r="AZ13" i="8"/>
  <c r="AX13" i="8"/>
  <c r="AW13" i="8"/>
  <c r="AV13" i="8"/>
  <c r="AT13" i="8"/>
  <c r="AS13" i="8"/>
  <c r="AR13" i="8"/>
  <c r="AD13" i="8"/>
  <c r="AC13" i="8"/>
  <c r="AB13" i="8"/>
  <c r="Z13" i="8"/>
  <c r="Y13" i="8"/>
  <c r="X13" i="8"/>
  <c r="BF7" i="8"/>
  <c r="BE7" i="8"/>
  <c r="BD7" i="8"/>
  <c r="BB7" i="8"/>
  <c r="BA7" i="8"/>
  <c r="AZ7" i="8"/>
  <c r="AX7" i="8"/>
  <c r="AW7" i="8"/>
  <c r="AV7" i="8"/>
  <c r="AT7" i="8"/>
  <c r="AS7" i="8"/>
  <c r="AR7" i="8"/>
  <c r="AP7" i="8"/>
  <c r="AP41" i="8" s="1"/>
  <c r="AP49" i="8" s="1"/>
  <c r="AO7" i="8"/>
  <c r="AO41" i="8" s="1"/>
  <c r="AO49" i="8" s="1"/>
  <c r="AN7" i="8"/>
  <c r="AN41" i="8" s="1"/>
  <c r="AN49" i="8" s="1"/>
  <c r="AL7" i="8"/>
  <c r="AL41" i="8" s="1"/>
  <c r="AL49" i="8" s="1"/>
  <c r="AK7" i="8"/>
  <c r="AK41" i="8" s="1"/>
  <c r="AK49" i="8" s="1"/>
  <c r="AJ7" i="8"/>
  <c r="AJ41" i="8" s="1"/>
  <c r="AJ49" i="8" s="1"/>
  <c r="AH7" i="8"/>
  <c r="AH41" i="8" s="1"/>
  <c r="AG7" i="8"/>
  <c r="AG41" i="8" s="1"/>
  <c r="AF7" i="8"/>
  <c r="AF41" i="8" s="1"/>
  <c r="AD7" i="8"/>
  <c r="AD41" i="8" s="1"/>
  <c r="AC7" i="8"/>
  <c r="AC41" i="8" s="1"/>
  <c r="AB7" i="8"/>
  <c r="AB41" i="8" s="1"/>
  <c r="Z7" i="8"/>
  <c r="Z41" i="8" s="1"/>
  <c r="Y7" i="8"/>
  <c r="Y41" i="8" s="1"/>
  <c r="X7" i="8"/>
  <c r="X41" i="8" s="1"/>
  <c r="B42" i="8"/>
  <c r="B64" i="8"/>
  <c r="V21" i="8"/>
  <c r="U21" i="8"/>
  <c r="T21" i="8"/>
  <c r="R21" i="8"/>
  <c r="Q21" i="8"/>
  <c r="P21" i="8"/>
  <c r="R20" i="8"/>
  <c r="Q20" i="8"/>
  <c r="P20" i="8"/>
  <c r="N20" i="8"/>
  <c r="M20" i="8"/>
  <c r="L20" i="8"/>
  <c r="I20" i="8"/>
  <c r="H20" i="8"/>
  <c r="H17" i="8"/>
  <c r="F20" i="8"/>
  <c r="F17" i="8"/>
  <c r="E20" i="8"/>
  <c r="E17" i="8"/>
  <c r="D20" i="8"/>
  <c r="D17" i="8"/>
  <c r="J20" i="8"/>
  <c r="X49" i="8" l="1"/>
  <c r="AC49" i="8"/>
  <c r="AH49" i="8"/>
  <c r="AD49" i="8"/>
  <c r="Y49" i="8"/>
  <c r="Z49" i="8"/>
  <c r="AF49" i="8"/>
  <c r="AB49" i="8"/>
  <c r="AG49" i="8"/>
  <c r="E67" i="61" l="1"/>
  <c r="E37" i="61"/>
  <c r="D37" i="61"/>
  <c r="C37" i="61"/>
  <c r="L16" i="51"/>
  <c r="L54" i="51" s="1"/>
  <c r="N9" i="51"/>
  <c r="N37" i="51" s="1"/>
  <c r="M9" i="51"/>
  <c r="M37" i="51" s="1"/>
  <c r="L9" i="51"/>
  <c r="L37" i="51" s="1"/>
  <c r="BF9" i="51"/>
  <c r="BF37" i="51" s="1"/>
  <c r="BE9" i="51"/>
  <c r="BE37" i="51" s="1"/>
  <c r="BD9" i="51"/>
  <c r="BD37" i="51" s="1"/>
  <c r="BB9" i="51"/>
  <c r="BB37" i="51" s="1"/>
  <c r="BA9" i="51"/>
  <c r="BA37" i="51" s="1"/>
  <c r="AZ9" i="51"/>
  <c r="AZ37" i="51" s="1"/>
  <c r="AX9" i="51"/>
  <c r="AX37" i="51" s="1"/>
  <c r="AW9" i="51"/>
  <c r="AW37" i="51" s="1"/>
  <c r="AV9" i="51"/>
  <c r="AV37" i="51" s="1"/>
  <c r="AT9" i="51"/>
  <c r="AT37" i="51" s="1"/>
  <c r="AS9" i="51"/>
  <c r="AS37" i="51" s="1"/>
  <c r="AR9" i="51"/>
  <c r="AR37" i="51" s="1"/>
  <c r="AP9" i="51"/>
  <c r="AP37" i="51" s="1"/>
  <c r="AO9" i="51"/>
  <c r="AO37" i="51" s="1"/>
  <c r="AN9" i="51"/>
  <c r="AN37" i="51" s="1"/>
  <c r="AL9" i="51"/>
  <c r="AL37" i="51" s="1"/>
  <c r="AK9" i="51"/>
  <c r="AK37" i="51" s="1"/>
  <c r="AJ9" i="51"/>
  <c r="AJ37" i="51" s="1"/>
  <c r="AH9" i="51"/>
  <c r="AH37" i="51" s="1"/>
  <c r="AG9" i="51"/>
  <c r="AG37" i="51" s="1"/>
  <c r="AF9" i="51"/>
  <c r="AF37" i="51" s="1"/>
  <c r="AD9" i="51"/>
  <c r="AD37" i="51" s="1"/>
  <c r="AC9" i="51"/>
  <c r="AC37" i="51" s="1"/>
  <c r="AB9" i="51"/>
  <c r="AB37" i="51" s="1"/>
  <c r="Z9" i="51"/>
  <c r="Z37" i="51" s="1"/>
  <c r="Y9" i="51"/>
  <c r="Y37" i="51" s="1"/>
  <c r="X9" i="51"/>
  <c r="X37" i="51" s="1"/>
  <c r="V9" i="51"/>
  <c r="V37" i="51" s="1"/>
  <c r="U9" i="51"/>
  <c r="U37" i="51" s="1"/>
  <c r="T9" i="51"/>
  <c r="T37" i="51" s="1"/>
  <c r="R9" i="51"/>
  <c r="R37" i="51" s="1"/>
  <c r="Q9" i="51"/>
  <c r="Q37" i="51" s="1"/>
  <c r="P9" i="51"/>
  <c r="P37" i="51" s="1"/>
  <c r="BL33" i="8" l="1"/>
  <c r="Z306" i="1" l="1"/>
  <c r="X306" i="1"/>
  <c r="V306" i="1"/>
  <c r="T306" i="1"/>
  <c r="R306" i="1"/>
  <c r="P306" i="1"/>
  <c r="N306" i="1"/>
  <c r="L306" i="1"/>
  <c r="J306" i="1"/>
  <c r="H306" i="1"/>
  <c r="F306" i="1"/>
  <c r="D306" i="1"/>
  <c r="AD306" i="1"/>
  <c r="AB306" i="1"/>
  <c r="AF306" i="1"/>
  <c r="BU35" i="8" l="1"/>
  <c r="BS35" i="8"/>
  <c r="BQ35" i="8"/>
  <c r="BQ36" i="8"/>
  <c r="BS36" i="8"/>
  <c r="BU36" i="8"/>
  <c r="BP37" i="8"/>
  <c r="BR37" i="8"/>
  <c r="BS37" i="8"/>
  <c r="BT37" i="8"/>
  <c r="Y99" i="4"/>
  <c r="Y98" i="4"/>
  <c r="Y131" i="5" s="1"/>
  <c r="AC99" i="4"/>
  <c r="BQ37" i="8" l="1"/>
  <c r="AD75" i="4"/>
  <c r="AB75" i="4"/>
  <c r="Z75" i="4"/>
  <c r="X75" i="4"/>
  <c r="V75" i="4"/>
  <c r="T75" i="4"/>
  <c r="R75" i="4"/>
  <c r="P75" i="4"/>
  <c r="N75" i="4"/>
  <c r="L75" i="4"/>
  <c r="J75" i="4"/>
  <c r="H75" i="4"/>
  <c r="F75" i="4"/>
  <c r="D75" i="4"/>
  <c r="AF75" i="4"/>
  <c r="Z225" i="1" l="1"/>
  <c r="X225" i="1"/>
  <c r="V225" i="1"/>
  <c r="T225" i="1"/>
  <c r="R225" i="1"/>
  <c r="P225" i="1"/>
  <c r="N225" i="1"/>
  <c r="L225" i="1"/>
  <c r="J225" i="1"/>
  <c r="H225" i="1"/>
  <c r="F225" i="1"/>
  <c r="D225" i="1"/>
  <c r="AD225" i="1"/>
  <c r="AB225" i="1"/>
  <c r="AF225" i="1"/>
  <c r="T14" i="8"/>
  <c r="R14" i="8"/>
  <c r="P14" i="8"/>
  <c r="N14" i="8"/>
  <c r="L14" i="8"/>
  <c r="J14" i="8"/>
  <c r="H14" i="8"/>
  <c r="V13" i="8"/>
  <c r="U13" i="8"/>
  <c r="T13" i="8"/>
  <c r="R13" i="8"/>
  <c r="Q13" i="8"/>
  <c r="P13" i="8"/>
  <c r="N13" i="8"/>
  <c r="L13" i="8"/>
  <c r="J13" i="8"/>
  <c r="H13" i="8"/>
  <c r="R12" i="8"/>
  <c r="Q12" i="8"/>
  <c r="P12" i="8"/>
  <c r="N12" i="8"/>
  <c r="N46" i="8" s="1"/>
  <c r="M12" i="8"/>
  <c r="M46" i="8" s="1"/>
  <c r="L12" i="8"/>
  <c r="L46" i="8" s="1"/>
  <c r="J12" i="8"/>
  <c r="J46" i="8" s="1"/>
  <c r="I12" i="8"/>
  <c r="I46" i="8" s="1"/>
  <c r="H12" i="8"/>
  <c r="H46" i="8" s="1"/>
  <c r="T9" i="8"/>
  <c r="R9" i="8"/>
  <c r="P9" i="8"/>
  <c r="N9" i="8"/>
  <c r="L9" i="8"/>
  <c r="J9" i="8"/>
  <c r="H9" i="8"/>
  <c r="H43" i="8" s="1"/>
  <c r="F14" i="8"/>
  <c r="F13" i="8"/>
  <c r="F12" i="8"/>
  <c r="F46" i="8" s="1"/>
  <c r="E12" i="8"/>
  <c r="E46" i="8" s="1"/>
  <c r="F9" i="8"/>
  <c r="F43" i="8" s="1"/>
  <c r="E9" i="8"/>
  <c r="E43" i="8" s="1"/>
  <c r="L356" i="1"/>
  <c r="J356" i="1"/>
  <c r="H356" i="1"/>
  <c r="F356" i="1"/>
  <c r="D356" i="1"/>
  <c r="D13" i="8"/>
  <c r="CH64" i="8"/>
  <c r="CG64" i="8"/>
  <c r="CF64" i="8"/>
  <c r="CD64" i="8"/>
  <c r="CC64" i="8"/>
  <c r="CB64" i="8"/>
  <c r="BZ64" i="8"/>
  <c r="BY64" i="8"/>
  <c r="BX64" i="8"/>
  <c r="BV64" i="8"/>
  <c r="BU64" i="8"/>
  <c r="BT64" i="8"/>
  <c r="BR64" i="8"/>
  <c r="BQ64" i="8"/>
  <c r="BP64" i="8"/>
  <c r="BN64" i="8"/>
  <c r="BM64" i="8"/>
  <c r="BL64" i="8"/>
  <c r="BJ70" i="8"/>
  <c r="BJ69" i="8"/>
  <c r="BJ68" i="8"/>
  <c r="BJ67" i="8"/>
  <c r="BJ66" i="8"/>
  <c r="BJ65" i="8"/>
  <c r="BJ64" i="8"/>
  <c r="BJ62" i="8"/>
  <c r="BJ61" i="8"/>
  <c r="BJ60" i="8"/>
  <c r="BJ59" i="8"/>
  <c r="BJ58" i="8"/>
  <c r="BJ57" i="8"/>
  <c r="BJ56" i="8"/>
  <c r="BJ54" i="8"/>
  <c r="BJ52" i="8"/>
  <c r="BJ51" i="8"/>
  <c r="BJ50" i="8"/>
  <c r="BJ49" i="8"/>
  <c r="BJ47" i="8"/>
  <c r="BJ45" i="8"/>
  <c r="BJ44" i="8"/>
  <c r="BJ43" i="8"/>
  <c r="AH443" i="1"/>
  <c r="AH444" i="1"/>
  <c r="D12" i="8"/>
  <c r="D46" i="8" s="1"/>
  <c r="P46" i="8" l="1"/>
  <c r="Q46" i="8"/>
  <c r="R46" i="8"/>
  <c r="AF16" i="1"/>
  <c r="BV22" i="8"/>
  <c r="BU22" i="8"/>
  <c r="BT22" i="8"/>
  <c r="BR22" i="8"/>
  <c r="BQ22" i="8"/>
  <c r="BP22" i="8"/>
  <c r="BN22" i="8"/>
  <c r="BM22" i="8"/>
  <c r="BL22" i="8"/>
  <c r="BV21" i="8"/>
  <c r="BU21" i="8"/>
  <c r="BT21" i="8"/>
  <c r="BR21" i="8"/>
  <c r="BQ21" i="8"/>
  <c r="BP21" i="8"/>
  <c r="BN21" i="8"/>
  <c r="BM21" i="8"/>
  <c r="BL21" i="8"/>
  <c r="BV20" i="8"/>
  <c r="BT20" i="8"/>
  <c r="BR20" i="8"/>
  <c r="BP20" i="8"/>
  <c r="BN20" i="8"/>
  <c r="BL20" i="8"/>
  <c r="CW17" i="8"/>
  <c r="CV17" i="8"/>
  <c r="AF18" i="1" l="1"/>
  <c r="AI18" i="1" s="1"/>
  <c r="AI16" i="1"/>
  <c r="AD170" i="1"/>
  <c r="AC170" i="1"/>
  <c r="AB170" i="1"/>
  <c r="Z170" i="1"/>
  <c r="Y170" i="1"/>
  <c r="X170" i="1"/>
  <c r="V170" i="1"/>
  <c r="U170" i="1"/>
  <c r="T170" i="1"/>
  <c r="R170" i="1"/>
  <c r="Q170" i="1"/>
  <c r="P170" i="1"/>
  <c r="N170" i="1"/>
  <c r="M170" i="1"/>
  <c r="L170" i="1"/>
  <c r="J170" i="1"/>
  <c r="I170" i="1"/>
  <c r="H170" i="1"/>
  <c r="AF184" i="4"/>
  <c r="AR184" i="4"/>
  <c r="AS184" i="4"/>
  <c r="AV184" i="4"/>
  <c r="AW184" i="4"/>
  <c r="AZ184" i="4"/>
  <c r="BA184" i="4"/>
  <c r="BD184" i="4"/>
  <c r="BE184" i="4"/>
  <c r="BH184" i="4"/>
  <c r="BI184" i="4"/>
  <c r="BL184" i="4"/>
  <c r="BM184" i="4"/>
  <c r="BP184" i="4"/>
  <c r="BQ184" i="4"/>
  <c r="E153" i="4"/>
  <c r="I153" i="4"/>
  <c r="M153" i="4"/>
  <c r="Q153" i="4"/>
  <c r="U153" i="4"/>
  <c r="Y153" i="4"/>
  <c r="AC153" i="4"/>
  <c r="CX7" i="8"/>
  <c r="CW7" i="8"/>
  <c r="CV7" i="8"/>
  <c r="CT7" i="8"/>
  <c r="CS7" i="8"/>
  <c r="CR7" i="8"/>
  <c r="CP7" i="8"/>
  <c r="CO7" i="8"/>
  <c r="CN7" i="8"/>
  <c r="CL7" i="8"/>
  <c r="CK7" i="8"/>
  <c r="CJ7" i="8"/>
  <c r="CH7" i="8"/>
  <c r="CG7" i="8"/>
  <c r="CF7" i="8"/>
  <c r="AC75" i="4" l="1"/>
  <c r="M75" i="4"/>
  <c r="Y75" i="4"/>
  <c r="I75" i="4"/>
  <c r="U75" i="4"/>
  <c r="Q75" i="4"/>
  <c r="E75" i="4"/>
  <c r="AF198" i="4"/>
  <c r="AF213" i="4"/>
  <c r="B72" i="8" l="1"/>
  <c r="B70" i="8"/>
  <c r="B69" i="8"/>
  <c r="B68" i="8"/>
  <c r="B67" i="8"/>
  <c r="B66" i="8"/>
  <c r="B63" i="8"/>
  <c r="B62" i="8"/>
  <c r="B61" i="8"/>
  <c r="B60" i="8"/>
  <c r="B59" i="8"/>
  <c r="B58" i="8"/>
  <c r="B56" i="8"/>
  <c r="B55" i="8"/>
  <c r="B53" i="8"/>
  <c r="B52" i="8"/>
  <c r="B51" i="8"/>
  <c r="B50" i="8"/>
  <c r="I39" i="8"/>
  <c r="H39" i="8"/>
  <c r="H30" i="8"/>
  <c r="E39" i="8"/>
  <c r="F30" i="8"/>
  <c r="D30" i="8"/>
  <c r="D14" i="8"/>
  <c r="D9" i="8"/>
  <c r="D43" i="8" s="1"/>
  <c r="F7" i="8"/>
  <c r="E7" i="8"/>
  <c r="D7" i="8"/>
  <c r="I74" i="8" l="1"/>
  <c r="H55" i="8"/>
  <c r="BE94" i="51" l="1"/>
  <c r="BD94" i="51"/>
  <c r="BA94" i="51"/>
  <c r="AZ94" i="51"/>
  <c r="AW94" i="51"/>
  <c r="AV94" i="51"/>
  <c r="AS94" i="51"/>
  <c r="AR94" i="51"/>
  <c r="AO94" i="51"/>
  <c r="AN94" i="51"/>
  <c r="AJ94" i="51"/>
  <c r="AG94" i="51"/>
  <c r="AF94" i="51"/>
  <c r="BE93" i="51"/>
  <c r="BD93" i="51"/>
  <c r="BA93" i="51"/>
  <c r="AZ93" i="51"/>
  <c r="AW93" i="51"/>
  <c r="AV93" i="51"/>
  <c r="AS93" i="51"/>
  <c r="AR93" i="51"/>
  <c r="AO93" i="51"/>
  <c r="AN93" i="51"/>
  <c r="AJ93" i="51"/>
  <c r="AG93" i="51"/>
  <c r="AF93" i="51"/>
  <c r="B92" i="51"/>
  <c r="BE90" i="51"/>
  <c r="BD90" i="51"/>
  <c r="BA90" i="51"/>
  <c r="AZ90" i="51"/>
  <c r="AW90" i="51"/>
  <c r="AV90" i="51"/>
  <c r="AS90" i="51"/>
  <c r="AR90" i="51"/>
  <c r="AO90" i="51"/>
  <c r="AN90" i="51"/>
  <c r="AK90" i="51"/>
  <c r="AJ90" i="51"/>
  <c r="AG90" i="51"/>
  <c r="AF90" i="51"/>
  <c r="B88" i="51"/>
  <c r="BE84" i="51"/>
  <c r="BD84" i="51"/>
  <c r="BA84" i="51"/>
  <c r="AZ84" i="51"/>
  <c r="AW84" i="51"/>
  <c r="AV84" i="51"/>
  <c r="AS84" i="51"/>
  <c r="AR84" i="51"/>
  <c r="AO84" i="51"/>
  <c r="AN84" i="51"/>
  <c r="AK84" i="51"/>
  <c r="AJ84" i="51"/>
  <c r="AG84" i="51"/>
  <c r="AF84" i="51"/>
  <c r="BX22" i="8" l="1"/>
  <c r="BX21" i="8"/>
  <c r="T39" i="8"/>
  <c r="T30" i="8"/>
  <c r="Q39" i="8"/>
  <c r="P39" i="8"/>
  <c r="P30" i="8"/>
  <c r="M39" i="8"/>
  <c r="M74" i="8" s="1"/>
  <c r="L39" i="8"/>
  <c r="L74" i="8" s="1"/>
  <c r="N30" i="8"/>
  <c r="L30" i="8"/>
  <c r="L55" i="8"/>
  <c r="J30" i="8"/>
  <c r="J55" i="8"/>
  <c r="N51" i="8" l="1"/>
  <c r="N55" i="8"/>
  <c r="Q74" i="8"/>
  <c r="P51" i="8"/>
  <c r="T51" i="8"/>
  <c r="T55" i="8"/>
  <c r="R51" i="8"/>
  <c r="P55" i="8"/>
  <c r="R55" i="8"/>
  <c r="P74" i="8"/>
  <c r="T74" i="8"/>
  <c r="AR464" i="1" l="1"/>
  <c r="AS464" i="1" l="1"/>
  <c r="AV464" i="1" s="1"/>
  <c r="AW464" i="1" l="1"/>
  <c r="AT464" i="1"/>
  <c r="AZ464" i="1" l="1"/>
  <c r="AX464" i="1"/>
  <c r="BA464" i="1" l="1"/>
  <c r="BD464" i="1" l="1"/>
  <c r="BB464" i="1"/>
  <c r="BE464" i="1" l="1"/>
  <c r="BF464" i="1" s="1"/>
  <c r="BH464" i="1" l="1"/>
  <c r="AB17" i="1"/>
  <c r="BI464" i="1" l="1"/>
  <c r="BJ464" i="1" s="1"/>
  <c r="BL464" i="1" l="1"/>
  <c r="E373" i="1"/>
  <c r="I373" i="1"/>
  <c r="M373" i="1"/>
  <c r="Q373" i="1"/>
  <c r="U373" i="1"/>
  <c r="Y373" i="1"/>
  <c r="AC373" i="1"/>
  <c r="D375" i="1"/>
  <c r="F375" i="1"/>
  <c r="H375" i="1"/>
  <c r="J375" i="1"/>
  <c r="L375" i="1"/>
  <c r="N375" i="1"/>
  <c r="P375" i="1"/>
  <c r="R375" i="1"/>
  <c r="T375" i="1"/>
  <c r="V375" i="1"/>
  <c r="X375" i="1"/>
  <c r="Z375" i="1"/>
  <c r="AB375" i="1"/>
  <c r="AD375" i="1"/>
  <c r="AF375" i="1"/>
  <c r="D361" i="1"/>
  <c r="F361" i="1"/>
  <c r="H361" i="1"/>
  <c r="J361" i="1"/>
  <c r="L361" i="1"/>
  <c r="D363" i="1"/>
  <c r="F363" i="1"/>
  <c r="H363" i="1"/>
  <c r="J363" i="1"/>
  <c r="L363" i="1"/>
  <c r="J366" i="1" l="1"/>
  <c r="H366" i="1"/>
  <c r="F366" i="1"/>
  <c r="L366" i="1"/>
  <c r="D366" i="1"/>
  <c r="BM464" i="1"/>
  <c r="BN464" i="1" s="1"/>
  <c r="L372" i="1"/>
  <c r="F372" i="1"/>
  <c r="F395" i="1" s="1"/>
  <c r="J372" i="1"/>
  <c r="H372" i="1"/>
  <c r="D372" i="1"/>
  <c r="D395" i="1" s="1"/>
  <c r="L395" i="1" l="1"/>
  <c r="L394" i="1"/>
  <c r="H395" i="1"/>
  <c r="H394" i="1"/>
  <c r="J395" i="1"/>
  <c r="J394" i="1"/>
  <c r="BP464" i="1"/>
  <c r="BQ464" i="1" l="1"/>
  <c r="BT464" i="1" s="1"/>
  <c r="AW125" i="5"/>
  <c r="AV125" i="5"/>
  <c r="AS125" i="5"/>
  <c r="AR125" i="5"/>
  <c r="G90" i="5"/>
  <c r="AF58" i="5"/>
  <c r="AH58" i="5" s="1"/>
  <c r="X58" i="5"/>
  <c r="T58" i="5"/>
  <c r="P58" i="5"/>
  <c r="AB58" i="5"/>
  <c r="AD55" i="5"/>
  <c r="BU464" i="1" l="1"/>
  <c r="BX464" i="1" s="1"/>
  <c r="BR464" i="1"/>
  <c r="AF86" i="5"/>
  <c r="X86" i="5"/>
  <c r="T86" i="5"/>
  <c r="P86" i="5"/>
  <c r="L86" i="5"/>
  <c r="H86" i="5"/>
  <c r="D86" i="5"/>
  <c r="AB86" i="5"/>
  <c r="BV464" i="1" l="1"/>
  <c r="BY464" i="1"/>
  <c r="BZ464" i="1" s="1"/>
  <c r="AH86" i="5"/>
  <c r="AR86" i="5" l="1"/>
  <c r="AS86" i="5" l="1"/>
  <c r="AV86" i="5" s="1"/>
  <c r="AT86" i="5" l="1"/>
  <c r="AW86" i="5"/>
  <c r="AZ86" i="5" s="1"/>
  <c r="BA86" i="5" l="1"/>
  <c r="BD86" i="5" s="1"/>
  <c r="AX86" i="5"/>
  <c r="BE86" i="5" l="1"/>
  <c r="BH86" i="5" s="1"/>
  <c r="BB86" i="5"/>
  <c r="BF86" i="5" l="1"/>
  <c r="BI86" i="5"/>
  <c r="BL86" i="5" s="1"/>
  <c r="BJ86" i="5" l="1"/>
  <c r="BM86" i="5"/>
  <c r="BP86" i="5" s="1"/>
  <c r="BQ86" i="5" l="1"/>
  <c r="BT86" i="5" s="1"/>
  <c r="BN86" i="5"/>
  <c r="BU86" i="5" l="1"/>
  <c r="BX86" i="5" s="1"/>
  <c r="BY86" i="5" s="1"/>
  <c r="BZ86" i="5" s="1"/>
  <c r="BV86" i="5"/>
  <c r="BR86" i="5"/>
  <c r="BQ187" i="4"/>
  <c r="BP187" i="4"/>
  <c r="BM187" i="4"/>
  <c r="BL187" i="4"/>
  <c r="BI187" i="4"/>
  <c r="BH187" i="4"/>
  <c r="BE187" i="4"/>
  <c r="BD187" i="4"/>
  <c r="BA187" i="4"/>
  <c r="AZ187" i="4"/>
  <c r="AW187" i="4"/>
  <c r="AV187" i="4"/>
  <c r="AS187" i="4"/>
  <c r="AR187" i="4"/>
  <c r="BQ186" i="4"/>
  <c r="BP186" i="4"/>
  <c r="BM186" i="4"/>
  <c r="BL186" i="4"/>
  <c r="BI186" i="4"/>
  <c r="BH186" i="4"/>
  <c r="BE186" i="4"/>
  <c r="BD186" i="4"/>
  <c r="BA186" i="4"/>
  <c r="AZ186" i="4"/>
  <c r="AW186" i="4"/>
  <c r="AV186" i="4"/>
  <c r="AS186" i="4"/>
  <c r="AR186" i="4"/>
  <c r="BQ185" i="4"/>
  <c r="BP185" i="4"/>
  <c r="BM185" i="4"/>
  <c r="BL185" i="4"/>
  <c r="BI185" i="4"/>
  <c r="BH185" i="4"/>
  <c r="BE185" i="4"/>
  <c r="BD185" i="4"/>
  <c r="BA185" i="4"/>
  <c r="AZ185" i="4"/>
  <c r="AW185" i="4"/>
  <c r="AV185" i="4"/>
  <c r="AS185" i="4"/>
  <c r="AR185" i="4"/>
  <c r="BQ183" i="4"/>
  <c r="BP183" i="4"/>
  <c r="BM183" i="4"/>
  <c r="BL183" i="4"/>
  <c r="BI183" i="4"/>
  <c r="BH183" i="4"/>
  <c r="BE183" i="4"/>
  <c r="BD183" i="4"/>
  <c r="BA183" i="4"/>
  <c r="AZ183" i="4"/>
  <c r="AW183" i="4"/>
  <c r="AV183" i="4"/>
  <c r="AS183" i="4"/>
  <c r="AR183" i="4"/>
  <c r="BQ175" i="4"/>
  <c r="BP175" i="4"/>
  <c r="BM175" i="4"/>
  <c r="BL175" i="4"/>
  <c r="BI175" i="4"/>
  <c r="BH175" i="4"/>
  <c r="BE175" i="4"/>
  <c r="BD175" i="4"/>
  <c r="BA175" i="4"/>
  <c r="AZ175" i="4"/>
  <c r="AW175" i="4"/>
  <c r="AV175" i="4"/>
  <c r="AS175" i="4"/>
  <c r="AR175" i="4"/>
  <c r="BQ174" i="4"/>
  <c r="BP174" i="4"/>
  <c r="BM174" i="4"/>
  <c r="BL174" i="4"/>
  <c r="BI174" i="4"/>
  <c r="BH174" i="4"/>
  <c r="BE174" i="4"/>
  <c r="BD174" i="4"/>
  <c r="BA174" i="4"/>
  <c r="AZ174" i="4"/>
  <c r="AW174" i="4"/>
  <c r="AV174" i="4"/>
  <c r="AS174" i="4"/>
  <c r="AR174" i="4"/>
  <c r="BQ173" i="4"/>
  <c r="BP173" i="4"/>
  <c r="BM173" i="4"/>
  <c r="BL173" i="4"/>
  <c r="BI173" i="4"/>
  <c r="BH173" i="4"/>
  <c r="BE173" i="4"/>
  <c r="BD173" i="4"/>
  <c r="BA173" i="4"/>
  <c r="AZ173" i="4"/>
  <c r="AW173" i="4"/>
  <c r="AV173" i="4"/>
  <c r="AS173" i="4"/>
  <c r="AR173" i="4"/>
  <c r="BQ171" i="4"/>
  <c r="BP171" i="4"/>
  <c r="BM171" i="4"/>
  <c r="BL171" i="4"/>
  <c r="BI171" i="4"/>
  <c r="BH171" i="4"/>
  <c r="BE171" i="4"/>
  <c r="BD171" i="4"/>
  <c r="BA171" i="4"/>
  <c r="AZ171" i="4"/>
  <c r="AW171" i="4"/>
  <c r="AV171" i="4"/>
  <c r="AS171" i="4"/>
  <c r="AR171" i="4"/>
  <c r="AF183" i="4"/>
  <c r="AF171" i="4"/>
  <c r="AF174" i="4"/>
  <c r="AF173" i="4"/>
  <c r="AF187" i="4"/>
  <c r="AF186" i="4"/>
  <c r="AF185" i="4"/>
  <c r="BR102" i="5"/>
  <c r="BN102" i="5"/>
  <c r="BJ102" i="5"/>
  <c r="BF102" i="5"/>
  <c r="BB102" i="5"/>
  <c r="AX102" i="5"/>
  <c r="AT102" i="5"/>
  <c r="BR239" i="4"/>
  <c r="BN239" i="4"/>
  <c r="BJ239" i="4"/>
  <c r="BF239" i="4"/>
  <c r="BB239" i="4"/>
  <c r="AX239" i="4"/>
  <c r="AT239" i="4"/>
  <c r="BD161" i="4" l="1"/>
  <c r="BM159" i="4"/>
  <c r="BE161" i="4"/>
  <c r="BL159" i="4"/>
  <c r="BA162" i="4"/>
  <c r="BQ163" i="4"/>
  <c r="BI161" i="4"/>
  <c r="BA159" i="4"/>
  <c r="BL161" i="4"/>
  <c r="BE159" i="4"/>
  <c r="BE162" i="4"/>
  <c r="BE163" i="4"/>
  <c r="AV163" i="4"/>
  <c r="BI159" i="4"/>
  <c r="AS162" i="4"/>
  <c r="BI163" i="4"/>
  <c r="AF161" i="4"/>
  <c r="AG161" i="4" s="1"/>
  <c r="BD162" i="4"/>
  <c r="BD163" i="4"/>
  <c r="BA163" i="4"/>
  <c r="BI162" i="4"/>
  <c r="BQ159" i="4"/>
  <c r="BQ161" i="4"/>
  <c r="AV161" i="4"/>
  <c r="BL162" i="4"/>
  <c r="AV159" i="4"/>
  <c r="AF162" i="4"/>
  <c r="AG162" i="4" s="1"/>
  <c r="AS159" i="4"/>
  <c r="BH159" i="4"/>
  <c r="AZ161" i="4"/>
  <c r="AR162" i="4"/>
  <c r="BP162" i="4"/>
  <c r="BH163" i="4"/>
  <c r="BH161" i="4"/>
  <c r="AZ162" i="4"/>
  <c r="AR163" i="4"/>
  <c r="BP163" i="4"/>
  <c r="AS161" i="4"/>
  <c r="BD159" i="4"/>
  <c r="BA161" i="4"/>
  <c r="BQ162" i="4"/>
  <c r="AS163" i="4"/>
  <c r="AV162" i="4"/>
  <c r="BL163" i="4"/>
  <c r="AF159" i="4"/>
  <c r="AG159" i="4" s="1"/>
  <c r="AW162" i="4"/>
  <c r="BM163" i="4"/>
  <c r="AW159" i="4"/>
  <c r="BM161" i="4"/>
  <c r="AW163" i="4"/>
  <c r="AW161" i="4"/>
  <c r="BM162" i="4"/>
  <c r="AZ159" i="4"/>
  <c r="AR161" i="4"/>
  <c r="BP161" i="4"/>
  <c r="BH162" i="4"/>
  <c r="AZ163" i="4"/>
  <c r="AR159" i="4"/>
  <c r="BP159" i="4"/>
  <c r="BF161" i="4" l="1"/>
  <c r="BN159" i="4"/>
  <c r="BR163" i="4"/>
  <c r="BB162" i="4"/>
  <c r="BJ161" i="4"/>
  <c r="BB159" i="4"/>
  <c r="AX161" i="4"/>
  <c r="AT162" i="4"/>
  <c r="BF159" i="4"/>
  <c r="BN161" i="4"/>
  <c r="BF163" i="4"/>
  <c r="BJ163" i="4"/>
  <c r="AX163" i="4"/>
  <c r="BR162" i="4"/>
  <c r="BF162" i="4"/>
  <c r="BB161" i="4"/>
  <c r="BB163" i="4"/>
  <c r="BJ159" i="4"/>
  <c r="BN163" i="4"/>
  <c r="AT163" i="4"/>
  <c r="BR159" i="4"/>
  <c r="BJ162" i="4"/>
  <c r="AX159" i="4"/>
  <c r="BN162" i="4"/>
  <c r="AT159" i="4"/>
  <c r="BR161" i="4"/>
  <c r="AT161" i="4"/>
  <c r="AX162" i="4"/>
  <c r="D96" i="1"/>
  <c r="H96" i="1"/>
  <c r="L96" i="1"/>
  <c r="D110" i="1"/>
  <c r="J110" i="1"/>
  <c r="H110" i="1"/>
  <c r="J107" i="1"/>
  <c r="H107" i="1"/>
  <c r="N110" i="1"/>
  <c r="L110" i="1"/>
  <c r="N107" i="1"/>
  <c r="L107" i="1"/>
  <c r="R110" i="1"/>
  <c r="P110" i="1"/>
  <c r="R107" i="1"/>
  <c r="P107" i="1"/>
  <c r="V110" i="1"/>
  <c r="T110" i="1"/>
  <c r="V107" i="1"/>
  <c r="T107" i="1"/>
  <c r="X110" i="1"/>
  <c r="X107" i="1"/>
  <c r="AF110" i="1"/>
  <c r="AF107" i="1"/>
  <c r="AD110" i="1"/>
  <c r="AD107" i="1"/>
  <c r="AB110" i="1"/>
  <c r="AB107" i="1"/>
  <c r="Z110" i="1"/>
  <c r="Z107" i="1"/>
  <c r="BR139" i="1"/>
  <c r="BN139" i="1"/>
  <c r="BJ139" i="1"/>
  <c r="BF139" i="1"/>
  <c r="BB139" i="1"/>
  <c r="AX139" i="1"/>
  <c r="AT139" i="1"/>
  <c r="V115" i="1"/>
  <c r="T115" i="1"/>
  <c r="N115" i="1"/>
  <c r="L115" i="1"/>
  <c r="J115" i="1"/>
  <c r="H115" i="1"/>
  <c r="F115" i="1"/>
  <c r="D115" i="1"/>
  <c r="Z115" i="1"/>
  <c r="X115" i="1"/>
  <c r="AB115" i="1"/>
  <c r="Q138" i="1"/>
  <c r="U138" i="1"/>
  <c r="Y138" i="1"/>
  <c r="Y137" i="1"/>
  <c r="Y110" i="1" s="1"/>
  <c r="U137" i="1"/>
  <c r="U110" i="1" s="1"/>
  <c r="Q137" i="1"/>
  <c r="Q110" i="1" s="1"/>
  <c r="I137" i="1"/>
  <c r="I110" i="1" s="1"/>
  <c r="M137" i="1"/>
  <c r="M110" i="1" s="1"/>
  <c r="AC138" i="1"/>
  <c r="AC137" i="1"/>
  <c r="AC110" i="1" s="1"/>
  <c r="AD115" i="1"/>
  <c r="AF115" i="1"/>
  <c r="AC120" i="1"/>
  <c r="AC107" i="1" s="1"/>
  <c r="Y120" i="1"/>
  <c r="Y107" i="1" s="1"/>
  <c r="U120" i="1"/>
  <c r="U107" i="1" s="1"/>
  <c r="Q120" i="1"/>
  <c r="Q107" i="1" s="1"/>
  <c r="M120" i="1"/>
  <c r="M107" i="1" s="1"/>
  <c r="I120" i="1"/>
  <c r="I107" i="1" s="1"/>
  <c r="F120" i="1"/>
  <c r="F107" i="1" s="1"/>
  <c r="D120" i="1"/>
  <c r="D107" i="1" s="1"/>
  <c r="AC119" i="1"/>
  <c r="AC115" i="1" s="1"/>
  <c r="Y119" i="1"/>
  <c r="Y115" i="1" s="1"/>
  <c r="U119" i="1"/>
  <c r="U115" i="1" s="1"/>
  <c r="R119" i="1"/>
  <c r="R115" i="1" s="1"/>
  <c r="P119" i="1"/>
  <c r="P115" i="1" s="1"/>
  <c r="M119" i="1"/>
  <c r="M115" i="1" s="1"/>
  <c r="I119" i="1"/>
  <c r="I115" i="1" s="1"/>
  <c r="E119" i="1"/>
  <c r="E115" i="1" s="1"/>
  <c r="AF118" i="1"/>
  <c r="AH118" i="1" s="1"/>
  <c r="AH121" i="1" s="1"/>
  <c r="AB118" i="1"/>
  <c r="AB121" i="1" s="1"/>
  <c r="X118" i="1"/>
  <c r="Z118" i="1" s="1"/>
  <c r="Z121" i="1" s="1"/>
  <c r="Z122" i="1" s="1"/>
  <c r="T118" i="1"/>
  <c r="V118" i="1" s="1"/>
  <c r="V121" i="1" s="1"/>
  <c r="V122" i="1" s="1"/>
  <c r="P118" i="1"/>
  <c r="R118" i="1" s="1"/>
  <c r="L118" i="1"/>
  <c r="N118" i="1" s="1"/>
  <c r="N121" i="1" s="1"/>
  <c r="N122" i="1" s="1"/>
  <c r="H118" i="1"/>
  <c r="J118" i="1" s="1"/>
  <c r="J121" i="1" s="1"/>
  <c r="J122" i="1" s="1"/>
  <c r="F118" i="1"/>
  <c r="AC117" i="1"/>
  <c r="Y117" i="1"/>
  <c r="U117" i="1"/>
  <c r="Q117" i="1"/>
  <c r="M117" i="1"/>
  <c r="I117" i="1"/>
  <c r="E117" i="1"/>
  <c r="X239" i="4"/>
  <c r="V239" i="4"/>
  <c r="Y238" i="4"/>
  <c r="AA238" i="4" s="1"/>
  <c r="Z239" i="4"/>
  <c r="T239" i="4"/>
  <c r="T238" i="4"/>
  <c r="U238" i="4" s="1"/>
  <c r="W238" i="4" s="1"/>
  <c r="U236" i="4"/>
  <c r="Y236" i="4"/>
  <c r="X236" i="4"/>
  <c r="M105" i="1" l="1"/>
  <c r="M82" i="5" s="1"/>
  <c r="AD108" i="1"/>
  <c r="X108" i="1"/>
  <c r="T108" i="1"/>
  <c r="H108" i="1"/>
  <c r="AF108" i="1"/>
  <c r="L108" i="1"/>
  <c r="I96" i="1"/>
  <c r="I105" i="1"/>
  <c r="I82" i="5" s="1"/>
  <c r="I108" i="1"/>
  <c r="O115" i="1"/>
  <c r="V108" i="1"/>
  <c r="M96" i="1"/>
  <c r="AA115" i="1"/>
  <c r="D108" i="1"/>
  <c r="R108" i="1"/>
  <c r="Q108" i="1"/>
  <c r="Y108" i="1"/>
  <c r="AE115" i="1"/>
  <c r="AC108" i="1"/>
  <c r="AC118" i="1"/>
  <c r="AC121" i="1" s="1"/>
  <c r="AC122" i="1" s="1"/>
  <c r="AB122" i="1"/>
  <c r="E96" i="1"/>
  <c r="G115" i="1"/>
  <c r="J108" i="1"/>
  <c r="K115" i="1"/>
  <c r="N108" i="1"/>
  <c r="P108" i="1"/>
  <c r="AB108" i="1"/>
  <c r="W239" i="4"/>
  <c r="AA239" i="4"/>
  <c r="U108" i="1"/>
  <c r="M108" i="1"/>
  <c r="W115" i="1"/>
  <c r="Q119" i="1"/>
  <c r="Q115" i="1" s="1"/>
  <c r="S115" i="1" s="1"/>
  <c r="F121" i="1"/>
  <c r="F122" i="1" s="1"/>
  <c r="E120" i="1"/>
  <c r="E107" i="1" s="1"/>
  <c r="X121" i="1"/>
  <c r="AD118" i="1"/>
  <c r="AD121" i="1" s="1"/>
  <c r="AD122" i="1" s="1"/>
  <c r="L121" i="1"/>
  <c r="R121" i="1"/>
  <c r="R122" i="1" s="1"/>
  <c r="H121" i="1"/>
  <c r="D121" i="1"/>
  <c r="T121" i="1"/>
  <c r="V240" i="4"/>
  <c r="V242" i="4" s="1"/>
  <c r="P121" i="1"/>
  <c r="AF121" i="1"/>
  <c r="AG118" i="1" s="1"/>
  <c r="AG121" i="1" s="1"/>
  <c r="AF182" i="4"/>
  <c r="AF170" i="4"/>
  <c r="AD175" i="4"/>
  <c r="AD173" i="4"/>
  <c r="AD172" i="4"/>
  <c r="AD168" i="4"/>
  <c r="AH169" i="4" s="1"/>
  <c r="Z175" i="4"/>
  <c r="Z173" i="4"/>
  <c r="Z172" i="4"/>
  <c r="Z168" i="4"/>
  <c r="AD169" i="4" s="1"/>
  <c r="R173" i="4"/>
  <c r="R172" i="4"/>
  <c r="R168" i="4"/>
  <c r="V169" i="4" s="1"/>
  <c r="N168" i="4"/>
  <c r="R169" i="4" s="1"/>
  <c r="V172" i="4"/>
  <c r="V173" i="4"/>
  <c r="V175" i="4"/>
  <c r="V168" i="4"/>
  <c r="Z169" i="4" s="1"/>
  <c r="R183" i="4"/>
  <c r="R182" i="4"/>
  <c r="R181" i="4"/>
  <c r="AD182" i="4"/>
  <c r="AD181" i="4"/>
  <c r="Z181" i="4"/>
  <c r="Z188" i="4" s="1"/>
  <c r="Z189" i="4" s="1"/>
  <c r="V183" i="4"/>
  <c r="V182" i="4"/>
  <c r="Z157" i="4"/>
  <c r="V181" i="4"/>
  <c r="U180" i="4"/>
  <c r="BR144" i="4"/>
  <c r="BN144" i="4"/>
  <c r="BO144" i="4" s="1"/>
  <c r="BJ144" i="4"/>
  <c r="BK144" i="4" s="1"/>
  <c r="BF144" i="4"/>
  <c r="BG144" i="4" s="1"/>
  <c r="BB144" i="4"/>
  <c r="BC144" i="4" s="1"/>
  <c r="AX144" i="4"/>
  <c r="AY144" i="4" s="1"/>
  <c r="AT144" i="4"/>
  <c r="AU144" i="4" s="1"/>
  <c r="BR141" i="4"/>
  <c r="BN141" i="4"/>
  <c r="BO141" i="4" s="1"/>
  <c r="BJ141" i="4"/>
  <c r="BK141" i="4" s="1"/>
  <c r="BF141" i="4"/>
  <c r="BG141" i="4" s="1"/>
  <c r="BB141" i="4"/>
  <c r="BC141" i="4" s="1"/>
  <c r="AX141" i="4"/>
  <c r="AY141" i="4" s="1"/>
  <c r="AT141" i="4"/>
  <c r="AU141" i="4" s="1"/>
  <c r="BR139" i="4"/>
  <c r="BN139" i="4"/>
  <c r="BO139" i="4" s="1"/>
  <c r="BJ139" i="4"/>
  <c r="BK139" i="4" s="1"/>
  <c r="BF139" i="4"/>
  <c r="BG139" i="4" s="1"/>
  <c r="BB139" i="4"/>
  <c r="BC139" i="4" s="1"/>
  <c r="AX139" i="4"/>
  <c r="AY139" i="4" s="1"/>
  <c r="AT139" i="4"/>
  <c r="AU139" i="4" s="1"/>
  <c r="AF137" i="4"/>
  <c r="N148" i="4"/>
  <c r="AD148" i="4"/>
  <c r="AD147" i="4"/>
  <c r="Z148" i="4"/>
  <c r="AC236" i="4"/>
  <c r="AF236" i="4"/>
  <c r="AB236" i="4"/>
  <c r="AF421" i="1"/>
  <c r="BS139" i="4" l="1"/>
  <c r="BS144" i="4"/>
  <c r="BS141" i="4"/>
  <c r="AJ422" i="1"/>
  <c r="H105" i="1"/>
  <c r="L105" i="1"/>
  <c r="T12" i="8"/>
  <c r="AE416" i="1"/>
  <c r="I106" i="1"/>
  <c r="M106" i="1"/>
  <c r="P105" i="1"/>
  <c r="P82" i="5" s="1"/>
  <c r="E118" i="1"/>
  <c r="E121" i="1" s="1"/>
  <c r="E122" i="1" s="1"/>
  <c r="D122" i="1"/>
  <c r="I118" i="1"/>
  <c r="I121" i="1" s="1"/>
  <c r="I122" i="1" s="1"/>
  <c r="H122" i="1"/>
  <c r="Y118" i="1"/>
  <c r="Y121" i="1" s="1"/>
  <c r="Y122" i="1" s="1"/>
  <c r="X122" i="1"/>
  <c r="AF122" i="1"/>
  <c r="M118" i="1"/>
  <c r="M121" i="1" s="1"/>
  <c r="M122" i="1" s="1"/>
  <c r="L122" i="1"/>
  <c r="Q118" i="1"/>
  <c r="Q121" i="1" s="1"/>
  <c r="Q122" i="1" s="1"/>
  <c r="P122" i="1"/>
  <c r="U118" i="1"/>
  <c r="U121" i="1" s="1"/>
  <c r="U122" i="1" s="1"/>
  <c r="T122" i="1"/>
  <c r="R188" i="4"/>
  <c r="R189" i="4" s="1"/>
  <c r="AD188" i="4"/>
  <c r="AF181" i="4" s="1"/>
  <c r="V188" i="4"/>
  <c r="V189" i="4" s="1"/>
  <c r="L106" i="1" l="1"/>
  <c r="L82" i="5"/>
  <c r="N82" i="5" s="1"/>
  <c r="H106" i="1"/>
  <c r="H82" i="5"/>
  <c r="J82" i="5" s="1"/>
  <c r="J105" i="1"/>
  <c r="J106" i="1" s="1"/>
  <c r="N105" i="1"/>
  <c r="N106" i="1" s="1"/>
  <c r="AD189" i="4"/>
  <c r="AF188" i="4"/>
  <c r="AF180" i="4" l="1"/>
  <c r="AF189" i="4" s="1"/>
  <c r="AF219" i="4"/>
  <c r="Z219" i="4"/>
  <c r="X219" i="4"/>
  <c r="V219" i="4"/>
  <c r="T219" i="4"/>
  <c r="R219" i="4"/>
  <c r="P219" i="4"/>
  <c r="N219" i="4"/>
  <c r="L219" i="4"/>
  <c r="J219" i="4"/>
  <c r="H219" i="4"/>
  <c r="F219" i="4"/>
  <c r="D219" i="4"/>
  <c r="AD219" i="4"/>
  <c r="AB219" i="4"/>
  <c r="AF195" i="4"/>
  <c r="AD195" i="4"/>
  <c r="AB195" i="4"/>
  <c r="Z195" i="4"/>
  <c r="X195" i="4"/>
  <c r="V195" i="4"/>
  <c r="T195" i="4"/>
  <c r="R195" i="4"/>
  <c r="P195" i="4"/>
  <c r="N195" i="4"/>
  <c r="L195" i="4"/>
  <c r="J195" i="4"/>
  <c r="H195" i="4"/>
  <c r="AF192" i="4"/>
  <c r="AD192" i="4"/>
  <c r="AB192" i="4"/>
  <c r="Z192" i="4"/>
  <c r="X192" i="4"/>
  <c r="G118" i="4"/>
  <c r="K118" i="4"/>
  <c r="O118" i="4"/>
  <c r="AF152" i="4"/>
  <c r="AD152" i="4"/>
  <c r="AB152" i="4"/>
  <c r="Z152" i="4"/>
  <c r="X152" i="4"/>
  <c r="V152" i="4"/>
  <c r="T152" i="4"/>
  <c r="R152" i="4"/>
  <c r="P152" i="4"/>
  <c r="N152" i="4"/>
  <c r="L152" i="4"/>
  <c r="J152" i="4"/>
  <c r="H152" i="4"/>
  <c r="AR191" i="4" l="1"/>
  <c r="AS191" i="4" s="1"/>
  <c r="AT191" i="4" l="1"/>
  <c r="AT192" i="4" s="1"/>
  <c r="AV191" i="4"/>
  <c r="AW191" i="4" s="1"/>
  <c r="AR151" i="4" l="1"/>
  <c r="AZ191" i="4"/>
  <c r="BA191" i="4" s="1"/>
  <c r="AX191" i="4"/>
  <c r="AX192" i="4" s="1"/>
  <c r="AS151" i="4" l="1"/>
  <c r="BD191" i="4"/>
  <c r="BE191" i="4" s="1"/>
  <c r="BB191" i="4"/>
  <c r="BB192" i="4" s="1"/>
  <c r="AT151" i="4" l="1"/>
  <c r="AT152" i="4" s="1"/>
  <c r="AV151" i="4"/>
  <c r="BH191" i="4"/>
  <c r="BI191" i="4" s="1"/>
  <c r="BF191" i="4"/>
  <c r="BF192" i="4" s="1"/>
  <c r="AW151" i="4" l="1"/>
  <c r="BL191" i="4"/>
  <c r="BM191" i="4" s="1"/>
  <c r="BJ191" i="4"/>
  <c r="BJ192" i="4" s="1"/>
  <c r="AX151" i="4" l="1"/>
  <c r="AX152" i="4" s="1"/>
  <c r="AZ151" i="4"/>
  <c r="BN191" i="4"/>
  <c r="BN192" i="4" s="1"/>
  <c r="BP191" i="4"/>
  <c r="BQ191" i="4" s="1"/>
  <c r="BT191" i="4" s="1"/>
  <c r="BT25" i="4" l="1"/>
  <c r="BU191" i="4"/>
  <c r="BR191" i="4"/>
  <c r="BA151" i="4"/>
  <c r="BR192" i="4"/>
  <c r="AF134" i="4"/>
  <c r="AD134" i="4"/>
  <c r="AB134" i="4"/>
  <c r="Z134" i="4"/>
  <c r="X134" i="4"/>
  <c r="V134" i="4"/>
  <c r="T134" i="4"/>
  <c r="R134" i="4"/>
  <c r="P134" i="4"/>
  <c r="N134" i="4"/>
  <c r="L134" i="4"/>
  <c r="J134" i="4"/>
  <c r="H134" i="4"/>
  <c r="AF131" i="4"/>
  <c r="AD131" i="4"/>
  <c r="AB131" i="4"/>
  <c r="Z131" i="4"/>
  <c r="X131" i="4"/>
  <c r="V131" i="4"/>
  <c r="T131" i="4"/>
  <c r="R131" i="4"/>
  <c r="P131" i="4"/>
  <c r="N131" i="4"/>
  <c r="L131" i="4"/>
  <c r="J131" i="4"/>
  <c r="H131" i="4"/>
  <c r="BE33" i="8"/>
  <c r="BD33" i="8"/>
  <c r="BA33" i="8"/>
  <c r="AZ33" i="8"/>
  <c r="AW33" i="8"/>
  <c r="AV33" i="8"/>
  <c r="AS33" i="8"/>
  <c r="AR33" i="8"/>
  <c r="AC33" i="8"/>
  <c r="AB33" i="8"/>
  <c r="AM86" i="1"/>
  <c r="AM85" i="1"/>
  <c r="AM84" i="1"/>
  <c r="AM83" i="1"/>
  <c r="AM82" i="1"/>
  <c r="AM81" i="1"/>
  <c r="AM80" i="1"/>
  <c r="AM79" i="1"/>
  <c r="AM78" i="1"/>
  <c r="AM77" i="1"/>
  <c r="BX191" i="4" l="1"/>
  <c r="BU25" i="4"/>
  <c r="BU59" i="5" s="1"/>
  <c r="BV191" i="4"/>
  <c r="X33" i="8"/>
  <c r="Y33" i="8"/>
  <c r="BD151" i="4"/>
  <c r="BB151" i="4"/>
  <c r="BB152" i="4" s="1"/>
  <c r="BB33" i="8"/>
  <c r="AD33" i="8"/>
  <c r="AT33" i="8"/>
  <c r="AX33" i="8"/>
  <c r="BF33" i="8"/>
  <c r="BV25" i="4" l="1"/>
  <c r="BV192" i="4"/>
  <c r="BX25" i="4"/>
  <c r="BX59" i="5" s="1"/>
  <c r="BY191" i="4"/>
  <c r="Z33" i="8"/>
  <c r="AR296" i="1"/>
  <c r="AR295" i="1"/>
  <c r="AM87" i="1"/>
  <c r="BE151" i="4"/>
  <c r="AR133" i="4"/>
  <c r="AS133" i="4" s="1"/>
  <c r="BZ191" i="4" l="1"/>
  <c r="BY25" i="4"/>
  <c r="BY59" i="5" s="1"/>
  <c r="BZ59" i="5" s="1"/>
  <c r="AV295" i="1"/>
  <c r="AV296" i="1"/>
  <c r="BH151" i="4"/>
  <c r="BF151" i="4"/>
  <c r="BF152" i="4" s="1"/>
  <c r="AV133" i="4"/>
  <c r="AW133" i="4" s="1"/>
  <c r="AT133" i="4"/>
  <c r="AT134" i="4" s="1"/>
  <c r="BZ192" i="4" l="1"/>
  <c r="BZ25" i="4"/>
  <c r="AZ296" i="1"/>
  <c r="AZ295" i="1"/>
  <c r="BI151" i="4"/>
  <c r="AZ133" i="4"/>
  <c r="BA133" i="4" s="1"/>
  <c r="AX133" i="4"/>
  <c r="AX134" i="4" s="1"/>
  <c r="BD295" i="1" l="1"/>
  <c r="BD296" i="1"/>
  <c r="BJ151" i="4"/>
  <c r="BJ152" i="4" s="1"/>
  <c r="BL151" i="4"/>
  <c r="BB133" i="4"/>
  <c r="BB134" i="4" s="1"/>
  <c r="BD133" i="4"/>
  <c r="BE133" i="4" s="1"/>
  <c r="AR124" i="4"/>
  <c r="BH296" i="1" l="1"/>
  <c r="BH295" i="1"/>
  <c r="BM151" i="4"/>
  <c r="BH133" i="4"/>
  <c r="BI133" i="4" s="1"/>
  <c r="BF133" i="4"/>
  <c r="BF134" i="4" s="1"/>
  <c r="AS124" i="4"/>
  <c r="BL295" i="1" l="1"/>
  <c r="BL296" i="1"/>
  <c r="BN151" i="4"/>
  <c r="BN152" i="4" s="1"/>
  <c r="BP151" i="4"/>
  <c r="BJ133" i="4"/>
  <c r="BJ134" i="4" s="1"/>
  <c r="BL133" i="4"/>
  <c r="BM133" i="4" s="1"/>
  <c r="AT124" i="4"/>
  <c r="AV124" i="4"/>
  <c r="BP296" i="1" l="1"/>
  <c r="BT296" i="1" s="1"/>
  <c r="BP295" i="1"/>
  <c r="BT295" i="1" s="1"/>
  <c r="BQ151" i="4"/>
  <c r="BT151" i="4" s="1"/>
  <c r="BP133" i="4"/>
  <c r="BQ133" i="4" s="1"/>
  <c r="BT133" i="4" s="1"/>
  <c r="BU133" i="4" s="1"/>
  <c r="BN133" i="4"/>
  <c r="BN134" i="4" s="1"/>
  <c r="AW124" i="4"/>
  <c r="BV133" i="4" l="1"/>
  <c r="BX133" i="4"/>
  <c r="BY133" i="4" s="1"/>
  <c r="BZ133" i="4" s="1"/>
  <c r="BT23" i="4"/>
  <c r="BU151" i="4"/>
  <c r="BX295" i="1"/>
  <c r="BX296" i="1"/>
  <c r="BR133" i="4"/>
  <c r="BR134" i="4" s="1"/>
  <c r="BR151" i="4"/>
  <c r="BR152" i="4" s="1"/>
  <c r="AZ124" i="4"/>
  <c r="AX124" i="4"/>
  <c r="BZ134" i="4" l="1"/>
  <c r="BX151" i="4"/>
  <c r="BV151" i="4"/>
  <c r="BU23" i="4"/>
  <c r="BU56" i="5" s="1"/>
  <c r="BV134" i="4"/>
  <c r="BA124" i="4"/>
  <c r="BV152" i="4" l="1"/>
  <c r="BV23" i="4"/>
  <c r="BX23" i="4"/>
  <c r="BX56" i="5" s="1"/>
  <c r="BY151" i="4"/>
  <c r="BD124" i="4"/>
  <c r="BB124" i="4"/>
  <c r="BY23" i="4" l="1"/>
  <c r="BY56" i="5" s="1"/>
  <c r="BZ56" i="5" s="1"/>
  <c r="BZ151" i="4"/>
  <c r="BE124" i="4"/>
  <c r="BZ152" i="4" l="1"/>
  <c r="BZ23" i="4"/>
  <c r="BF124" i="4"/>
  <c r="BH124" i="4"/>
  <c r="BI124" i="4" l="1"/>
  <c r="BJ124" i="4" l="1"/>
  <c r="BL124" i="4"/>
  <c r="BM124" i="4" l="1"/>
  <c r="BP124" i="4" l="1"/>
  <c r="BN124" i="4"/>
  <c r="BQ124" i="4" l="1"/>
  <c r="BT124" i="4" s="1"/>
  <c r="BU124" i="4" l="1"/>
  <c r="BT16" i="4"/>
  <c r="BR124" i="4"/>
  <c r="BX124" i="4" l="1"/>
  <c r="BV124" i="4"/>
  <c r="BV16" i="4" s="1"/>
  <c r="BU16" i="4"/>
  <c r="F159" i="4"/>
  <c r="E159" i="4" s="1"/>
  <c r="D164" i="4"/>
  <c r="D162" i="4"/>
  <c r="E162" i="4" s="1"/>
  <c r="D161" i="4"/>
  <c r="E161" i="4" s="1"/>
  <c r="D160" i="4"/>
  <c r="E158" i="4"/>
  <c r="E157" i="4"/>
  <c r="J162" i="4"/>
  <c r="H162" i="4" s="1"/>
  <c r="I162" i="4" s="1"/>
  <c r="H164" i="4"/>
  <c r="H161" i="4"/>
  <c r="I161" i="4" s="1"/>
  <c r="H160" i="4"/>
  <c r="I159" i="4"/>
  <c r="I158" i="4"/>
  <c r="J157" i="4"/>
  <c r="I157" i="4"/>
  <c r="H157" i="4"/>
  <c r="R163" i="4"/>
  <c r="R175" i="4" s="1"/>
  <c r="N163" i="4"/>
  <c r="N159" i="4"/>
  <c r="M159" i="4" s="1"/>
  <c r="N162" i="4"/>
  <c r="L162" i="4" s="1"/>
  <c r="L164" i="4"/>
  <c r="L165" i="4" s="1"/>
  <c r="L161" i="4"/>
  <c r="M161" i="4" s="1"/>
  <c r="L160" i="4"/>
  <c r="M158" i="4"/>
  <c r="N157" i="4"/>
  <c r="M157" i="4"/>
  <c r="L157" i="4"/>
  <c r="R162" i="4"/>
  <c r="R159" i="4"/>
  <c r="R158" i="4"/>
  <c r="P164" i="4"/>
  <c r="P165" i="4" s="1"/>
  <c r="P161" i="4"/>
  <c r="Q161" i="4" s="1"/>
  <c r="P160" i="4"/>
  <c r="R157" i="4"/>
  <c r="Q157" i="4"/>
  <c r="P157" i="4"/>
  <c r="V157" i="4"/>
  <c r="V158" i="4"/>
  <c r="V159" i="4"/>
  <c r="V162" i="4"/>
  <c r="V174" i="4" s="1"/>
  <c r="T164" i="4"/>
  <c r="T165" i="4" s="1"/>
  <c r="T161" i="4"/>
  <c r="U161" i="4" s="1"/>
  <c r="T160" i="4"/>
  <c r="U157" i="4"/>
  <c r="T157" i="4"/>
  <c r="F142" i="4"/>
  <c r="F140" i="4"/>
  <c r="D140" i="4" s="1"/>
  <c r="E140" i="4" s="1"/>
  <c r="D145" i="4"/>
  <c r="D143" i="4"/>
  <c r="E143" i="4" s="1"/>
  <c r="D141" i="4"/>
  <c r="E141" i="4" s="1"/>
  <c r="D139" i="4"/>
  <c r="E139" i="4" s="1"/>
  <c r="D138" i="4"/>
  <c r="E138" i="4" s="1"/>
  <c r="E137" i="4"/>
  <c r="J142" i="4"/>
  <c r="H142" i="4" s="1"/>
  <c r="H145" i="4"/>
  <c r="H143" i="4"/>
  <c r="H141" i="4"/>
  <c r="I141" i="4" s="1"/>
  <c r="H139" i="4"/>
  <c r="I139" i="4" s="1"/>
  <c r="H138" i="4"/>
  <c r="I138" i="4" s="1"/>
  <c r="J137" i="4"/>
  <c r="I137" i="4"/>
  <c r="H137" i="4"/>
  <c r="N140" i="4"/>
  <c r="L140" i="4" s="1"/>
  <c r="M140" i="4" s="1"/>
  <c r="N138" i="4"/>
  <c r="L145" i="4"/>
  <c r="L143" i="4"/>
  <c r="L142" i="4"/>
  <c r="L141" i="4"/>
  <c r="M141" i="4" s="1"/>
  <c r="L139" i="4"/>
  <c r="M139" i="4" s="1"/>
  <c r="N137" i="4"/>
  <c r="M137" i="4"/>
  <c r="L137" i="4"/>
  <c r="R142" i="4"/>
  <c r="R138" i="4"/>
  <c r="P138" i="4" s="1"/>
  <c r="Q138" i="4" s="1"/>
  <c r="P145" i="4"/>
  <c r="P143" i="4"/>
  <c r="P141" i="4"/>
  <c r="Q141" i="4" s="1"/>
  <c r="P139" i="4"/>
  <c r="R137" i="4"/>
  <c r="Q137" i="4"/>
  <c r="P137" i="4"/>
  <c r="V142" i="4"/>
  <c r="V139" i="4"/>
  <c r="T139" i="4" s="1"/>
  <c r="U139" i="4" s="1"/>
  <c r="V140" i="4"/>
  <c r="T140" i="4" s="1"/>
  <c r="U140" i="4" s="1"/>
  <c r="T145" i="4"/>
  <c r="T143" i="4"/>
  <c r="T141" i="4"/>
  <c r="U141" i="4" s="1"/>
  <c r="T138" i="4"/>
  <c r="U138" i="4" s="1"/>
  <c r="V137" i="4"/>
  <c r="U137" i="4"/>
  <c r="T137" i="4"/>
  <c r="BY124" i="4" l="1"/>
  <c r="BX16" i="4"/>
  <c r="BL30" i="8"/>
  <c r="M160" i="4"/>
  <c r="I160" i="4"/>
  <c r="U160" i="4"/>
  <c r="Q160" i="4"/>
  <c r="E160" i="4"/>
  <c r="Q159" i="4"/>
  <c r="R171" i="4"/>
  <c r="Q158" i="4"/>
  <c r="Q58" i="5" s="1"/>
  <c r="R58" i="5" s="1"/>
  <c r="R170" i="4"/>
  <c r="P162" i="4"/>
  <c r="Q162" i="4" s="1"/>
  <c r="R174" i="4"/>
  <c r="U159" i="4"/>
  <c r="V171" i="4"/>
  <c r="U158" i="4"/>
  <c r="U58" i="5" s="1"/>
  <c r="V58" i="5" s="1"/>
  <c r="V170" i="4"/>
  <c r="I142" i="4"/>
  <c r="I143" i="4"/>
  <c r="H148" i="4"/>
  <c r="M143" i="4"/>
  <c r="L148" i="4"/>
  <c r="Q143" i="4"/>
  <c r="M142" i="4"/>
  <c r="L147" i="4"/>
  <c r="T142" i="4"/>
  <c r="T144" i="4" s="1"/>
  <c r="U144" i="4" s="1"/>
  <c r="Z147" i="4"/>
  <c r="V148" i="4"/>
  <c r="V147" i="4"/>
  <c r="J147" i="4"/>
  <c r="J148" i="4"/>
  <c r="N147" i="4"/>
  <c r="U143" i="4"/>
  <c r="P142" i="4"/>
  <c r="P148" i="4" s="1"/>
  <c r="R147" i="4"/>
  <c r="R148" i="4"/>
  <c r="F164" i="4"/>
  <c r="J145" i="4"/>
  <c r="F145" i="4"/>
  <c r="J164" i="4"/>
  <c r="V145" i="4"/>
  <c r="D163" i="4"/>
  <c r="E163" i="4" s="1"/>
  <c r="H163" i="4"/>
  <c r="I163" i="4" s="1"/>
  <c r="N164" i="4"/>
  <c r="N165" i="4" s="1"/>
  <c r="M162" i="4"/>
  <c r="L163" i="4"/>
  <c r="M163" i="4" s="1"/>
  <c r="R164" i="4"/>
  <c r="R165" i="4" s="1"/>
  <c r="V164" i="4"/>
  <c r="V165" i="4" s="1"/>
  <c r="T162" i="4"/>
  <c r="T163" i="4" s="1"/>
  <c r="U163" i="4" s="1"/>
  <c r="D142" i="4"/>
  <c r="E142" i="4" s="1"/>
  <c r="H140" i="4"/>
  <c r="I140" i="4" s="1"/>
  <c r="N145" i="4"/>
  <c r="L138" i="4"/>
  <c r="L144" i="4" s="1"/>
  <c r="M144" i="4" s="1"/>
  <c r="R145" i="4"/>
  <c r="Q139" i="4"/>
  <c r="P140" i="4"/>
  <c r="BZ124" i="4" l="1"/>
  <c r="BZ16" i="4" s="1"/>
  <c r="BY16" i="4"/>
  <c r="E164" i="4"/>
  <c r="I164" i="4"/>
  <c r="I148" i="4"/>
  <c r="V176" i="4"/>
  <c r="V177" i="4" s="1"/>
  <c r="M147" i="4"/>
  <c r="R176" i="4"/>
  <c r="R177" i="4" s="1"/>
  <c r="P163" i="4"/>
  <c r="Q163" i="4" s="1"/>
  <c r="Q164" i="4" s="1"/>
  <c r="P144" i="4"/>
  <c r="Q144" i="4" s="1"/>
  <c r="U142" i="4"/>
  <c r="U148" i="4" s="1"/>
  <c r="T147" i="4"/>
  <c r="T148" i="4"/>
  <c r="M148" i="4"/>
  <c r="H147" i="4"/>
  <c r="Q142" i="4"/>
  <c r="Q147" i="4" s="1"/>
  <c r="P147" i="4"/>
  <c r="I147" i="4"/>
  <c r="Q140" i="4"/>
  <c r="M164" i="4"/>
  <c r="U162" i="4"/>
  <c r="U164" i="4" s="1"/>
  <c r="D144" i="4"/>
  <c r="E144" i="4" s="1"/>
  <c r="E145" i="4" s="1"/>
  <c r="H144" i="4"/>
  <c r="I144" i="4" s="1"/>
  <c r="I145" i="4" s="1"/>
  <c r="M138" i="4"/>
  <c r="M145" i="4" s="1"/>
  <c r="Y73" i="5"/>
  <c r="U73" i="5"/>
  <c r="AC75" i="5"/>
  <c r="AC76" i="5"/>
  <c r="Y76" i="5"/>
  <c r="U76" i="5"/>
  <c r="Q76" i="5"/>
  <c r="M76" i="5"/>
  <c r="I76" i="5"/>
  <c r="E76" i="5"/>
  <c r="AE235" i="5"/>
  <c r="AF231" i="5"/>
  <c r="AE231" i="5"/>
  <c r="AF230" i="5"/>
  <c r="AE230" i="5"/>
  <c r="AF228" i="5"/>
  <c r="AE228" i="5"/>
  <c r="AF227" i="5"/>
  <c r="AE227" i="5"/>
  <c r="AF226" i="5"/>
  <c r="AE226" i="5"/>
  <c r="AF225" i="5"/>
  <c r="AE225" i="5"/>
  <c r="AF224" i="5"/>
  <c r="AE224" i="5"/>
  <c r="AF223" i="5"/>
  <c r="AE223" i="5"/>
  <c r="AF210" i="5"/>
  <c r="AE210" i="5"/>
  <c r="AF178" i="5"/>
  <c r="AF79" i="5"/>
  <c r="AF51" i="5"/>
  <c r="AF22" i="5"/>
  <c r="AF10" i="5"/>
  <c r="AF64" i="5" l="1"/>
  <c r="AF88" i="5"/>
  <c r="AF24" i="5"/>
  <c r="Q145" i="4"/>
  <c r="Q148" i="4"/>
  <c r="U147" i="4"/>
  <c r="U145" i="4"/>
  <c r="Z162" i="4"/>
  <c r="Z174" i="4" s="1"/>
  <c r="Z159" i="4"/>
  <c r="Z171" i="4" s="1"/>
  <c r="Z158" i="4"/>
  <c r="X164" i="4"/>
  <c r="X165" i="4" s="1"/>
  <c r="X161" i="4"/>
  <c r="Y161" i="4" s="1"/>
  <c r="X160" i="4"/>
  <c r="Y157" i="4"/>
  <c r="X157" i="4"/>
  <c r="AB157" i="4"/>
  <c r="AB140" i="4"/>
  <c r="AD159" i="4"/>
  <c r="AD162" i="4"/>
  <c r="AB161" i="4"/>
  <c r="AC161" i="4" s="1"/>
  <c r="AB160" i="4"/>
  <c r="J165" i="4"/>
  <c r="H165" i="4"/>
  <c r="F165" i="4"/>
  <c r="D165" i="4"/>
  <c r="AB164" i="4"/>
  <c r="X137" i="4"/>
  <c r="AB137" i="4"/>
  <c r="X145" i="4"/>
  <c r="X149" i="4" s="1"/>
  <c r="X143" i="4"/>
  <c r="X142" i="4"/>
  <c r="X141" i="4"/>
  <c r="Y141" i="4" s="1"/>
  <c r="X140" i="4"/>
  <c r="Y140" i="4" s="1"/>
  <c r="X139" i="4"/>
  <c r="Y139" i="4" s="1"/>
  <c r="X138" i="4"/>
  <c r="Y138" i="4" s="1"/>
  <c r="Y137" i="4"/>
  <c r="V149" i="4"/>
  <c r="T149" i="4"/>
  <c r="R149" i="4"/>
  <c r="P149" i="4"/>
  <c r="N149" i="4"/>
  <c r="L149" i="4"/>
  <c r="J149" i="4"/>
  <c r="H149" i="4"/>
  <c r="F149" i="4"/>
  <c r="D149" i="4"/>
  <c r="AF149" i="4"/>
  <c r="AB145" i="4"/>
  <c r="Z137" i="4"/>
  <c r="Z145" i="4" s="1"/>
  <c r="Z149" i="4" s="1"/>
  <c r="AF38" i="5" l="1"/>
  <c r="AF94" i="5" s="1"/>
  <c r="AC160" i="4"/>
  <c r="Y160" i="4"/>
  <c r="AF96" i="5"/>
  <c r="AF235" i="5"/>
  <c r="AB159" i="4"/>
  <c r="AC159" i="4" s="1"/>
  <c r="AD171" i="4"/>
  <c r="Y158" i="4"/>
  <c r="Y58" i="5" s="1"/>
  <c r="Z58" i="5" s="1"/>
  <c r="Z170" i="4"/>
  <c r="Z176" i="4" s="1"/>
  <c r="Z177" i="4" s="1"/>
  <c r="AB162" i="4"/>
  <c r="AC162" i="4" s="1"/>
  <c r="AD174" i="4"/>
  <c r="X162" i="4"/>
  <c r="Y162" i="4" s="1"/>
  <c r="Y142" i="4"/>
  <c r="Y147" i="4" s="1"/>
  <c r="X147" i="4"/>
  <c r="Y143" i="4"/>
  <c r="X148" i="4"/>
  <c r="Z164" i="4"/>
  <c r="X144" i="4"/>
  <c r="Y144" i="4" s="1"/>
  <c r="AB149" i="4"/>
  <c r="AF98" i="5" l="1"/>
  <c r="AF101" i="5"/>
  <c r="AF183" i="1"/>
  <c r="Y148" i="4"/>
  <c r="Z166" i="4"/>
  <c r="X163" i="4"/>
  <c r="Y163" i="4" s="1"/>
  <c r="AB163" i="4"/>
  <c r="Y145" i="4"/>
  <c r="Y159" i="4"/>
  <c r="Y164" i="4" l="1"/>
  <c r="BR115" i="5"/>
  <c r="BN115" i="5"/>
  <c r="BJ115" i="5"/>
  <c r="BF115" i="5"/>
  <c r="BB115" i="5"/>
  <c r="AX115" i="5"/>
  <c r="AT115" i="5"/>
  <c r="AD232" i="4"/>
  <c r="Z232" i="4"/>
  <c r="V232" i="4"/>
  <c r="R232" i="4"/>
  <c r="N232" i="4"/>
  <c r="J232" i="4"/>
  <c r="BQ168" i="5"/>
  <c r="BP168" i="5"/>
  <c r="BM168" i="5"/>
  <c r="BL168" i="5"/>
  <c r="BI168" i="5"/>
  <c r="BH168" i="5"/>
  <c r="BE168" i="5"/>
  <c r="BD168" i="5"/>
  <c r="BA168" i="5"/>
  <c r="AZ168" i="5"/>
  <c r="AW168" i="5"/>
  <c r="AV168" i="5"/>
  <c r="AS168" i="5"/>
  <c r="AR168" i="5"/>
  <c r="AC464" i="1"/>
  <c r="AC465" i="1"/>
  <c r="U14" i="8"/>
  <c r="AJ12" i="1" l="1"/>
  <c r="AJ17" i="1"/>
  <c r="AL17" i="1" s="1"/>
  <c r="AF12" i="1"/>
  <c r="AI12" i="1" l="1"/>
  <c r="AL18" i="1"/>
  <c r="AL21" i="1"/>
  <c r="AJ21" i="1"/>
  <c r="X14" i="8"/>
  <c r="AG132" i="5"/>
  <c r="AL22" i="1" l="1"/>
  <c r="AL23" i="1" s="1"/>
  <c r="Z22" i="8"/>
  <c r="X55" i="8"/>
  <c r="Y14" i="8"/>
  <c r="BY69" i="8"/>
  <c r="AJ132" i="5"/>
  <c r="AB143" i="4"/>
  <c r="AB142" i="4"/>
  <c r="AB141" i="4"/>
  <c r="AC141" i="4" s="1"/>
  <c r="AC140" i="4"/>
  <c r="AB139" i="4"/>
  <c r="AC139" i="4" s="1"/>
  <c r="AB138" i="4"/>
  <c r="Z165" i="4"/>
  <c r="AF164" i="4"/>
  <c r="AF165" i="4" s="1"/>
  <c r="AF98" i="1"/>
  <c r="Z26" i="1"/>
  <c r="X26" i="1"/>
  <c r="X70" i="1" s="1"/>
  <c r="V26" i="1"/>
  <c r="T26" i="1"/>
  <c r="T70" i="1" s="1"/>
  <c r="R26" i="1"/>
  <c r="R70" i="1" s="1"/>
  <c r="P26" i="1"/>
  <c r="P70" i="1" s="1"/>
  <c r="N26" i="1"/>
  <c r="N70" i="1" s="1"/>
  <c r="L26" i="1"/>
  <c r="L70" i="1" s="1"/>
  <c r="J26" i="1"/>
  <c r="J70" i="1" s="1"/>
  <c r="H26" i="1"/>
  <c r="H70" i="1" s="1"/>
  <c r="F26" i="1"/>
  <c r="F70" i="1" s="1"/>
  <c r="D26" i="1"/>
  <c r="D70" i="1" s="1"/>
  <c r="AB26" i="1"/>
  <c r="AB70" i="1" s="1"/>
  <c r="AD26" i="1"/>
  <c r="Z12" i="1"/>
  <c r="X12" i="1"/>
  <c r="V12" i="1"/>
  <c r="T12" i="1"/>
  <c r="R12" i="1"/>
  <c r="P12" i="1"/>
  <c r="N12" i="1"/>
  <c r="L12" i="1"/>
  <c r="J12" i="1"/>
  <c r="H12" i="1"/>
  <c r="F12" i="1"/>
  <c r="D12" i="1"/>
  <c r="AD12" i="1"/>
  <c r="AB12" i="1"/>
  <c r="AF26" i="1"/>
  <c r="AF141" i="1"/>
  <c r="D141" i="1"/>
  <c r="I140" i="1"/>
  <c r="E140" i="1"/>
  <c r="D139" i="1"/>
  <c r="D114" i="1" s="1"/>
  <c r="F137" i="1"/>
  <c r="AC136" i="1"/>
  <c r="AB136" i="1"/>
  <c r="AB139" i="1" s="1"/>
  <c r="AB114" i="1" s="1"/>
  <c r="AB113" i="1" s="1"/>
  <c r="Z136" i="1"/>
  <c r="Z139" i="1" s="1"/>
  <c r="Y136" i="1"/>
  <c r="X136" i="1"/>
  <c r="X139" i="1" s="1"/>
  <c r="X114" i="1" s="1"/>
  <c r="X113" i="1" s="1"/>
  <c r="V136" i="1"/>
  <c r="V139" i="1" s="1"/>
  <c r="V114" i="1" s="1"/>
  <c r="U136" i="1"/>
  <c r="T136" i="1"/>
  <c r="T139" i="1" s="1"/>
  <c r="R136" i="1"/>
  <c r="R139" i="1" s="1"/>
  <c r="Q136" i="1"/>
  <c r="P136" i="1"/>
  <c r="P139" i="1" s="1"/>
  <c r="P114" i="1" s="1"/>
  <c r="P113" i="1" s="1"/>
  <c r="N136" i="1"/>
  <c r="N139" i="1" s="1"/>
  <c r="M136" i="1"/>
  <c r="L136" i="1"/>
  <c r="L139" i="1" s="1"/>
  <c r="L114" i="1" s="1"/>
  <c r="J136" i="1"/>
  <c r="J139" i="1" s="1"/>
  <c r="I136" i="1"/>
  <c r="H136" i="1"/>
  <c r="H139" i="1" s="1"/>
  <c r="H114" i="1" s="1"/>
  <c r="E136" i="1"/>
  <c r="AF136" i="1"/>
  <c r="AD126" i="4"/>
  <c r="AH127" i="4" s="1"/>
  <c r="AB126" i="4"/>
  <c r="Z126" i="4"/>
  <c r="X126" i="4"/>
  <c r="V126" i="4"/>
  <c r="T126" i="4"/>
  <c r="R126" i="4"/>
  <c r="P126" i="4"/>
  <c r="N126" i="4"/>
  <c r="L126" i="4"/>
  <c r="J126" i="4"/>
  <c r="H126" i="4"/>
  <c r="F126" i="4"/>
  <c r="D126" i="4"/>
  <c r="F119" i="4"/>
  <c r="D119" i="4"/>
  <c r="J119" i="4"/>
  <c r="H119" i="4"/>
  <c r="N119" i="4"/>
  <c r="L119" i="4"/>
  <c r="R119" i="4"/>
  <c r="P119" i="4"/>
  <c r="V466" i="1"/>
  <c r="T466" i="1"/>
  <c r="R466" i="1"/>
  <c r="P466" i="1"/>
  <c r="N466" i="1"/>
  <c r="J466" i="1"/>
  <c r="H466" i="1"/>
  <c r="F466" i="1"/>
  <c r="AF466" i="1"/>
  <c r="AD466" i="1"/>
  <c r="AB466" i="1"/>
  <c r="AB238" i="4"/>
  <c r="AF46" i="4"/>
  <c r="AG84" i="5" s="1"/>
  <c r="X466" i="1"/>
  <c r="Y465" i="1"/>
  <c r="Y464" i="1"/>
  <c r="Z466" i="1"/>
  <c r="AC98" i="1"/>
  <c r="AB98" i="1"/>
  <c r="Y98" i="1"/>
  <c r="X98" i="1"/>
  <c r="U98" i="1"/>
  <c r="T98" i="1"/>
  <c r="AL28" i="1" l="1"/>
  <c r="Z119" i="51" s="1"/>
  <c r="AL74" i="4"/>
  <c r="AL77" i="4" s="1"/>
  <c r="AL78" i="4" s="1"/>
  <c r="Z115" i="51"/>
  <c r="Z117" i="51" s="1"/>
  <c r="Z23" i="8"/>
  <c r="Z81" i="8" s="1"/>
  <c r="AL34" i="1"/>
  <c r="Y55" i="8"/>
  <c r="AB14" i="8"/>
  <c r="AF55" i="8" s="1"/>
  <c r="Z14" i="8"/>
  <c r="X22" i="8"/>
  <c r="AF70" i="1"/>
  <c r="AG26" i="1"/>
  <c r="AG70" i="1" s="1"/>
  <c r="D22" i="8"/>
  <c r="F22" i="8"/>
  <c r="H22" i="8"/>
  <c r="AD70" i="1"/>
  <c r="Z70" i="1"/>
  <c r="V70" i="1"/>
  <c r="BX69" i="8"/>
  <c r="AM12" i="1"/>
  <c r="V98" i="1"/>
  <c r="Z98" i="1"/>
  <c r="AD98" i="1"/>
  <c r="AM17" i="1"/>
  <c r="AJ58" i="5"/>
  <c r="AG189" i="4"/>
  <c r="I139" i="1"/>
  <c r="I114" i="1" s="1"/>
  <c r="J114" i="1"/>
  <c r="Z114" i="1"/>
  <c r="Y139" i="1"/>
  <c r="F139" i="1"/>
  <c r="F110" i="1"/>
  <c r="F108" i="1" s="1"/>
  <c r="Q139" i="1"/>
  <c r="Q114" i="1" s="1"/>
  <c r="Q113" i="1" s="1"/>
  <c r="R114" i="1"/>
  <c r="AF139" i="1"/>
  <c r="U139" i="1"/>
  <c r="U114" i="1" s="1"/>
  <c r="U113" i="1" s="1"/>
  <c r="T114" i="1"/>
  <c r="T113" i="1" s="1"/>
  <c r="M139" i="1"/>
  <c r="M114" i="1" s="1"/>
  <c r="N114" i="1"/>
  <c r="V113" i="1"/>
  <c r="AC142" i="4"/>
  <c r="AB147" i="4"/>
  <c r="AC143" i="4"/>
  <c r="AB148" i="4"/>
  <c r="N127" i="4"/>
  <c r="AD127" i="4"/>
  <c r="V127" i="4"/>
  <c r="J127" i="4"/>
  <c r="R127" i="4"/>
  <c r="Z127" i="4"/>
  <c r="AC138" i="4"/>
  <c r="AB144" i="4"/>
  <c r="AC144" i="4" s="1"/>
  <c r="AC26" i="1"/>
  <c r="Y26" i="1"/>
  <c r="I26" i="1"/>
  <c r="I70" i="1" s="1"/>
  <c r="E26" i="1"/>
  <c r="E70" i="1" s="1"/>
  <c r="U26" i="1"/>
  <c r="M26" i="1"/>
  <c r="M70" i="1" s="1"/>
  <c r="Q26" i="1"/>
  <c r="Q70" i="1" s="1"/>
  <c r="E137" i="1"/>
  <c r="E110" i="1" s="1"/>
  <c r="E108" i="1" s="1"/>
  <c r="E127" i="1"/>
  <c r="E400" i="1"/>
  <c r="E403" i="1"/>
  <c r="D404" i="1"/>
  <c r="D405" i="1" s="1"/>
  <c r="F404" i="1"/>
  <c r="F405" i="1" s="1"/>
  <c r="E407" i="1"/>
  <c r="E409" i="1"/>
  <c r="D410" i="1"/>
  <c r="F410" i="1"/>
  <c r="R410" i="1"/>
  <c r="P410" i="1"/>
  <c r="N410" i="1"/>
  <c r="L410" i="1"/>
  <c r="J410" i="1"/>
  <c r="H410" i="1"/>
  <c r="Q409" i="1"/>
  <c r="M409" i="1"/>
  <c r="I409" i="1"/>
  <c r="Q407" i="1"/>
  <c r="M407" i="1"/>
  <c r="I407" i="1"/>
  <c r="V410" i="1"/>
  <c r="T410" i="1"/>
  <c r="U409" i="1"/>
  <c r="X410" i="1"/>
  <c r="Y409" i="1"/>
  <c r="Z410" i="1"/>
  <c r="U407" i="1"/>
  <c r="Y407" i="1"/>
  <c r="Q403" i="1"/>
  <c r="U403" i="1"/>
  <c r="AI26" i="1" l="1"/>
  <c r="AL32" i="1"/>
  <c r="AL31" i="1" s="1"/>
  <c r="AL69" i="1" s="1"/>
  <c r="Z122" i="51"/>
  <c r="AL39" i="1"/>
  <c r="AL89" i="1" s="1"/>
  <c r="AL81" i="4"/>
  <c r="AL38" i="1"/>
  <c r="AL68" i="1"/>
  <c r="AL35" i="1"/>
  <c r="AB55" i="8"/>
  <c r="Y22" i="8"/>
  <c r="AC14" i="8"/>
  <c r="AG55" i="8" s="1"/>
  <c r="AF114" i="1"/>
  <c r="AF113" i="1" s="1"/>
  <c r="AG139" i="1"/>
  <c r="AG140" i="1" s="1"/>
  <c r="AG141" i="1" s="1"/>
  <c r="T51" i="1"/>
  <c r="H63" i="8"/>
  <c r="U70" i="1"/>
  <c r="Y70" i="1"/>
  <c r="AC70" i="1"/>
  <c r="E166" i="1"/>
  <c r="E163" i="1"/>
  <c r="E164" i="1"/>
  <c r="E165" i="1"/>
  <c r="O114" i="1"/>
  <c r="K114" i="1"/>
  <c r="U140" i="1"/>
  <c r="M140" i="1"/>
  <c r="W114" i="1"/>
  <c r="AH189" i="4"/>
  <c r="E139" i="1"/>
  <c r="E114" i="1" s="1"/>
  <c r="F114" i="1"/>
  <c r="Q140" i="1"/>
  <c r="Y140" i="1"/>
  <c r="Y114" i="1"/>
  <c r="Y113" i="1" s="1"/>
  <c r="Z113" i="1"/>
  <c r="S114" i="1"/>
  <c r="R113" i="1"/>
  <c r="AC148" i="4"/>
  <c r="AC147" i="4"/>
  <c r="E404" i="1"/>
  <c r="E405" i="1" s="1"/>
  <c r="E410" i="1"/>
  <c r="Y410" i="1"/>
  <c r="I410" i="1"/>
  <c r="M410" i="1"/>
  <c r="Q410" i="1"/>
  <c r="U410" i="1"/>
  <c r="T454" i="1"/>
  <c r="T455" i="1" s="1"/>
  <c r="X454" i="1"/>
  <c r="X455" i="1" s="1"/>
  <c r="AB454" i="1"/>
  <c r="AB455" i="1" s="1"/>
  <c r="AL71" i="1" l="1"/>
  <c r="AL72" i="1" s="1"/>
  <c r="AL97" i="1"/>
  <c r="AL154" i="1"/>
  <c r="AL148" i="1"/>
  <c r="AL146" i="1"/>
  <c r="AC55" i="8"/>
  <c r="AR462" i="1"/>
  <c r="AD14" i="8"/>
  <c r="AB22" i="8"/>
  <c r="AM21" i="1"/>
  <c r="AA22" i="8" s="1"/>
  <c r="AQ17" i="1"/>
  <c r="AQ12" i="1"/>
  <c r="AR17" i="1"/>
  <c r="AR12" i="1"/>
  <c r="G114" i="1"/>
  <c r="AA114" i="1"/>
  <c r="Q209" i="1"/>
  <c r="U209" i="1"/>
  <c r="AC209" i="1"/>
  <c r="Y209" i="1"/>
  <c r="Q344" i="1"/>
  <c r="AF389" i="1"/>
  <c r="AG389" i="1" s="1"/>
  <c r="AD382" i="1"/>
  <c r="AB382" i="1"/>
  <c r="Z382" i="1"/>
  <c r="AD387" i="1" s="1"/>
  <c r="X382" i="1"/>
  <c r="V382" i="1"/>
  <c r="Z387" i="1" s="1"/>
  <c r="T382" i="1"/>
  <c r="R382" i="1"/>
  <c r="V387" i="1" s="1"/>
  <c r="P382" i="1"/>
  <c r="T388" i="1" s="1"/>
  <c r="N382" i="1"/>
  <c r="R388" i="1" s="1"/>
  <c r="R390" i="1" s="1"/>
  <c r="L382" i="1"/>
  <c r="AC381" i="1"/>
  <c r="Y381" i="1"/>
  <c r="U381" i="1"/>
  <c r="Q381" i="1"/>
  <c r="M381" i="1"/>
  <c r="F382" i="1"/>
  <c r="D382" i="1"/>
  <c r="J382" i="1"/>
  <c r="H382" i="1"/>
  <c r="AC389" i="1"/>
  <c r="Y389" i="1"/>
  <c r="U389" i="1"/>
  <c r="Q389" i="1"/>
  <c r="M389" i="1"/>
  <c r="I389" i="1"/>
  <c r="F384" i="1"/>
  <c r="F386" i="1" s="1"/>
  <c r="AC386" i="1"/>
  <c r="AG387" i="1" s="1"/>
  <c r="Y386" i="1"/>
  <c r="U386" i="1"/>
  <c r="AC384" i="1"/>
  <c r="AG385" i="1" s="1"/>
  <c r="Y384" i="1"/>
  <c r="U384" i="1"/>
  <c r="I381" i="1"/>
  <c r="Q334" i="1"/>
  <c r="M334" i="1"/>
  <c r="D327" i="1"/>
  <c r="H329" i="1" s="1"/>
  <c r="F329" i="1"/>
  <c r="F331" i="1" s="1"/>
  <c r="I334" i="1"/>
  <c r="N327" i="1"/>
  <c r="L327" i="1"/>
  <c r="P329" i="1" s="1"/>
  <c r="J327" i="1"/>
  <c r="N329" i="1" s="1"/>
  <c r="H327" i="1"/>
  <c r="L329" i="1" s="1"/>
  <c r="F327" i="1"/>
  <c r="J329" i="1" s="1"/>
  <c r="M326" i="1"/>
  <c r="I326" i="1"/>
  <c r="M253" i="1"/>
  <c r="I253" i="1"/>
  <c r="E245" i="1"/>
  <c r="D246" i="1"/>
  <c r="H248" i="1" s="1"/>
  <c r="F248" i="1"/>
  <c r="F250" i="1" s="1"/>
  <c r="F251" i="1" s="1"/>
  <c r="AC334" i="1"/>
  <c r="AC331" i="1"/>
  <c r="AC329" i="1"/>
  <c r="Z334" i="1"/>
  <c r="Y334" i="1" s="1"/>
  <c r="AD327" i="1"/>
  <c r="AB327" i="1"/>
  <c r="Z327" i="1"/>
  <c r="AD333" i="1" s="1"/>
  <c r="AD335" i="1" s="1"/>
  <c r="X327" i="1"/>
  <c r="AB333" i="1" s="1"/>
  <c r="AB335" i="1" s="1"/>
  <c r="V327" i="1"/>
  <c r="Z330" i="1" s="1"/>
  <c r="T327" i="1"/>
  <c r="X330" i="1" s="1"/>
  <c r="R327" i="1"/>
  <c r="V330" i="1" s="1"/>
  <c r="P327" i="1"/>
  <c r="T330" i="1" s="1"/>
  <c r="AF327" i="1"/>
  <c r="U334" i="1"/>
  <c r="Y331" i="1"/>
  <c r="U331" i="1"/>
  <c r="Y329" i="1"/>
  <c r="U329" i="1"/>
  <c r="AC326" i="1"/>
  <c r="Y326" i="1"/>
  <c r="U326" i="1"/>
  <c r="Q326" i="1"/>
  <c r="M346" i="1"/>
  <c r="Q346" i="1"/>
  <c r="U346" i="1"/>
  <c r="Y346" i="1"/>
  <c r="AC346" i="1"/>
  <c r="X253" i="1"/>
  <c r="X51" i="1" s="1"/>
  <c r="U250" i="1"/>
  <c r="U248" i="1"/>
  <c r="Q253" i="1"/>
  <c r="F246" i="1"/>
  <c r="J248" i="1" s="1"/>
  <c r="J246" i="1"/>
  <c r="N248" i="1" s="1"/>
  <c r="H246" i="1"/>
  <c r="L248" i="1" s="1"/>
  <c r="I245" i="1"/>
  <c r="N246" i="1"/>
  <c r="R249" i="1" s="1"/>
  <c r="L246" i="1"/>
  <c r="P248" i="1" s="1"/>
  <c r="M245" i="1"/>
  <c r="R246" i="1"/>
  <c r="V252" i="1" s="1"/>
  <c r="P246" i="1"/>
  <c r="T252" i="1" s="1"/>
  <c r="Q245" i="1"/>
  <c r="V246" i="1"/>
  <c r="Z249" i="1" s="1"/>
  <c r="T246" i="1"/>
  <c r="X252" i="1" s="1"/>
  <c r="Y245" i="1"/>
  <c r="AF246" i="1"/>
  <c r="AJ251" i="1" s="1"/>
  <c r="AD246" i="1"/>
  <c r="AB246" i="1"/>
  <c r="AF250" i="1" s="1"/>
  <c r="Z246" i="1"/>
  <c r="AD252" i="1" s="1"/>
  <c r="AC245" i="1"/>
  <c r="B235" i="5"/>
  <c r="C235" i="5"/>
  <c r="G235" i="5"/>
  <c r="K235" i="5"/>
  <c r="O235" i="5"/>
  <c r="S235" i="5"/>
  <c r="W235" i="5"/>
  <c r="AA235" i="5"/>
  <c r="S223" i="5"/>
  <c r="T223" i="5"/>
  <c r="U223" i="5"/>
  <c r="W223" i="5"/>
  <c r="X223" i="5"/>
  <c r="Y223" i="5"/>
  <c r="AA223" i="5"/>
  <c r="AB223" i="5"/>
  <c r="AC223" i="5"/>
  <c r="S224" i="5"/>
  <c r="T224" i="5"/>
  <c r="U224" i="5"/>
  <c r="W224" i="5"/>
  <c r="X224" i="5"/>
  <c r="Y224" i="5"/>
  <c r="AA224" i="5"/>
  <c r="AB224" i="5"/>
  <c r="AC224" i="5"/>
  <c r="S230" i="5"/>
  <c r="T230" i="5"/>
  <c r="U230" i="5"/>
  <c r="W230" i="5"/>
  <c r="X230" i="5"/>
  <c r="Y230" i="5"/>
  <c r="AA230" i="5"/>
  <c r="AB230" i="5"/>
  <c r="AC230" i="5"/>
  <c r="S231" i="5"/>
  <c r="T231" i="5"/>
  <c r="U231" i="5"/>
  <c r="W231" i="5"/>
  <c r="X231" i="5"/>
  <c r="Y231" i="5"/>
  <c r="AA231" i="5"/>
  <c r="AB231" i="5"/>
  <c r="AC231" i="5"/>
  <c r="S225" i="5"/>
  <c r="T225" i="5"/>
  <c r="U225" i="5"/>
  <c r="W225" i="5"/>
  <c r="X225" i="5"/>
  <c r="Y225" i="5"/>
  <c r="AA225" i="5"/>
  <c r="AB225" i="5"/>
  <c r="AC225" i="5"/>
  <c r="S226" i="5"/>
  <c r="T226" i="5"/>
  <c r="U226" i="5"/>
  <c r="W226" i="5"/>
  <c r="X226" i="5"/>
  <c r="Y226" i="5"/>
  <c r="AA226" i="5"/>
  <c r="AB226" i="5"/>
  <c r="AC226" i="5"/>
  <c r="S227" i="5"/>
  <c r="T227" i="5"/>
  <c r="U227" i="5"/>
  <c r="W227" i="5"/>
  <c r="X227" i="5"/>
  <c r="Y227" i="5"/>
  <c r="AA227" i="5"/>
  <c r="AB227" i="5"/>
  <c r="AC227" i="5"/>
  <c r="S228" i="5"/>
  <c r="T228" i="5"/>
  <c r="U228" i="5"/>
  <c r="W228" i="5"/>
  <c r="X228" i="5"/>
  <c r="Y228" i="5"/>
  <c r="AA228" i="5"/>
  <c r="AB228" i="5"/>
  <c r="AC228" i="5"/>
  <c r="AC210" i="5"/>
  <c r="AB210" i="5"/>
  <c r="AA210" i="5"/>
  <c r="Y210" i="5"/>
  <c r="X210" i="5"/>
  <c r="W210" i="5"/>
  <c r="U210" i="5"/>
  <c r="T210" i="5"/>
  <c r="S210" i="5"/>
  <c r="R45" i="5"/>
  <c r="R217" i="5"/>
  <c r="R230" i="5" s="1"/>
  <c r="V217" i="5"/>
  <c r="V230" i="5" s="1"/>
  <c r="Z217" i="5"/>
  <c r="Z230" i="5" s="1"/>
  <c r="AD217" i="5"/>
  <c r="AD230" i="5" s="1"/>
  <c r="R218" i="5"/>
  <c r="R231" i="5" s="1"/>
  <c r="V218" i="5"/>
  <c r="V231" i="5" s="1"/>
  <c r="Z218" i="5"/>
  <c r="Z231" i="5" s="1"/>
  <c r="AD218" i="5"/>
  <c r="AD231" i="5" s="1"/>
  <c r="R214" i="5"/>
  <c r="R227" i="5" s="1"/>
  <c r="V214" i="5"/>
  <c r="V227" i="5" s="1"/>
  <c r="Z214" i="5"/>
  <c r="Z227" i="5" s="1"/>
  <c r="AD214" i="5"/>
  <c r="AD227" i="5" s="1"/>
  <c r="R215" i="5"/>
  <c r="R228" i="5" s="1"/>
  <c r="V215" i="5"/>
  <c r="V228" i="5" s="1"/>
  <c r="Z215" i="5"/>
  <c r="Z228" i="5" s="1"/>
  <c r="AD215" i="5"/>
  <c r="AD228" i="5" s="1"/>
  <c r="R181" i="5"/>
  <c r="R204" i="5"/>
  <c r="R224" i="5" s="1"/>
  <c r="R212" i="5"/>
  <c r="R225" i="5" s="1"/>
  <c r="R206" i="5"/>
  <c r="R211" i="5" s="1"/>
  <c r="R178" i="5"/>
  <c r="V200" i="5"/>
  <c r="V204" i="5" s="1"/>
  <c r="V224" i="5" s="1"/>
  <c r="V213" i="5"/>
  <c r="V226" i="5" s="1"/>
  <c r="V212" i="5"/>
  <c r="V225" i="5" s="1"/>
  <c r="V206" i="5"/>
  <c r="V211" i="5" s="1"/>
  <c r="V196" i="5"/>
  <c r="V187" i="5"/>
  <c r="V189" i="5" s="1"/>
  <c r="V191" i="5" s="1"/>
  <c r="V193" i="5" s="1"/>
  <c r="Z206" i="5"/>
  <c r="Z211" i="5" s="1"/>
  <c r="AD206" i="5"/>
  <c r="AD211" i="5" s="1"/>
  <c r="AD213" i="5"/>
  <c r="AD226" i="5" s="1"/>
  <c r="AD212" i="5"/>
  <c r="AD225" i="5" s="1"/>
  <c r="Z213" i="5"/>
  <c r="Z226" i="5" s="1"/>
  <c r="Z212" i="5"/>
  <c r="Z225" i="5" s="1"/>
  <c r="AD204" i="5"/>
  <c r="AD224" i="5" s="1"/>
  <c r="Z204" i="5"/>
  <c r="Z224" i="5" s="1"/>
  <c r="Z196" i="5"/>
  <c r="AD196" i="5"/>
  <c r="Z187" i="5"/>
  <c r="Z189" i="5" s="1"/>
  <c r="Z191" i="5" s="1"/>
  <c r="AD187" i="5"/>
  <c r="AD189" i="5" s="1"/>
  <c r="AD191" i="5" s="1"/>
  <c r="V178" i="5"/>
  <c r="T178" i="5"/>
  <c r="Z178" i="5"/>
  <c r="AB178" i="5"/>
  <c r="AD178" i="5"/>
  <c r="X178" i="5"/>
  <c r="AL157" i="1" l="1"/>
  <c r="AL80" i="4"/>
  <c r="AL83" i="4" s="1"/>
  <c r="AL153" i="1"/>
  <c r="AL159" i="1" s="1"/>
  <c r="AL29" i="5"/>
  <c r="AL237" i="4"/>
  <c r="AL239" i="4" s="1"/>
  <c r="AL147" i="1"/>
  <c r="AL158" i="1" s="1"/>
  <c r="AL145" i="1"/>
  <c r="AL156" i="1" s="1"/>
  <c r="AJ248" i="1"/>
  <c r="AK248" i="1" s="1"/>
  <c r="AJ333" i="1"/>
  <c r="AD55" i="8"/>
  <c r="AA81" i="8"/>
  <c r="AA86" i="8"/>
  <c r="AS462" i="1"/>
  <c r="AC22" i="8"/>
  <c r="AF53" i="1"/>
  <c r="AG250" i="1"/>
  <c r="AH249" i="1"/>
  <c r="AH252" i="1"/>
  <c r="AH251" i="1"/>
  <c r="AG347" i="1"/>
  <c r="U26" i="51" s="1"/>
  <c r="U82" i="51" s="1"/>
  <c r="AH332" i="1"/>
  <c r="AH330" i="1"/>
  <c r="AH333" i="1"/>
  <c r="AH387" i="1"/>
  <c r="AH388" i="1"/>
  <c r="AH385" i="1"/>
  <c r="U53" i="1"/>
  <c r="AD336" i="1"/>
  <c r="AE335" i="1"/>
  <c r="R391" i="1"/>
  <c r="S390" i="1"/>
  <c r="AT460" i="1"/>
  <c r="AH14" i="8" s="1"/>
  <c r="AH55" i="8" s="1"/>
  <c r="AT461" i="1"/>
  <c r="AS17" i="1"/>
  <c r="AT17" i="1" s="1"/>
  <c r="AV460" i="1"/>
  <c r="AS12" i="1"/>
  <c r="AR21" i="1"/>
  <c r="AF22" i="8" s="1"/>
  <c r="AF63" i="8" s="1"/>
  <c r="AD223" i="5"/>
  <c r="AD229" i="5" s="1"/>
  <c r="AD232" i="5" s="1"/>
  <c r="Z223" i="5"/>
  <c r="Z229" i="5" s="1"/>
  <c r="Z232" i="5" s="1"/>
  <c r="V223" i="5"/>
  <c r="V229" i="5" s="1"/>
  <c r="V232" i="5" s="1"/>
  <c r="V210" i="5"/>
  <c r="V216" i="5" s="1"/>
  <c r="V219" i="5" s="1"/>
  <c r="Z210" i="5"/>
  <c r="Z216" i="5" s="1"/>
  <c r="Z219" i="5" s="1"/>
  <c r="AD210" i="5"/>
  <c r="AD216" i="5" s="1"/>
  <c r="AD219" i="5" s="1"/>
  <c r="R331" i="1"/>
  <c r="R332" i="1" s="1"/>
  <c r="R385" i="1"/>
  <c r="R387" i="1"/>
  <c r="U252" i="1"/>
  <c r="AD330" i="1"/>
  <c r="AC387" i="1"/>
  <c r="F387" i="1"/>
  <c r="F388" i="1"/>
  <c r="F390" i="1" s="1"/>
  <c r="F391" i="1" s="1"/>
  <c r="I248" i="1"/>
  <c r="J250" i="1"/>
  <c r="J251" i="1" s="1"/>
  <c r="AB332" i="1"/>
  <c r="AD251" i="1"/>
  <c r="AB330" i="1"/>
  <c r="AD332" i="1"/>
  <c r="Q248" i="1"/>
  <c r="P249" i="1"/>
  <c r="V249" i="1"/>
  <c r="F252" i="1"/>
  <c r="F254" i="1" s="1"/>
  <c r="F257" i="1" s="1"/>
  <c r="H331" i="1"/>
  <c r="H333" i="1" s="1"/>
  <c r="H335" i="1" s="1"/>
  <c r="X254" i="1"/>
  <c r="X257" i="1" s="1"/>
  <c r="N331" i="1"/>
  <c r="N332" i="1" s="1"/>
  <c r="F333" i="1"/>
  <c r="F335" i="1" s="1"/>
  <c r="AC385" i="1"/>
  <c r="V251" i="1"/>
  <c r="R251" i="1"/>
  <c r="AD249" i="1"/>
  <c r="H250" i="1"/>
  <c r="P331" i="1"/>
  <c r="P332" i="1" s="1"/>
  <c r="R330" i="1"/>
  <c r="J331" i="1"/>
  <c r="L331" i="1"/>
  <c r="L332" i="1" s="1"/>
  <c r="Q329" i="1"/>
  <c r="M329" i="1"/>
  <c r="F332" i="1"/>
  <c r="I329" i="1"/>
  <c r="L250" i="1"/>
  <c r="M248" i="1"/>
  <c r="N250" i="1"/>
  <c r="P250" i="1"/>
  <c r="AC333" i="1"/>
  <c r="AC335" i="1"/>
  <c r="R252" i="1"/>
  <c r="V254" i="1"/>
  <c r="U253" i="1"/>
  <c r="AC253" i="1"/>
  <c r="Y253" i="1"/>
  <c r="T254" i="1"/>
  <c r="T257" i="1" s="1"/>
  <c r="T249" i="1"/>
  <c r="T251" i="1"/>
  <c r="X249" i="1"/>
  <c r="AF248" i="1"/>
  <c r="AG248" i="1" s="1"/>
  <c r="U245" i="1"/>
  <c r="X251" i="1"/>
  <c r="Y248" i="1"/>
  <c r="X246" i="1"/>
  <c r="AB248" i="1" s="1"/>
  <c r="AB51" i="1" s="1"/>
  <c r="AD254" i="1"/>
  <c r="R187" i="5"/>
  <c r="AD193" i="5"/>
  <c r="Z193" i="5"/>
  <c r="D253" i="4"/>
  <c r="D255" i="4" s="1"/>
  <c r="D461" i="1"/>
  <c r="D466" i="1" s="1"/>
  <c r="D296" i="1"/>
  <c r="D215" i="1"/>
  <c r="D84" i="1"/>
  <c r="D78" i="1"/>
  <c r="D45" i="5"/>
  <c r="D44" i="5"/>
  <c r="D19" i="5"/>
  <c r="D15" i="5"/>
  <c r="F45" i="5"/>
  <c r="F44" i="5"/>
  <c r="F50" i="5"/>
  <c r="F49" i="5"/>
  <c r="E49" i="5" s="1"/>
  <c r="F19" i="5"/>
  <c r="F15" i="5"/>
  <c r="E102" i="5"/>
  <c r="F79" i="5"/>
  <c r="D79" i="5"/>
  <c r="E78" i="5"/>
  <c r="E77" i="5"/>
  <c r="E75" i="5"/>
  <c r="E74" i="5"/>
  <c r="E86" i="5" s="1"/>
  <c r="E73" i="5"/>
  <c r="E72" i="5"/>
  <c r="E71" i="5"/>
  <c r="E69" i="5"/>
  <c r="E68" i="5"/>
  <c r="E67" i="5"/>
  <c r="E48" i="5"/>
  <c r="E47" i="5"/>
  <c r="E46" i="5"/>
  <c r="E43" i="5"/>
  <c r="E42" i="5"/>
  <c r="E41" i="5"/>
  <c r="E23" i="5"/>
  <c r="E21" i="5"/>
  <c r="E18" i="5"/>
  <c r="E17" i="5"/>
  <c r="E16" i="5"/>
  <c r="E14" i="5"/>
  <c r="E241" i="4"/>
  <c r="E242" i="4" s="1"/>
  <c r="E231" i="4"/>
  <c r="H232" i="4" s="1"/>
  <c r="E228" i="4"/>
  <c r="E225" i="4"/>
  <c r="E222" i="4"/>
  <c r="E216" i="4"/>
  <c r="E213" i="4"/>
  <c r="E38" i="4" s="1"/>
  <c r="E210" i="4"/>
  <c r="E207" i="4"/>
  <c r="E204" i="4"/>
  <c r="E201" i="4"/>
  <c r="E198" i="4"/>
  <c r="E194" i="4"/>
  <c r="E26" i="4" s="1"/>
  <c r="E25" i="4"/>
  <c r="E156" i="4"/>
  <c r="E151" i="4"/>
  <c r="E136" i="4"/>
  <c r="E133" i="4"/>
  <c r="E27" i="4" s="1"/>
  <c r="E130" i="4"/>
  <c r="E21" i="4" s="1"/>
  <c r="E125" i="4"/>
  <c r="E17" i="4" s="1"/>
  <c r="E124" i="4"/>
  <c r="E121" i="4"/>
  <c r="E115" i="4"/>
  <c r="E113" i="4"/>
  <c r="E13" i="4" s="1"/>
  <c r="F63" i="4"/>
  <c r="D63" i="4"/>
  <c r="F61" i="4"/>
  <c r="D61" i="4"/>
  <c r="F60" i="4"/>
  <c r="D60" i="4"/>
  <c r="F59" i="4"/>
  <c r="D59" i="4"/>
  <c r="F58" i="4"/>
  <c r="D58" i="4"/>
  <c r="F57" i="4"/>
  <c r="D57" i="4"/>
  <c r="F56" i="4"/>
  <c r="D56" i="4"/>
  <c r="F46" i="4"/>
  <c r="D46" i="4"/>
  <c r="F45" i="4"/>
  <c r="D45" i="4"/>
  <c r="F44" i="4"/>
  <c r="D44" i="4"/>
  <c r="F43" i="4"/>
  <c r="D43" i="4"/>
  <c r="F42" i="4"/>
  <c r="D42" i="4"/>
  <c r="F38" i="4"/>
  <c r="D38" i="4"/>
  <c r="F37" i="4"/>
  <c r="D37" i="4"/>
  <c r="F36" i="4"/>
  <c r="D36" i="4"/>
  <c r="F35" i="4"/>
  <c r="D35" i="4"/>
  <c r="F34" i="4"/>
  <c r="D34" i="4"/>
  <c r="F33" i="4"/>
  <c r="D33" i="4"/>
  <c r="F26" i="4"/>
  <c r="D26" i="4"/>
  <c r="F25" i="4"/>
  <c r="D25" i="4"/>
  <c r="F24" i="4"/>
  <c r="D24" i="4"/>
  <c r="F23" i="4"/>
  <c r="D23" i="4"/>
  <c r="F22" i="4"/>
  <c r="D22" i="4"/>
  <c r="F27" i="4"/>
  <c r="D27" i="4"/>
  <c r="F21" i="4"/>
  <c r="D21" i="4"/>
  <c r="F17" i="4"/>
  <c r="D17" i="4"/>
  <c r="F16" i="4"/>
  <c r="D16" i="4"/>
  <c r="F15" i="4"/>
  <c r="D15" i="4"/>
  <c r="F14" i="4"/>
  <c r="D14" i="4"/>
  <c r="F13" i="4"/>
  <c r="D13" i="4"/>
  <c r="D108" i="5" s="1"/>
  <c r="F296" i="1"/>
  <c r="F215" i="1"/>
  <c r="F84" i="1"/>
  <c r="F78" i="1"/>
  <c r="E460" i="1"/>
  <c r="E12" i="1" s="1"/>
  <c r="F377" i="1"/>
  <c r="D377" i="1"/>
  <c r="E376" i="1"/>
  <c r="E359" i="1"/>
  <c r="E351" i="1"/>
  <c r="F323" i="1"/>
  <c r="D323" i="1"/>
  <c r="E322" i="1"/>
  <c r="F321" i="1"/>
  <c r="D321" i="1"/>
  <c r="E319" i="1"/>
  <c r="E305" i="1"/>
  <c r="E306" i="1" s="1"/>
  <c r="E295" i="1"/>
  <c r="E293" i="1"/>
  <c r="F241" i="1"/>
  <c r="D241" i="1"/>
  <c r="E240" i="1"/>
  <c r="F239" i="1"/>
  <c r="D239" i="1"/>
  <c r="E237" i="1"/>
  <c r="E224" i="1"/>
  <c r="E225" i="1" s="1"/>
  <c r="E214" i="1"/>
  <c r="E213" i="1"/>
  <c r="E211" i="1"/>
  <c r="E98" i="1"/>
  <c r="F95" i="1"/>
  <c r="E86" i="1"/>
  <c r="E85" i="1"/>
  <c r="E83" i="1"/>
  <c r="E82" i="1"/>
  <c r="E81" i="1"/>
  <c r="E80" i="1"/>
  <c r="E79" i="1"/>
  <c r="E77" i="1"/>
  <c r="E37" i="1"/>
  <c r="F17" i="1"/>
  <c r="F16" i="1"/>
  <c r="D16" i="1"/>
  <c r="H45" i="5"/>
  <c r="H50" i="5"/>
  <c r="H49" i="5"/>
  <c r="H19" i="5"/>
  <c r="H15" i="5"/>
  <c r="L253" i="4"/>
  <c r="L255" i="4" s="1"/>
  <c r="H296" i="1"/>
  <c r="H215" i="1"/>
  <c r="J45" i="5"/>
  <c r="J49" i="5"/>
  <c r="J19" i="5"/>
  <c r="J15" i="5"/>
  <c r="I102" i="5"/>
  <c r="J79" i="5"/>
  <c r="H79" i="5"/>
  <c r="I78" i="5"/>
  <c r="I77" i="5"/>
  <c r="I75" i="5"/>
  <c r="I74" i="5"/>
  <c r="I86" i="5" s="1"/>
  <c r="I73" i="5"/>
  <c r="I72" i="5"/>
  <c r="I71" i="5"/>
  <c r="I69" i="5"/>
  <c r="I68" i="5"/>
  <c r="I67" i="5"/>
  <c r="I48" i="5"/>
  <c r="I47" i="5"/>
  <c r="I44" i="5"/>
  <c r="I43" i="5"/>
  <c r="I42" i="5"/>
  <c r="I41" i="5"/>
  <c r="I23" i="5"/>
  <c r="I21" i="5"/>
  <c r="I18" i="5"/>
  <c r="I17" i="5"/>
  <c r="I16" i="5"/>
  <c r="I14" i="5"/>
  <c r="J253" i="4"/>
  <c r="J255" i="4" s="1"/>
  <c r="J296" i="1"/>
  <c r="J215" i="1"/>
  <c r="J78" i="1"/>
  <c r="J87" i="1" s="1"/>
  <c r="I461" i="1"/>
  <c r="I460" i="1"/>
  <c r="J404" i="1"/>
  <c r="H404" i="1"/>
  <c r="I403" i="1"/>
  <c r="I400" i="1"/>
  <c r="J377" i="1"/>
  <c r="H377" i="1"/>
  <c r="I376" i="1"/>
  <c r="I359" i="1"/>
  <c r="J323" i="1"/>
  <c r="H323" i="1"/>
  <c r="I322" i="1"/>
  <c r="J321" i="1"/>
  <c r="H321" i="1"/>
  <c r="I319" i="1"/>
  <c r="I305" i="1"/>
  <c r="I306" i="1" s="1"/>
  <c r="I295" i="1"/>
  <c r="I293" i="1"/>
  <c r="J241" i="1"/>
  <c r="H241" i="1"/>
  <c r="I240" i="1"/>
  <c r="J239" i="1"/>
  <c r="H239" i="1"/>
  <c r="I237" i="1"/>
  <c r="I224" i="1"/>
  <c r="I225" i="1" s="1"/>
  <c r="I214" i="1"/>
  <c r="I213" i="1"/>
  <c r="I211" i="1"/>
  <c r="I98" i="1"/>
  <c r="J95" i="1"/>
  <c r="H87" i="1"/>
  <c r="I86" i="1"/>
  <c r="I85" i="1"/>
  <c r="I84" i="1"/>
  <c r="I83" i="1"/>
  <c r="I82" i="1"/>
  <c r="I81" i="1"/>
  <c r="I80" i="1"/>
  <c r="I79" i="1"/>
  <c r="I77" i="1"/>
  <c r="I37" i="1"/>
  <c r="J17" i="1"/>
  <c r="H17" i="1"/>
  <c r="J16" i="1"/>
  <c r="H16" i="1"/>
  <c r="L50" i="5"/>
  <c r="M50" i="5" s="1"/>
  <c r="L49" i="5"/>
  <c r="L46" i="5"/>
  <c r="M46" i="5" s="1"/>
  <c r="L19" i="5"/>
  <c r="L15" i="5"/>
  <c r="P253" i="4"/>
  <c r="P255" i="4" s="1"/>
  <c r="N49" i="5"/>
  <c r="N45" i="5"/>
  <c r="M45" i="5" s="1"/>
  <c r="N19" i="5"/>
  <c r="N15" i="5"/>
  <c r="F10" i="5"/>
  <c r="E10" i="5"/>
  <c r="D10" i="5"/>
  <c r="E9" i="5"/>
  <c r="D9" i="5"/>
  <c r="J10" i="5"/>
  <c r="I10" i="5"/>
  <c r="H10" i="5"/>
  <c r="M102" i="5"/>
  <c r="N79" i="5"/>
  <c r="L79" i="5"/>
  <c r="M78" i="5"/>
  <c r="M77" i="5"/>
  <c r="M75" i="5"/>
  <c r="M74" i="5"/>
  <c r="M86" i="5" s="1"/>
  <c r="M73" i="5"/>
  <c r="M72" i="5"/>
  <c r="M71" i="5"/>
  <c r="M69" i="5"/>
  <c r="M68" i="5"/>
  <c r="M67" i="5"/>
  <c r="M48" i="5"/>
  <c r="M47" i="5"/>
  <c r="M44" i="5"/>
  <c r="M43" i="5"/>
  <c r="M42" i="5"/>
  <c r="M41" i="5"/>
  <c r="M23" i="5"/>
  <c r="M21" i="5"/>
  <c r="M18" i="5"/>
  <c r="M17" i="5"/>
  <c r="M16" i="5"/>
  <c r="M14" i="5"/>
  <c r="N10" i="5"/>
  <c r="M10" i="5"/>
  <c r="L10" i="5"/>
  <c r="R10" i="5"/>
  <c r="Q10" i="5"/>
  <c r="P10" i="5"/>
  <c r="F10" i="4"/>
  <c r="E10" i="4"/>
  <c r="D10" i="4"/>
  <c r="E9" i="4"/>
  <c r="D9" i="4"/>
  <c r="J10" i="4"/>
  <c r="I10" i="4"/>
  <c r="H10" i="4"/>
  <c r="N10" i="4"/>
  <c r="M10" i="4"/>
  <c r="L10" i="4"/>
  <c r="R10" i="4"/>
  <c r="Q10" i="4"/>
  <c r="P10" i="4"/>
  <c r="E254" i="4"/>
  <c r="E63" i="4" s="1"/>
  <c r="F253" i="4"/>
  <c r="F255" i="4" s="1"/>
  <c r="E251" i="4"/>
  <c r="E61" i="4" s="1"/>
  <c r="E249" i="4"/>
  <c r="E60" i="4" s="1"/>
  <c r="E247" i="4"/>
  <c r="E59" i="4" s="1"/>
  <c r="E244" i="4"/>
  <c r="E58" i="4" s="1"/>
  <c r="I254" i="4"/>
  <c r="I63" i="4" s="1"/>
  <c r="I251" i="4"/>
  <c r="I61" i="4" s="1"/>
  <c r="I249" i="4"/>
  <c r="I60" i="4" s="1"/>
  <c r="I247" i="4"/>
  <c r="I59" i="4" s="1"/>
  <c r="I244" i="4"/>
  <c r="I58" i="4" s="1"/>
  <c r="I241" i="4"/>
  <c r="I242" i="4" s="1"/>
  <c r="I231" i="4"/>
  <c r="I228" i="4"/>
  <c r="I225" i="4"/>
  <c r="I222" i="4"/>
  <c r="I216" i="4"/>
  <c r="I213" i="4"/>
  <c r="I38" i="4" s="1"/>
  <c r="I210" i="4"/>
  <c r="I207" i="4"/>
  <c r="I204" i="4"/>
  <c r="I201" i="4"/>
  <c r="I198" i="4"/>
  <c r="I194" i="4"/>
  <c r="I156" i="4"/>
  <c r="I151" i="4"/>
  <c r="I136" i="4"/>
  <c r="I149" i="4" s="1"/>
  <c r="I133" i="4"/>
  <c r="I130" i="4"/>
  <c r="I125" i="4"/>
  <c r="I17" i="4" s="1"/>
  <c r="I124" i="4"/>
  <c r="I121" i="4"/>
  <c r="I115" i="4"/>
  <c r="I113" i="4"/>
  <c r="I13" i="4" s="1"/>
  <c r="J63" i="4"/>
  <c r="H63" i="4"/>
  <c r="J61" i="4"/>
  <c r="H61" i="4"/>
  <c r="J60" i="4"/>
  <c r="H60" i="4"/>
  <c r="J59" i="4"/>
  <c r="H59" i="4"/>
  <c r="J58" i="4"/>
  <c r="H58" i="4"/>
  <c r="J57" i="4"/>
  <c r="H57" i="4"/>
  <c r="J56" i="4"/>
  <c r="H56" i="4"/>
  <c r="J46" i="4"/>
  <c r="H46" i="4"/>
  <c r="J45" i="4"/>
  <c r="H45" i="4"/>
  <c r="J44" i="4"/>
  <c r="H44" i="4"/>
  <c r="J43" i="4"/>
  <c r="H43" i="4"/>
  <c r="J42" i="4"/>
  <c r="H42" i="4"/>
  <c r="J38" i="4"/>
  <c r="H38" i="4"/>
  <c r="J37" i="4"/>
  <c r="H37" i="4"/>
  <c r="J36" i="4"/>
  <c r="H36" i="4"/>
  <c r="J35" i="4"/>
  <c r="H35" i="4"/>
  <c r="J34" i="4"/>
  <c r="H34" i="4"/>
  <c r="J33" i="4"/>
  <c r="H33" i="4"/>
  <c r="J26" i="4"/>
  <c r="H26" i="4"/>
  <c r="J25" i="4"/>
  <c r="H25" i="4"/>
  <c r="J24" i="4"/>
  <c r="H24" i="4"/>
  <c r="J23" i="4"/>
  <c r="H23" i="4"/>
  <c r="J22" i="4"/>
  <c r="H22" i="4"/>
  <c r="J27" i="4"/>
  <c r="H27" i="4"/>
  <c r="J21" i="4"/>
  <c r="H21" i="4"/>
  <c r="J17" i="4"/>
  <c r="H17" i="4"/>
  <c r="J16" i="4"/>
  <c r="H16" i="4"/>
  <c r="J15" i="4"/>
  <c r="H15" i="4"/>
  <c r="J14" i="4"/>
  <c r="H14" i="4"/>
  <c r="J13" i="4"/>
  <c r="H13" i="4"/>
  <c r="M254" i="4"/>
  <c r="M63" i="4" s="1"/>
  <c r="N253" i="4"/>
  <c r="N255" i="4" s="1"/>
  <c r="M251" i="4"/>
  <c r="M61" i="4" s="1"/>
  <c r="M249" i="4"/>
  <c r="M60" i="4" s="1"/>
  <c r="M247" i="4"/>
  <c r="M59" i="4" s="1"/>
  <c r="M244" i="4"/>
  <c r="M58" i="4" s="1"/>
  <c r="M241" i="4"/>
  <c r="M242" i="4" s="1"/>
  <c r="M231" i="4"/>
  <c r="M228" i="4"/>
  <c r="M225" i="4"/>
  <c r="M222" i="4"/>
  <c r="M216" i="4"/>
  <c r="M213" i="4"/>
  <c r="M38" i="4" s="1"/>
  <c r="M210" i="4"/>
  <c r="M207" i="4"/>
  <c r="M204" i="4"/>
  <c r="M201" i="4"/>
  <c r="M198" i="4"/>
  <c r="M194" i="4"/>
  <c r="M156" i="4"/>
  <c r="M165" i="4" s="1"/>
  <c r="M151" i="4"/>
  <c r="M136" i="4"/>
  <c r="M133" i="4"/>
  <c r="M130" i="4"/>
  <c r="M125" i="4"/>
  <c r="M17" i="4" s="1"/>
  <c r="M124" i="4"/>
  <c r="M121" i="4"/>
  <c r="M115" i="4"/>
  <c r="M113" i="4"/>
  <c r="M13" i="4" s="1"/>
  <c r="N63" i="4"/>
  <c r="L63" i="4"/>
  <c r="N61" i="4"/>
  <c r="L61" i="4"/>
  <c r="N60" i="4"/>
  <c r="L60" i="4"/>
  <c r="N59" i="4"/>
  <c r="L59" i="4"/>
  <c r="N58" i="4"/>
  <c r="L58" i="4"/>
  <c r="N57" i="4"/>
  <c r="L57" i="4"/>
  <c r="N56" i="4"/>
  <c r="L56" i="4"/>
  <c r="N46" i="4"/>
  <c r="L46" i="4"/>
  <c r="N45" i="4"/>
  <c r="L45" i="4"/>
  <c r="N44" i="4"/>
  <c r="L44" i="4"/>
  <c r="N43" i="4"/>
  <c r="L43" i="4"/>
  <c r="N42" i="4"/>
  <c r="L42" i="4"/>
  <c r="N38" i="4"/>
  <c r="L38" i="4"/>
  <c r="N37" i="4"/>
  <c r="L37" i="4"/>
  <c r="N36" i="4"/>
  <c r="L36" i="4"/>
  <c r="N35" i="4"/>
  <c r="L35" i="4"/>
  <c r="N34" i="4"/>
  <c r="L34" i="4"/>
  <c r="N33" i="4"/>
  <c r="L33" i="4"/>
  <c r="N26" i="4"/>
  <c r="L26" i="4"/>
  <c r="N25" i="4"/>
  <c r="L25" i="4"/>
  <c r="N24" i="4"/>
  <c r="L24" i="4"/>
  <c r="N23" i="4"/>
  <c r="L23" i="4"/>
  <c r="N22" i="4"/>
  <c r="L22" i="4"/>
  <c r="N27" i="4"/>
  <c r="L27" i="4"/>
  <c r="N21" i="4"/>
  <c r="L21" i="4"/>
  <c r="N17" i="4"/>
  <c r="L17" i="4"/>
  <c r="N16" i="4"/>
  <c r="L16" i="4"/>
  <c r="N15" i="4"/>
  <c r="L15" i="4"/>
  <c r="N14" i="4"/>
  <c r="L14" i="4"/>
  <c r="N13" i="4"/>
  <c r="L13" i="4"/>
  <c r="L461" i="1"/>
  <c r="L296" i="1"/>
  <c r="L215" i="1"/>
  <c r="N215" i="1"/>
  <c r="N350" i="1"/>
  <c r="N296" i="1"/>
  <c r="N78" i="1"/>
  <c r="N87" i="1" s="1"/>
  <c r="M460" i="1"/>
  <c r="N404" i="1"/>
  <c r="L404" i="1"/>
  <c r="M403" i="1"/>
  <c r="M400" i="1"/>
  <c r="N377" i="1"/>
  <c r="L377" i="1"/>
  <c r="M376" i="1"/>
  <c r="M359" i="1"/>
  <c r="M349" i="1"/>
  <c r="M348" i="1"/>
  <c r="N323" i="1"/>
  <c r="L323" i="1"/>
  <c r="M322" i="1"/>
  <c r="N321" i="1"/>
  <c r="L321" i="1"/>
  <c r="M319" i="1"/>
  <c r="M305" i="1"/>
  <c r="M306" i="1" s="1"/>
  <c r="M295" i="1"/>
  <c r="M293" i="1"/>
  <c r="N241" i="1"/>
  <c r="L241" i="1"/>
  <c r="M240" i="1"/>
  <c r="N239" i="1"/>
  <c r="L239" i="1"/>
  <c r="M237" i="1"/>
  <c r="M224" i="1"/>
  <c r="M225" i="1" s="1"/>
  <c r="M214" i="1"/>
  <c r="M213" i="1"/>
  <c r="M211" i="1"/>
  <c r="M98" i="1"/>
  <c r="N95" i="1"/>
  <c r="L87" i="1"/>
  <c r="M86" i="1"/>
  <c r="M85" i="1"/>
  <c r="M84" i="1"/>
  <c r="M83" i="1"/>
  <c r="M82" i="1"/>
  <c r="M81" i="1"/>
  <c r="M80" i="1"/>
  <c r="M79" i="1"/>
  <c r="M77" i="1"/>
  <c r="M37" i="1"/>
  <c r="N17" i="1"/>
  <c r="N16" i="1"/>
  <c r="L16" i="1"/>
  <c r="Z108" i="1"/>
  <c r="AD95" i="1"/>
  <c r="Z95" i="1"/>
  <c r="V95" i="1"/>
  <c r="AF87" i="1"/>
  <c r="I6" i="1"/>
  <c r="H6" i="1"/>
  <c r="H141" i="1" s="1"/>
  <c r="Q461" i="1"/>
  <c r="Q460" i="1"/>
  <c r="R404" i="1"/>
  <c r="P404" i="1"/>
  <c r="Q400" i="1"/>
  <c r="R377" i="1"/>
  <c r="F28" i="51" s="1"/>
  <c r="F92" i="51" s="1"/>
  <c r="P377" i="1"/>
  <c r="D28" i="51" s="1"/>
  <c r="D92" i="51" s="1"/>
  <c r="Q376" i="1"/>
  <c r="Q359" i="1"/>
  <c r="R351" i="1"/>
  <c r="P351" i="1"/>
  <c r="Q350" i="1"/>
  <c r="Q349" i="1"/>
  <c r="Q348" i="1"/>
  <c r="R323" i="1"/>
  <c r="F23" i="51" s="1"/>
  <c r="F77" i="51" s="1"/>
  <c r="P323" i="1"/>
  <c r="D23" i="51" s="1"/>
  <c r="D77" i="51" s="1"/>
  <c r="Q322" i="1"/>
  <c r="R321" i="1"/>
  <c r="P321" i="1"/>
  <c r="Q319" i="1"/>
  <c r="Q305" i="1"/>
  <c r="Q306" i="1" s="1"/>
  <c r="R297" i="1"/>
  <c r="P297" i="1"/>
  <c r="Q296" i="1"/>
  <c r="Q295" i="1"/>
  <c r="Q293" i="1"/>
  <c r="R241" i="1"/>
  <c r="F13" i="51" s="1"/>
  <c r="F49" i="51" s="1"/>
  <c r="P241" i="1"/>
  <c r="D13" i="51" s="1"/>
  <c r="D49" i="51" s="1"/>
  <c r="Q240" i="1"/>
  <c r="R239" i="1"/>
  <c r="P239" i="1"/>
  <c r="Q237" i="1"/>
  <c r="Q224" i="1"/>
  <c r="R216" i="1"/>
  <c r="R221" i="1" s="1"/>
  <c r="P216" i="1"/>
  <c r="P221" i="1" s="1"/>
  <c r="Q215" i="1"/>
  <c r="Q214" i="1"/>
  <c r="Q213" i="1"/>
  <c r="Q211" i="1"/>
  <c r="P87" i="1"/>
  <c r="D33" i="8" s="1"/>
  <c r="Q86" i="1"/>
  <c r="Q85" i="1"/>
  <c r="Q84" i="1"/>
  <c r="Q83" i="1"/>
  <c r="Q82" i="1"/>
  <c r="Q81" i="1"/>
  <c r="Q80" i="1"/>
  <c r="R79" i="1"/>
  <c r="R87" i="1" s="1"/>
  <c r="F33" i="8" s="1"/>
  <c r="Q78" i="1"/>
  <c r="Q77" i="1"/>
  <c r="Q37" i="1"/>
  <c r="R17" i="1"/>
  <c r="P17" i="1"/>
  <c r="R16" i="1"/>
  <c r="P16" i="1"/>
  <c r="AD17" i="1"/>
  <c r="Z17" i="1"/>
  <c r="X17" i="1"/>
  <c r="V17" i="1"/>
  <c r="T17" i="1"/>
  <c r="AF247" i="4"/>
  <c r="AF125" i="4"/>
  <c r="AF245" i="4"/>
  <c r="AF238" i="4"/>
  <c r="AI238" i="4" s="1"/>
  <c r="AF119" i="4"/>
  <c r="AF16" i="4"/>
  <c r="AF15" i="4"/>
  <c r="AG30" i="5" s="1"/>
  <c r="AF14" i="4"/>
  <c r="AG32" i="5" s="1"/>
  <c r="AF13" i="4"/>
  <c r="AF378" i="1"/>
  <c r="AF377" i="1"/>
  <c r="AF351" i="1"/>
  <c r="AJ352" i="1" s="1"/>
  <c r="AF347" i="1"/>
  <c r="T26" i="51" s="1"/>
  <c r="T82" i="51" s="1"/>
  <c r="AF323" i="1"/>
  <c r="T23" i="51" s="1"/>
  <c r="T77" i="51" s="1"/>
  <c r="AF321" i="1"/>
  <c r="AF297" i="1"/>
  <c r="AF294" i="1"/>
  <c r="T21" i="51" s="1"/>
  <c r="T67" i="51" s="1"/>
  <c r="AF283" i="1"/>
  <c r="AF282" i="1"/>
  <c r="T18" i="51" s="1"/>
  <c r="T62" i="51" s="1"/>
  <c r="AF280" i="1"/>
  <c r="AF273" i="1"/>
  <c r="AG273" i="1" s="1"/>
  <c r="AF272" i="1"/>
  <c r="AF268" i="1"/>
  <c r="T16" i="51" s="1"/>
  <c r="T54" i="51" s="1"/>
  <c r="AF242" i="1"/>
  <c r="AF241" i="1"/>
  <c r="T13" i="51" s="1"/>
  <c r="T49" i="51" s="1"/>
  <c r="AF239" i="1"/>
  <c r="AF216" i="1"/>
  <c r="AF212" i="1"/>
  <c r="T11" i="51" s="1"/>
  <c r="T39" i="51" s="1"/>
  <c r="AC461" i="1"/>
  <c r="Y461" i="1"/>
  <c r="U461" i="1"/>
  <c r="AC460" i="1"/>
  <c r="Y460" i="1"/>
  <c r="U460" i="1"/>
  <c r="AJ14" i="8" l="1"/>
  <c r="AJ55" i="8" s="1"/>
  <c r="E13" i="8"/>
  <c r="E14" i="8"/>
  <c r="M12" i="1"/>
  <c r="I14" i="8"/>
  <c r="E30" i="8"/>
  <c r="I12" i="1"/>
  <c r="AG277" i="1"/>
  <c r="AG274" i="1"/>
  <c r="U17" i="51" s="1"/>
  <c r="U58" i="51" s="1"/>
  <c r="AK249" i="1"/>
  <c r="AK51" i="1"/>
  <c r="AJ335" i="1"/>
  <c r="AK333" i="1"/>
  <c r="AJ252" i="1"/>
  <c r="AF221" i="1"/>
  <c r="T8" i="8" s="1"/>
  <c r="AJ217" i="1"/>
  <c r="AJ298" i="1"/>
  <c r="F108" i="5"/>
  <c r="J45" i="1"/>
  <c r="J108" i="5"/>
  <c r="N45" i="1"/>
  <c r="M108" i="5"/>
  <c r="H108" i="5"/>
  <c r="I108" i="5"/>
  <c r="E108" i="5"/>
  <c r="M44" i="1"/>
  <c r="I44" i="1"/>
  <c r="E44" i="1"/>
  <c r="Q44" i="1"/>
  <c r="AV462" i="1"/>
  <c r="Q14" i="8"/>
  <c r="AC462" i="1"/>
  <c r="AT462" i="1"/>
  <c r="M14" i="8"/>
  <c r="Y462" i="1"/>
  <c r="AD22" i="8"/>
  <c r="AG26" i="5"/>
  <c r="AH390" i="1"/>
  <c r="AI390" i="1" s="1"/>
  <c r="AH335" i="1"/>
  <c r="AI335" i="1" s="1"/>
  <c r="AH254" i="1"/>
  <c r="AI254" i="1" s="1"/>
  <c r="AG53" i="1"/>
  <c r="T33" i="8"/>
  <c r="L108" i="5"/>
  <c r="N108" i="5"/>
  <c r="BX43" i="8"/>
  <c r="AF108" i="5"/>
  <c r="V53" i="1"/>
  <c r="V257" i="1"/>
  <c r="W254" i="1"/>
  <c r="Q250" i="1"/>
  <c r="L251" i="1"/>
  <c r="AF252" i="1"/>
  <c r="AF254" i="1" s="1"/>
  <c r="AF257" i="1" s="1"/>
  <c r="AD257" i="1"/>
  <c r="AE254" i="1"/>
  <c r="M327" i="1"/>
  <c r="Q330" i="1" s="1"/>
  <c r="J71" i="4"/>
  <c r="J21" i="1"/>
  <c r="J216" i="1"/>
  <c r="J226" i="1" s="1"/>
  <c r="F21" i="1"/>
  <c r="E42" i="1"/>
  <c r="E327" i="1"/>
  <c r="I330" i="1" s="1"/>
  <c r="E360" i="1"/>
  <c r="M360" i="1"/>
  <c r="N216" i="1"/>
  <c r="N226" i="1" s="1"/>
  <c r="M71" i="4"/>
  <c r="I246" i="1"/>
  <c r="M249" i="1" s="1"/>
  <c r="I360" i="1"/>
  <c r="H216" i="1"/>
  <c r="H226" i="1" s="1"/>
  <c r="E119" i="4"/>
  <c r="D71" i="4"/>
  <c r="E71" i="4"/>
  <c r="N21" i="1"/>
  <c r="L216" i="1"/>
  <c r="L226" i="1" s="1"/>
  <c r="I327" i="1"/>
  <c r="M330" i="1" s="1"/>
  <c r="F71" i="4"/>
  <c r="H71" i="4"/>
  <c r="I71" i="4"/>
  <c r="H21" i="1"/>
  <c r="I119" i="4"/>
  <c r="F98" i="1"/>
  <c r="E246" i="1"/>
  <c r="I249" i="1" s="1"/>
  <c r="F216" i="1"/>
  <c r="F226" i="1" s="1"/>
  <c r="D216" i="1"/>
  <c r="D228" i="1" s="1"/>
  <c r="M42" i="1"/>
  <c r="Q42" i="1"/>
  <c r="I42" i="1"/>
  <c r="AF363" i="1"/>
  <c r="Q327" i="1"/>
  <c r="U330" i="1" s="1"/>
  <c r="Q360" i="1"/>
  <c r="P356" i="1"/>
  <c r="R356" i="1"/>
  <c r="AQ21" i="1"/>
  <c r="AE22" i="8" s="1"/>
  <c r="AE63" i="8" s="1"/>
  <c r="D8" i="8"/>
  <c r="F8" i="8"/>
  <c r="Q212" i="1"/>
  <c r="E11" i="51" s="1"/>
  <c r="E39" i="51" s="1"/>
  <c r="M212" i="1"/>
  <c r="AF274" i="1"/>
  <c r="T17" i="8"/>
  <c r="P405" i="1"/>
  <c r="D21" i="8"/>
  <c r="R405" i="1"/>
  <c r="F21" i="8"/>
  <c r="AT12" i="1"/>
  <c r="AU12" i="1" s="1"/>
  <c r="AU17" i="1"/>
  <c r="R302" i="1"/>
  <c r="Q225" i="1"/>
  <c r="BX44" i="8"/>
  <c r="P302" i="1"/>
  <c r="BX45" i="8"/>
  <c r="AF302" i="1"/>
  <c r="E356" i="1"/>
  <c r="AF356" i="1"/>
  <c r="AF92" i="4"/>
  <c r="L71" i="4"/>
  <c r="L92" i="4"/>
  <c r="N71" i="4"/>
  <c r="N92" i="4"/>
  <c r="N70" i="4"/>
  <c r="N468" i="1" s="1"/>
  <c r="H70" i="4"/>
  <c r="J70" i="4"/>
  <c r="L70" i="4"/>
  <c r="L468" i="1" s="1"/>
  <c r="D70" i="4"/>
  <c r="F70" i="4"/>
  <c r="E23" i="4"/>
  <c r="N39" i="8"/>
  <c r="H297" i="1"/>
  <c r="J39" i="8"/>
  <c r="N297" i="1"/>
  <c r="N351" i="1"/>
  <c r="F297" i="1"/>
  <c r="P21" i="1"/>
  <c r="R21" i="1"/>
  <c r="Q119" i="4"/>
  <c r="L297" i="1"/>
  <c r="D297" i="1"/>
  <c r="R307" i="1"/>
  <c r="Q12" i="1"/>
  <c r="U12" i="1"/>
  <c r="P307" i="1"/>
  <c r="Y12" i="1"/>
  <c r="R39" i="8"/>
  <c r="AW460" i="1"/>
  <c r="AV12" i="1"/>
  <c r="AV17" i="1"/>
  <c r="AS21" i="1"/>
  <c r="AG22" i="8" s="1"/>
  <c r="AG63" i="8" s="1"/>
  <c r="AC12" i="1"/>
  <c r="H28" i="4"/>
  <c r="J28" i="4"/>
  <c r="Q382" i="1"/>
  <c r="U385" i="1" s="1"/>
  <c r="Q375" i="1"/>
  <c r="M382" i="1"/>
  <c r="M375" i="1"/>
  <c r="E382" i="1"/>
  <c r="E375" i="1"/>
  <c r="I382" i="1"/>
  <c r="I375" i="1"/>
  <c r="R363" i="1"/>
  <c r="R361" i="1"/>
  <c r="E361" i="1"/>
  <c r="E363" i="1"/>
  <c r="AF361" i="1"/>
  <c r="P361" i="1"/>
  <c r="P363" i="1"/>
  <c r="AF310" i="1"/>
  <c r="AD21" i="1"/>
  <c r="V21" i="1"/>
  <c r="Z21" i="1"/>
  <c r="N28" i="4"/>
  <c r="D28" i="4"/>
  <c r="L28" i="4"/>
  <c r="F28" i="4"/>
  <c r="AF253" i="4"/>
  <c r="AF255" i="4" s="1"/>
  <c r="M36" i="4"/>
  <c r="I43" i="4"/>
  <c r="M35" i="4"/>
  <c r="E45" i="4"/>
  <c r="M37" i="4"/>
  <c r="I44" i="4"/>
  <c r="I45" i="4"/>
  <c r="M43" i="4"/>
  <c r="M44" i="4"/>
  <c r="E36" i="4"/>
  <c r="M45" i="4"/>
  <c r="E37" i="4"/>
  <c r="I35" i="4"/>
  <c r="I36" i="4"/>
  <c r="I37" i="4"/>
  <c r="E43" i="4"/>
  <c r="E44" i="4"/>
  <c r="E34" i="4"/>
  <c r="I42" i="4"/>
  <c r="I219" i="4"/>
  <c r="E33" i="4"/>
  <c r="X21" i="1"/>
  <c r="M42" i="4"/>
  <c r="M219" i="4"/>
  <c r="I33" i="4"/>
  <c r="AB21" i="1"/>
  <c r="T21" i="1"/>
  <c r="E42" i="4"/>
  <c r="E219" i="4"/>
  <c r="M33" i="4"/>
  <c r="I26" i="4"/>
  <c r="I195" i="4"/>
  <c r="I34" i="4"/>
  <c r="M26" i="4"/>
  <c r="M195" i="4"/>
  <c r="M34" i="4"/>
  <c r="I25" i="4"/>
  <c r="E14" i="4"/>
  <c r="E105" i="5" s="1"/>
  <c r="M25" i="4"/>
  <c r="I14" i="4"/>
  <c r="I105" i="5" s="1"/>
  <c r="L105" i="5"/>
  <c r="M14" i="4"/>
  <c r="M105" i="5" s="1"/>
  <c r="M23" i="4"/>
  <c r="M152" i="4"/>
  <c r="I23" i="4"/>
  <c r="I152" i="4"/>
  <c r="I21" i="4"/>
  <c r="I131" i="4"/>
  <c r="I27" i="4"/>
  <c r="I134" i="4"/>
  <c r="M21" i="4"/>
  <c r="M131" i="4"/>
  <c r="M27" i="4"/>
  <c r="M134" i="4"/>
  <c r="D105" i="5"/>
  <c r="F105" i="5"/>
  <c r="N105" i="5"/>
  <c r="H105" i="5"/>
  <c r="J105" i="5"/>
  <c r="AF71" i="4"/>
  <c r="AF105" i="5"/>
  <c r="M24" i="4"/>
  <c r="E24" i="4"/>
  <c r="E165" i="4"/>
  <c r="I24" i="4"/>
  <c r="I165" i="4"/>
  <c r="M22" i="4"/>
  <c r="M149" i="4"/>
  <c r="E22" i="4"/>
  <c r="E149" i="4"/>
  <c r="I56" i="4"/>
  <c r="E56" i="4"/>
  <c r="M56" i="4"/>
  <c r="E46" i="4"/>
  <c r="E70" i="4" s="1"/>
  <c r="M46" i="4"/>
  <c r="M70" i="4" s="1"/>
  <c r="M232" i="4"/>
  <c r="P232" i="4"/>
  <c r="I46" i="4"/>
  <c r="I70" i="4" s="1"/>
  <c r="I232" i="4"/>
  <c r="L232" i="4"/>
  <c r="M246" i="1"/>
  <c r="Q246" i="1"/>
  <c r="U251" i="1" s="1"/>
  <c r="F30" i="1"/>
  <c r="P30" i="1"/>
  <c r="R333" i="1"/>
  <c r="P333" i="1"/>
  <c r="P335" i="1" s="1"/>
  <c r="P336" i="1" s="1"/>
  <c r="T28" i="51"/>
  <c r="T92" i="51" s="1"/>
  <c r="R30" i="1"/>
  <c r="L30" i="1"/>
  <c r="H30" i="1"/>
  <c r="D30" i="1"/>
  <c r="J30" i="1"/>
  <c r="P226" i="1"/>
  <c r="P11" i="1"/>
  <c r="N98" i="1"/>
  <c r="R228" i="1"/>
  <c r="R231" i="1" s="1"/>
  <c r="R11" i="1"/>
  <c r="N30" i="1"/>
  <c r="D364" i="1"/>
  <c r="F364" i="1"/>
  <c r="AF228" i="1"/>
  <c r="AF229" i="1" s="1"/>
  <c r="I466" i="1"/>
  <c r="M119" i="4"/>
  <c r="AF17" i="4"/>
  <c r="AF126" i="4"/>
  <c r="AG127" i="4" s="1"/>
  <c r="M16" i="4"/>
  <c r="M126" i="4"/>
  <c r="I16" i="4"/>
  <c r="I126" i="4"/>
  <c r="E16" i="4"/>
  <c r="E126" i="4"/>
  <c r="H127" i="4" s="1"/>
  <c r="E15" i="4"/>
  <c r="I15" i="4"/>
  <c r="Y466" i="1"/>
  <c r="Q466" i="1"/>
  <c r="E22" i="8" s="1"/>
  <c r="P252" i="1"/>
  <c r="P254" i="1" s="1"/>
  <c r="P257" i="1" s="1"/>
  <c r="M461" i="1"/>
  <c r="M466" i="1" s="1"/>
  <c r="L466" i="1"/>
  <c r="U466" i="1"/>
  <c r="I22" i="8" s="1"/>
  <c r="I331" i="1"/>
  <c r="AC466" i="1"/>
  <c r="J6" i="1"/>
  <c r="I127" i="1"/>
  <c r="L6" i="1"/>
  <c r="H172" i="1"/>
  <c r="H405" i="1"/>
  <c r="H408" i="1"/>
  <c r="L405" i="1"/>
  <c r="L408" i="1"/>
  <c r="J405" i="1"/>
  <c r="J408" i="1"/>
  <c r="N405" i="1"/>
  <c r="N408" i="1"/>
  <c r="F47" i="4"/>
  <c r="R189" i="5"/>
  <c r="R223" i="5"/>
  <c r="H332" i="1"/>
  <c r="J252" i="1"/>
  <c r="J254" i="1" s="1"/>
  <c r="N333" i="1"/>
  <c r="N335" i="1" s="1"/>
  <c r="O335" i="1" s="1"/>
  <c r="M331" i="1"/>
  <c r="Q331" i="1"/>
  <c r="V385" i="1"/>
  <c r="V388" i="1"/>
  <c r="V390" i="1" s="1"/>
  <c r="P384" i="1"/>
  <c r="N384" i="1"/>
  <c r="T390" i="1"/>
  <c r="T391" i="1" s="1"/>
  <c r="T387" i="1"/>
  <c r="T385" i="1"/>
  <c r="H384" i="1"/>
  <c r="H51" i="1" s="1"/>
  <c r="P251" i="1"/>
  <c r="L384" i="1"/>
  <c r="J384" i="1"/>
  <c r="AB250" i="1"/>
  <c r="AB53" i="1" s="1"/>
  <c r="U254" i="1"/>
  <c r="J332" i="1"/>
  <c r="J333" i="1"/>
  <c r="J335" i="1" s="1"/>
  <c r="L333" i="1"/>
  <c r="L335" i="1" s="1"/>
  <c r="L336" i="1" s="1"/>
  <c r="F336" i="1"/>
  <c r="L252" i="1"/>
  <c r="L254" i="1" s="1"/>
  <c r="L257" i="1" s="1"/>
  <c r="M250" i="1"/>
  <c r="N251" i="1"/>
  <c r="N252" i="1"/>
  <c r="V332" i="1"/>
  <c r="V333" i="1"/>
  <c r="T332" i="1"/>
  <c r="T333" i="1"/>
  <c r="T335" i="1" s="1"/>
  <c r="T336" i="1" s="1"/>
  <c r="R254" i="1"/>
  <c r="AC248" i="1"/>
  <c r="I296" i="1"/>
  <c r="Q323" i="1"/>
  <c r="E23" i="51" s="1"/>
  <c r="E77" i="51" s="1"/>
  <c r="L17" i="1"/>
  <c r="I323" i="1"/>
  <c r="E15" i="5"/>
  <c r="D22" i="5"/>
  <c r="D24" i="5" s="1"/>
  <c r="I15" i="5"/>
  <c r="I49" i="5"/>
  <c r="E45" i="5"/>
  <c r="F51" i="5"/>
  <c r="I45" i="5"/>
  <c r="I19" i="5"/>
  <c r="N22" i="5"/>
  <c r="N24" i="5" s="1"/>
  <c r="D51" i="5"/>
  <c r="E19" i="5"/>
  <c r="L22" i="5"/>
  <c r="L24" i="5" s="1"/>
  <c r="H51" i="5"/>
  <c r="E44" i="5"/>
  <c r="M215" i="1"/>
  <c r="M296" i="1"/>
  <c r="M350" i="1"/>
  <c r="E84" i="1"/>
  <c r="M78" i="1"/>
  <c r="M87" i="1" s="1"/>
  <c r="E215" i="1"/>
  <c r="M323" i="1"/>
  <c r="J297" i="1"/>
  <c r="F18" i="1"/>
  <c r="D17" i="1"/>
  <c r="E99" i="1"/>
  <c r="E461" i="1"/>
  <c r="E466" i="1" s="1"/>
  <c r="F87" i="1"/>
  <c r="I5" i="1"/>
  <c r="H39" i="4"/>
  <c r="H9" i="5"/>
  <c r="Q377" i="1"/>
  <c r="E28" i="51" s="1"/>
  <c r="E92" i="51" s="1"/>
  <c r="I9" i="5"/>
  <c r="E323" i="1"/>
  <c r="H9" i="4"/>
  <c r="E241" i="1"/>
  <c r="I9" i="4"/>
  <c r="I404" i="1"/>
  <c r="D47" i="4"/>
  <c r="D87" i="1"/>
  <c r="D18" i="4"/>
  <c r="D39" i="4"/>
  <c r="D62" i="4"/>
  <c r="E377" i="1"/>
  <c r="E78" i="1"/>
  <c r="E79" i="5"/>
  <c r="E50" i="5"/>
  <c r="F22" i="5"/>
  <c r="F24" i="5" s="1"/>
  <c r="F62" i="4"/>
  <c r="H47" i="4"/>
  <c r="E35" i="4"/>
  <c r="F39" i="4"/>
  <c r="F18" i="4"/>
  <c r="E57" i="4"/>
  <c r="E239" i="1"/>
  <c r="E16" i="1"/>
  <c r="E296" i="1"/>
  <c r="E321" i="1"/>
  <c r="I46" i="5"/>
  <c r="H22" i="5"/>
  <c r="H24" i="5" s="1"/>
  <c r="H18" i="1"/>
  <c r="I377" i="1"/>
  <c r="H364" i="1"/>
  <c r="I321" i="1"/>
  <c r="I79" i="5"/>
  <c r="I50" i="5"/>
  <c r="J22" i="5"/>
  <c r="J24" i="5" s="1"/>
  <c r="J51" i="5"/>
  <c r="J18" i="1"/>
  <c r="I241" i="1"/>
  <c r="J364" i="1"/>
  <c r="I17" i="1"/>
  <c r="J98" i="1"/>
  <c r="I16" i="1"/>
  <c r="I78" i="1"/>
  <c r="I87" i="1" s="1"/>
  <c r="I215" i="1"/>
  <c r="I239" i="1"/>
  <c r="I351" i="1"/>
  <c r="M19" i="5"/>
  <c r="M49" i="5"/>
  <c r="M51" i="5" s="1"/>
  <c r="M15" i="5"/>
  <c r="N51" i="5"/>
  <c r="M79" i="5"/>
  <c r="L51" i="5"/>
  <c r="H18" i="4"/>
  <c r="J39" i="4"/>
  <c r="J47" i="4"/>
  <c r="J18" i="4"/>
  <c r="I22" i="4"/>
  <c r="H62" i="4"/>
  <c r="I57" i="4"/>
  <c r="J62" i="4"/>
  <c r="E253" i="4"/>
  <c r="E255" i="4" s="1"/>
  <c r="M57" i="4"/>
  <c r="N18" i="4"/>
  <c r="I253" i="4"/>
  <c r="I255" i="4" s="1"/>
  <c r="N62" i="4"/>
  <c r="N39" i="4"/>
  <c r="L62" i="4"/>
  <c r="L47" i="4"/>
  <c r="L18" i="4"/>
  <c r="M15" i="4"/>
  <c r="L39" i="4"/>
  <c r="N47" i="4"/>
  <c r="M253" i="4"/>
  <c r="M255" i="4" s="1"/>
  <c r="M404" i="1"/>
  <c r="N18" i="1"/>
  <c r="M377" i="1"/>
  <c r="M321" i="1"/>
  <c r="M241" i="1"/>
  <c r="M16" i="1"/>
  <c r="M239" i="1"/>
  <c r="H5" i="1"/>
  <c r="M6" i="1"/>
  <c r="M127" i="1" s="1"/>
  <c r="R310" i="1"/>
  <c r="P18" i="1"/>
  <c r="U17" i="1"/>
  <c r="AC17" i="1"/>
  <c r="Q404" i="1"/>
  <c r="Q79" i="1"/>
  <c r="Q87" i="1" s="1"/>
  <c r="E33" i="8" s="1"/>
  <c r="P310" i="1"/>
  <c r="Q351" i="1"/>
  <c r="Q216" i="1"/>
  <c r="Q221" i="1" s="1"/>
  <c r="Q297" i="1"/>
  <c r="Q321" i="1"/>
  <c r="Q17" i="1"/>
  <c r="Q241" i="1"/>
  <c r="E13" i="51" s="1"/>
  <c r="E49" i="51" s="1"/>
  <c r="P228" i="1"/>
  <c r="R18" i="1"/>
  <c r="R226" i="1"/>
  <c r="Q239" i="1"/>
  <c r="Y17" i="1"/>
  <c r="Q16" i="1"/>
  <c r="AF277" i="1"/>
  <c r="AH277" i="1" s="1"/>
  <c r="AF307" i="1"/>
  <c r="AF226" i="1"/>
  <c r="AF63" i="4"/>
  <c r="AF60" i="4"/>
  <c r="AK14" i="8" l="1"/>
  <c r="AK55" i="8" s="1"/>
  <c r="AJ357" i="1"/>
  <c r="X86" i="51" s="1"/>
  <c r="AJ222" i="1"/>
  <c r="X43" i="51" s="1"/>
  <c r="AJ303" i="1"/>
  <c r="X71" i="51" s="1"/>
  <c r="AJ254" i="1"/>
  <c r="AK252" i="1"/>
  <c r="AJ336" i="1"/>
  <c r="AK335" i="1"/>
  <c r="AK336" i="1" s="1"/>
  <c r="U55" i="8"/>
  <c r="M45" i="1"/>
  <c r="H45" i="1"/>
  <c r="L45" i="1"/>
  <c r="I45" i="1"/>
  <c r="AW462" i="1"/>
  <c r="J22" i="8"/>
  <c r="J63" i="8" s="1"/>
  <c r="P366" i="1"/>
  <c r="F16" i="8"/>
  <c r="F42" i="8" s="1"/>
  <c r="N22" i="8"/>
  <c r="R22" i="8"/>
  <c r="R366" i="1"/>
  <c r="T17" i="51"/>
  <c r="T58" i="51" s="1"/>
  <c r="L51" i="1"/>
  <c r="E366" i="1"/>
  <c r="P22" i="8"/>
  <c r="L22" i="8"/>
  <c r="L63" i="8" s="1"/>
  <c r="AG252" i="1"/>
  <c r="AG31" i="5"/>
  <c r="AH53" i="1"/>
  <c r="AH257" i="1"/>
  <c r="AG254" i="1"/>
  <c r="AG257" i="1" s="1"/>
  <c r="AH336" i="1"/>
  <c r="AH391" i="1"/>
  <c r="L228" i="1"/>
  <c r="I332" i="1"/>
  <c r="Q251" i="1"/>
  <c r="P51" i="1"/>
  <c r="V391" i="1"/>
  <c r="W390" i="1"/>
  <c r="AB252" i="1"/>
  <c r="AB254" i="1" s="1"/>
  <c r="AB257" i="1" s="1"/>
  <c r="I335" i="1"/>
  <c r="K335" i="1"/>
  <c r="H228" i="1"/>
  <c r="F11" i="8"/>
  <c r="J257" i="1"/>
  <c r="K254" i="1"/>
  <c r="D11" i="8"/>
  <c r="S254" i="1"/>
  <c r="R257" i="1"/>
  <c r="L386" i="1"/>
  <c r="L53" i="1" s="1"/>
  <c r="Q384" i="1"/>
  <c r="Q385" i="1" s="1"/>
  <c r="AC250" i="1"/>
  <c r="AC53" i="1" s="1"/>
  <c r="N228" i="1"/>
  <c r="J228" i="1"/>
  <c r="F228" i="1"/>
  <c r="F229" i="1" s="1"/>
  <c r="M332" i="1"/>
  <c r="D226" i="1"/>
  <c r="Q332" i="1"/>
  <c r="M251" i="1"/>
  <c r="I216" i="1"/>
  <c r="I228" i="1" s="1"/>
  <c r="F194" i="1"/>
  <c r="E216" i="1"/>
  <c r="E228" i="1" s="1"/>
  <c r="L235" i="5"/>
  <c r="N361" i="1"/>
  <c r="H11" i="1"/>
  <c r="J194" i="1"/>
  <c r="I21" i="1"/>
  <c r="L194" i="1"/>
  <c r="F235" i="5"/>
  <c r="M216" i="1"/>
  <c r="M228" i="1" s="1"/>
  <c r="L21" i="1"/>
  <c r="N302" i="1"/>
  <c r="F221" i="1"/>
  <c r="H221" i="1"/>
  <c r="N221" i="1"/>
  <c r="J221" i="1"/>
  <c r="H194" i="1"/>
  <c r="I356" i="1"/>
  <c r="D194" i="1"/>
  <c r="J302" i="1"/>
  <c r="D235" i="5"/>
  <c r="D229" i="1"/>
  <c r="D302" i="1"/>
  <c r="N194" i="1"/>
  <c r="J235" i="5"/>
  <c r="H235" i="5"/>
  <c r="N235" i="5"/>
  <c r="L302" i="1"/>
  <c r="F11" i="1"/>
  <c r="D221" i="1"/>
  <c r="L221" i="1"/>
  <c r="U332" i="1"/>
  <c r="AF366" i="1"/>
  <c r="T19" i="8"/>
  <c r="F19" i="8"/>
  <c r="D19" i="8"/>
  <c r="E8" i="8"/>
  <c r="D72" i="4"/>
  <c r="D468" i="1"/>
  <c r="M72" i="4"/>
  <c r="M173" i="1" s="1"/>
  <c r="M468" i="1"/>
  <c r="I72" i="4"/>
  <c r="I173" i="1" s="1"/>
  <c r="I468" i="1"/>
  <c r="E72" i="4"/>
  <c r="E173" i="1" s="1"/>
  <c r="E468" i="1"/>
  <c r="J72" i="4"/>
  <c r="J173" i="1" s="1"/>
  <c r="J468" i="1"/>
  <c r="F72" i="4"/>
  <c r="F173" i="1" s="1"/>
  <c r="F468" i="1"/>
  <c r="H72" i="4"/>
  <c r="H173" i="1" s="1"/>
  <c r="H468" i="1"/>
  <c r="AF313" i="1"/>
  <c r="AF311" i="1"/>
  <c r="T22" i="51" s="1"/>
  <c r="T73" i="51" s="1"/>
  <c r="AF364" i="1"/>
  <c r="T27" i="51" s="1"/>
  <c r="T88" i="51" s="1"/>
  <c r="D10" i="8"/>
  <c r="F10" i="8"/>
  <c r="D18" i="8"/>
  <c r="P313" i="1"/>
  <c r="F18" i="8"/>
  <c r="R313" i="1"/>
  <c r="T11" i="8"/>
  <c r="T10" i="8"/>
  <c r="F310" i="1"/>
  <c r="F307" i="1"/>
  <c r="H307" i="1"/>
  <c r="AF231" i="1"/>
  <c r="T12" i="51"/>
  <c r="T45" i="51" s="1"/>
  <c r="AF11" i="1"/>
  <c r="AF286" i="1"/>
  <c r="I63" i="8"/>
  <c r="Q405" i="1"/>
  <c r="E21" i="8"/>
  <c r="AF318" i="1"/>
  <c r="AH318" i="1" s="1"/>
  <c r="AH339" i="1" s="1"/>
  <c r="T18" i="8"/>
  <c r="AT21" i="1"/>
  <c r="AH22" i="8" s="1"/>
  <c r="AH63" i="8" s="1"/>
  <c r="T43" i="8"/>
  <c r="D310" i="1"/>
  <c r="H310" i="1"/>
  <c r="D11" i="1"/>
  <c r="M351" i="1"/>
  <c r="L11" i="1"/>
  <c r="L310" i="1"/>
  <c r="N90" i="5"/>
  <c r="N91" i="5" s="1"/>
  <c r="D90" i="5"/>
  <c r="D91" i="5" s="1"/>
  <c r="H90" i="5"/>
  <c r="H91" i="5" s="1"/>
  <c r="L90" i="5"/>
  <c r="L91" i="5" s="1"/>
  <c r="F90" i="5"/>
  <c r="F91" i="5" s="1"/>
  <c r="J90" i="5"/>
  <c r="J91" i="5" s="1"/>
  <c r="U387" i="1"/>
  <c r="N11" i="1"/>
  <c r="N310" i="1"/>
  <c r="N72" i="4"/>
  <c r="F302" i="1"/>
  <c r="N356" i="1"/>
  <c r="Q302" i="1"/>
  <c r="P231" i="1"/>
  <c r="Q356" i="1"/>
  <c r="N363" i="1"/>
  <c r="H302" i="1"/>
  <c r="L72" i="4"/>
  <c r="H64" i="4"/>
  <c r="N64" i="4"/>
  <c r="D64" i="4"/>
  <c r="F64" i="4"/>
  <c r="J64" i="4"/>
  <c r="L64" i="4"/>
  <c r="R74" i="8"/>
  <c r="H127" i="1"/>
  <c r="H164" i="1" s="1"/>
  <c r="N74" i="8"/>
  <c r="I361" i="1"/>
  <c r="M297" i="1"/>
  <c r="P372" i="1"/>
  <c r="P395" i="1" s="1"/>
  <c r="L307" i="1"/>
  <c r="E297" i="1"/>
  <c r="N307" i="1"/>
  <c r="P318" i="1"/>
  <c r="P339" i="1" s="1"/>
  <c r="E372" i="1"/>
  <c r="E395" i="1" s="1"/>
  <c r="J310" i="1"/>
  <c r="R311" i="1"/>
  <c r="F22" i="51" s="1"/>
  <c r="F73" i="51" s="1"/>
  <c r="I297" i="1"/>
  <c r="R372" i="1"/>
  <c r="R395" i="1" s="1"/>
  <c r="D307" i="1"/>
  <c r="R229" i="1"/>
  <c r="F12" i="51" s="1"/>
  <c r="F45" i="51" s="1"/>
  <c r="I55" i="8"/>
  <c r="M55" i="8"/>
  <c r="M166" i="1"/>
  <c r="M163" i="1"/>
  <c r="M165" i="1"/>
  <c r="M164" i="1"/>
  <c r="I164" i="1"/>
  <c r="I165" i="1"/>
  <c r="I166" i="1"/>
  <c r="I163" i="1"/>
  <c r="R90" i="5"/>
  <c r="R91" i="5" s="1"/>
  <c r="F27" i="8"/>
  <c r="Q21" i="1"/>
  <c r="P90" i="5"/>
  <c r="P91" i="5" s="1"/>
  <c r="P83" i="5" s="1"/>
  <c r="D27" i="8"/>
  <c r="Q363" i="1"/>
  <c r="Q307" i="1"/>
  <c r="Q55" i="8"/>
  <c r="AW17" i="1"/>
  <c r="AZ460" i="1"/>
  <c r="AW12" i="1"/>
  <c r="AV21" i="1"/>
  <c r="AX460" i="1"/>
  <c r="AX461" i="1"/>
  <c r="E28" i="4"/>
  <c r="AF372" i="1"/>
  <c r="E364" i="1"/>
  <c r="I363" i="1"/>
  <c r="Q361" i="1"/>
  <c r="Y21" i="1"/>
  <c r="U21" i="1"/>
  <c r="I28" i="4"/>
  <c r="M28" i="4"/>
  <c r="Q249" i="1"/>
  <c r="E47" i="4"/>
  <c r="I47" i="4"/>
  <c r="E39" i="4"/>
  <c r="I39" i="4"/>
  <c r="R13" i="1"/>
  <c r="R118" i="4"/>
  <c r="M47" i="4"/>
  <c r="P13" i="1"/>
  <c r="P118" i="4"/>
  <c r="M39" i="4"/>
  <c r="J30" i="4"/>
  <c r="D30" i="4"/>
  <c r="I99" i="1"/>
  <c r="M99" i="1"/>
  <c r="M127" i="4"/>
  <c r="P127" i="4"/>
  <c r="F30" i="4"/>
  <c r="I127" i="4"/>
  <c r="L127" i="4"/>
  <c r="L30" i="4"/>
  <c r="H30" i="4"/>
  <c r="N30" i="4"/>
  <c r="AF18" i="4"/>
  <c r="M62" i="4"/>
  <c r="I62" i="4"/>
  <c r="E62" i="4"/>
  <c r="U249" i="1"/>
  <c r="D236" i="1"/>
  <c r="Q333" i="1"/>
  <c r="R335" i="1"/>
  <c r="I30" i="1"/>
  <c r="Q30" i="1"/>
  <c r="D18" i="1"/>
  <c r="D21" i="1"/>
  <c r="Q228" i="1"/>
  <c r="Q231" i="1" s="1"/>
  <c r="Q11" i="1"/>
  <c r="J11" i="1"/>
  <c r="M30" i="1"/>
  <c r="E30" i="1"/>
  <c r="R20" i="1"/>
  <c r="P20" i="1"/>
  <c r="M18" i="4"/>
  <c r="I131" i="1"/>
  <c r="I172" i="1" s="1"/>
  <c r="J141" i="1"/>
  <c r="R364" i="1"/>
  <c r="F27" i="51" s="1"/>
  <c r="F88" i="51" s="1"/>
  <c r="AF236" i="1"/>
  <c r="AH236" i="1" s="1"/>
  <c r="AH258" i="1" s="1"/>
  <c r="J9" i="4"/>
  <c r="E18" i="4"/>
  <c r="I18" i="4"/>
  <c r="L9" i="5"/>
  <c r="L141" i="1"/>
  <c r="Q252" i="1"/>
  <c r="P6" i="1"/>
  <c r="T6" i="1" s="1"/>
  <c r="H49" i="4"/>
  <c r="F49" i="4"/>
  <c r="J9" i="5"/>
  <c r="J172" i="1"/>
  <c r="L9" i="4"/>
  <c r="L172" i="1"/>
  <c r="L5" i="1"/>
  <c r="L8" i="5" s="1"/>
  <c r="V14" i="8"/>
  <c r="M405" i="1"/>
  <c r="M408" i="1"/>
  <c r="I405" i="1"/>
  <c r="I408" i="1"/>
  <c r="R191" i="5"/>
  <c r="R193" i="5" s="1"/>
  <c r="R210" i="5"/>
  <c r="I384" i="1"/>
  <c r="I51" i="1" s="1"/>
  <c r="U390" i="1"/>
  <c r="I333" i="1"/>
  <c r="P386" i="1"/>
  <c r="P53" i="1" s="1"/>
  <c r="H386" i="1"/>
  <c r="H53" i="1" s="1"/>
  <c r="U388" i="1"/>
  <c r="M384" i="1"/>
  <c r="N386" i="1"/>
  <c r="J386" i="1"/>
  <c r="J388" i="1" s="1"/>
  <c r="J390" i="1" s="1"/>
  <c r="J336" i="1"/>
  <c r="M333" i="1"/>
  <c r="N336" i="1"/>
  <c r="M335" i="1"/>
  <c r="M336" i="1" s="1"/>
  <c r="N254" i="1"/>
  <c r="M252" i="1"/>
  <c r="Q254" i="1"/>
  <c r="Q257" i="1" s="1"/>
  <c r="U333" i="1"/>
  <c r="V335" i="1"/>
  <c r="W335" i="1" s="1"/>
  <c r="E17" i="1"/>
  <c r="E87" i="1"/>
  <c r="L18" i="1"/>
  <c r="M17" i="1"/>
  <c r="J307" i="1"/>
  <c r="L96" i="5"/>
  <c r="E22" i="5"/>
  <c r="E24" i="5" s="1"/>
  <c r="D96" i="5"/>
  <c r="I22" i="5"/>
  <c r="I24" i="5" s="1"/>
  <c r="N96" i="5"/>
  <c r="E51" i="5"/>
  <c r="D49" i="4"/>
  <c r="M9" i="4"/>
  <c r="M9" i="5"/>
  <c r="I8" i="5"/>
  <c r="I8" i="4"/>
  <c r="J5" i="1"/>
  <c r="I4" i="1" s="1"/>
  <c r="H8" i="4"/>
  <c r="H8" i="5"/>
  <c r="F96" i="5"/>
  <c r="I51" i="5"/>
  <c r="H96" i="5"/>
  <c r="J96" i="5"/>
  <c r="J49" i="4"/>
  <c r="I18" i="1"/>
  <c r="M22" i="5"/>
  <c r="M24" i="5" s="1"/>
  <c r="N49" i="4"/>
  <c r="L49" i="4"/>
  <c r="L364" i="1"/>
  <c r="N6" i="1"/>
  <c r="M5" i="1"/>
  <c r="Q6" i="1"/>
  <c r="P311" i="1"/>
  <c r="D22" i="51" s="1"/>
  <c r="D73" i="51" s="1"/>
  <c r="Q310" i="1"/>
  <c r="Q226" i="1"/>
  <c r="P364" i="1"/>
  <c r="D27" i="51" s="1"/>
  <c r="D88" i="51" s="1"/>
  <c r="P229" i="1"/>
  <c r="D12" i="51" s="1"/>
  <c r="D45" i="51" s="1"/>
  <c r="P236" i="1"/>
  <c r="P258" i="1" s="1"/>
  <c r="Q18" i="1"/>
  <c r="AD136" i="1"/>
  <c r="AD139" i="1" s="1"/>
  <c r="Z236" i="4"/>
  <c r="AD238" i="4"/>
  <c r="AD236" i="4"/>
  <c r="AF59" i="4"/>
  <c r="AF118" i="4" l="1"/>
  <c r="AN14" i="8"/>
  <c r="AN55" i="8" s="1"/>
  <c r="AL14" i="8"/>
  <c r="AL55" i="8" s="1"/>
  <c r="AJ22" i="8"/>
  <c r="AJ63" i="8" s="1"/>
  <c r="G14" i="61"/>
  <c r="AJ257" i="1"/>
  <c r="AK254" i="1"/>
  <c r="AK257" i="1" s="1"/>
  <c r="Z55" i="8"/>
  <c r="I46" i="1"/>
  <c r="J46" i="1"/>
  <c r="N63" i="8"/>
  <c r="R63" i="8"/>
  <c r="M22" i="8"/>
  <c r="M63" i="8" s="1"/>
  <c r="AX462" i="1"/>
  <c r="T16" i="8"/>
  <c r="T42" i="8" s="1"/>
  <c r="Q366" i="1"/>
  <c r="E16" i="8"/>
  <c r="E42" i="8" s="1"/>
  <c r="D16" i="8"/>
  <c r="D42" i="8" s="1"/>
  <c r="AZ462" i="1"/>
  <c r="N366" i="1"/>
  <c r="I366" i="1"/>
  <c r="P63" i="8"/>
  <c r="L236" i="1"/>
  <c r="L258" i="1" s="1"/>
  <c r="L231" i="1"/>
  <c r="L229" i="1"/>
  <c r="M226" i="1"/>
  <c r="L388" i="1"/>
  <c r="L390" i="1" s="1"/>
  <c r="L391" i="1" s="1"/>
  <c r="L387" i="1"/>
  <c r="D112" i="51"/>
  <c r="F112" i="51"/>
  <c r="H20" i="1"/>
  <c r="H22" i="1" s="1"/>
  <c r="E226" i="1"/>
  <c r="H231" i="1"/>
  <c r="H236" i="1"/>
  <c r="H258" i="1" s="1"/>
  <c r="H229" i="1"/>
  <c r="M51" i="1"/>
  <c r="Q51" i="1"/>
  <c r="D45" i="8"/>
  <c r="H118" i="4"/>
  <c r="D15" i="8"/>
  <c r="D80" i="8" s="1"/>
  <c r="H13" i="1"/>
  <c r="D258" i="1"/>
  <c r="R394" i="1"/>
  <c r="R336" i="1"/>
  <c r="S335" i="1"/>
  <c r="N257" i="1"/>
  <c r="O254" i="1"/>
  <c r="P394" i="1"/>
  <c r="J51" i="1"/>
  <c r="J391" i="1"/>
  <c r="K390" i="1"/>
  <c r="F15" i="8"/>
  <c r="F80" i="8" s="1"/>
  <c r="F45" i="8"/>
  <c r="H387" i="1"/>
  <c r="N231" i="1"/>
  <c r="N229" i="1"/>
  <c r="AD53" i="1"/>
  <c r="J231" i="1"/>
  <c r="J229" i="1"/>
  <c r="P387" i="1"/>
  <c r="I385" i="1"/>
  <c r="M385" i="1"/>
  <c r="I226" i="1"/>
  <c r="D197" i="1"/>
  <c r="F195" i="1"/>
  <c r="D195" i="1"/>
  <c r="F197" i="1"/>
  <c r="N195" i="1"/>
  <c r="L195" i="1"/>
  <c r="N197" i="1"/>
  <c r="F20" i="1"/>
  <c r="F22" i="1" s="1"/>
  <c r="F118" i="4"/>
  <c r="H195" i="1"/>
  <c r="F13" i="1"/>
  <c r="J195" i="1"/>
  <c r="J197" i="1"/>
  <c r="T45" i="8"/>
  <c r="E235" i="5"/>
  <c r="M21" i="1"/>
  <c r="I194" i="1"/>
  <c r="H202" i="1"/>
  <c r="J202" i="1"/>
  <c r="D311" i="1"/>
  <c r="N98" i="5"/>
  <c r="L101" i="5"/>
  <c r="L103" i="5" s="1"/>
  <c r="L104" i="5" s="1"/>
  <c r="M194" i="1"/>
  <c r="L202" i="1"/>
  <c r="N311" i="1"/>
  <c r="N222" i="1"/>
  <c r="R222" i="1"/>
  <c r="M235" i="5"/>
  <c r="I235" i="5"/>
  <c r="J118" i="4"/>
  <c r="E229" i="1"/>
  <c r="F202" i="1"/>
  <c r="N13" i="1"/>
  <c r="L20" i="1"/>
  <c r="H174" i="1"/>
  <c r="J98" i="5"/>
  <c r="D101" i="5"/>
  <c r="D103" i="5" s="1"/>
  <c r="D104" i="5" s="1"/>
  <c r="E21" i="1"/>
  <c r="E194" i="1"/>
  <c r="N202" i="1"/>
  <c r="D202" i="1"/>
  <c r="D203" i="1" s="1"/>
  <c r="I302" i="1"/>
  <c r="M356" i="1"/>
  <c r="P222" i="1"/>
  <c r="L222" i="1"/>
  <c r="J222" i="1"/>
  <c r="H222" i="1"/>
  <c r="M221" i="1"/>
  <c r="E221" i="1"/>
  <c r="I221" i="1"/>
  <c r="D118" i="4"/>
  <c r="E19" i="8"/>
  <c r="H105" i="4"/>
  <c r="J105" i="4"/>
  <c r="F105" i="4"/>
  <c r="D105" i="4"/>
  <c r="AF394" i="1"/>
  <c r="D318" i="1"/>
  <c r="D339" i="1" s="1"/>
  <c r="E11" i="8"/>
  <c r="F44" i="8"/>
  <c r="AF395" i="1"/>
  <c r="D44" i="8"/>
  <c r="AF339" i="1"/>
  <c r="E10" i="8"/>
  <c r="F311" i="1"/>
  <c r="E18" i="8"/>
  <c r="Q313" i="1"/>
  <c r="T15" i="8"/>
  <c r="I174" i="1"/>
  <c r="AF258" i="1"/>
  <c r="D20" i="1"/>
  <c r="T44" i="8"/>
  <c r="AU21" i="1"/>
  <c r="AI22" i="8" s="1"/>
  <c r="AI63" i="8" s="1"/>
  <c r="M361" i="1"/>
  <c r="H318" i="1"/>
  <c r="H311" i="1"/>
  <c r="D13" i="1"/>
  <c r="N104" i="4"/>
  <c r="N181" i="1" s="1"/>
  <c r="N173" i="1"/>
  <c r="L173" i="1"/>
  <c r="J174" i="1"/>
  <c r="L105" i="4"/>
  <c r="L311" i="1"/>
  <c r="L318" i="1"/>
  <c r="N20" i="1"/>
  <c r="L118" i="4"/>
  <c r="N118" i="4"/>
  <c r="L13" i="1"/>
  <c r="M363" i="1"/>
  <c r="P25" i="1"/>
  <c r="I310" i="1"/>
  <c r="E90" i="5"/>
  <c r="E91" i="5" s="1"/>
  <c r="M90" i="5"/>
  <c r="M91" i="5" s="1"/>
  <c r="I90" i="5"/>
  <c r="I91" i="5" s="1"/>
  <c r="I11" i="1"/>
  <c r="N372" i="1"/>
  <c r="N395" i="1" s="1"/>
  <c r="N364" i="1"/>
  <c r="I236" i="1"/>
  <c r="I231" i="1"/>
  <c r="M310" i="1"/>
  <c r="M302" i="1"/>
  <c r="BX47" i="8"/>
  <c r="BX46" i="8" s="1"/>
  <c r="E302" i="1"/>
  <c r="M236" i="1"/>
  <c r="M231" i="1"/>
  <c r="H99" i="1"/>
  <c r="D104" i="4"/>
  <c r="H104" i="4"/>
  <c r="H181" i="1" s="1"/>
  <c r="J104" i="4"/>
  <c r="J181" i="1" s="1"/>
  <c r="H163" i="1"/>
  <c r="L104" i="4"/>
  <c r="L181" i="1" s="1"/>
  <c r="F104" i="4"/>
  <c r="F181" i="1" s="1"/>
  <c r="N105" i="4"/>
  <c r="H166" i="1"/>
  <c r="H165" i="1"/>
  <c r="E64" i="4"/>
  <c r="I64" i="4"/>
  <c r="M64" i="4"/>
  <c r="L127" i="1"/>
  <c r="L163" i="1" s="1"/>
  <c r="I141" i="1"/>
  <c r="J127" i="1"/>
  <c r="J163" i="1" s="1"/>
  <c r="E307" i="1"/>
  <c r="E310" i="1"/>
  <c r="E11" i="1"/>
  <c r="I307" i="1"/>
  <c r="Q372" i="1"/>
  <c r="Q395" i="1" s="1"/>
  <c r="Q229" i="1"/>
  <c r="E12" i="51" s="1"/>
  <c r="E45" i="51" s="1"/>
  <c r="P22" i="1"/>
  <c r="R22" i="1"/>
  <c r="M307" i="1"/>
  <c r="I372" i="1"/>
  <c r="I395" i="1" s="1"/>
  <c r="J311" i="1"/>
  <c r="Q311" i="1"/>
  <c r="E22" i="51" s="1"/>
  <c r="E73" i="51" s="1"/>
  <c r="M11" i="1"/>
  <c r="Q90" i="5"/>
  <c r="E27" i="8"/>
  <c r="AX17" i="1"/>
  <c r="AY17" i="1" s="1"/>
  <c r="AX12" i="1"/>
  <c r="AY12" i="1" s="1"/>
  <c r="AW21" i="1"/>
  <c r="AZ17" i="1"/>
  <c r="BA460" i="1"/>
  <c r="AZ12" i="1"/>
  <c r="AC139" i="1"/>
  <c r="AD114" i="1"/>
  <c r="AD113" i="1" s="1"/>
  <c r="I49" i="4"/>
  <c r="E49" i="4"/>
  <c r="J51" i="4"/>
  <c r="H51" i="4"/>
  <c r="I30" i="4"/>
  <c r="M49" i="4"/>
  <c r="D51" i="4"/>
  <c r="Q13" i="1"/>
  <c r="Q118" i="4"/>
  <c r="E30" i="4"/>
  <c r="N51" i="4"/>
  <c r="M30" i="4"/>
  <c r="F51" i="4"/>
  <c r="L51" i="4"/>
  <c r="Q236" i="1"/>
  <c r="E236" i="1"/>
  <c r="F236" i="1" s="1"/>
  <c r="F258" i="1" s="1"/>
  <c r="Q335" i="1"/>
  <c r="Q336" i="1" s="1"/>
  <c r="Q20" i="1"/>
  <c r="J13" i="1"/>
  <c r="J20" i="1"/>
  <c r="L8" i="4"/>
  <c r="P5" i="1"/>
  <c r="P8" i="5" s="1"/>
  <c r="P9" i="5"/>
  <c r="P9" i="4"/>
  <c r="N172" i="1"/>
  <c r="T172" i="1"/>
  <c r="T141" i="1"/>
  <c r="P172" i="1"/>
  <c r="P141" i="1"/>
  <c r="M18" i="1"/>
  <c r="R6" i="1"/>
  <c r="R9" i="5" s="1"/>
  <c r="AC252" i="1"/>
  <c r="AC254" i="1"/>
  <c r="P388" i="1"/>
  <c r="Q386" i="1"/>
  <c r="Q53" i="1" s="1"/>
  <c r="N387" i="1"/>
  <c r="M386" i="1"/>
  <c r="M53" i="1" s="1"/>
  <c r="N388" i="1"/>
  <c r="I386" i="1"/>
  <c r="I387" i="1" s="1"/>
  <c r="J387" i="1"/>
  <c r="H388" i="1"/>
  <c r="M254" i="1"/>
  <c r="M257" i="1" s="1"/>
  <c r="U335" i="1"/>
  <c r="V336" i="1"/>
  <c r="E18" i="1"/>
  <c r="E96" i="5"/>
  <c r="L98" i="5"/>
  <c r="D98" i="5"/>
  <c r="I96" i="5"/>
  <c r="N101" i="5"/>
  <c r="N103" i="5" s="1"/>
  <c r="M229" i="1"/>
  <c r="Q5" i="1"/>
  <c r="N9" i="5"/>
  <c r="N9" i="4"/>
  <c r="Q9" i="4"/>
  <c r="Q9" i="5"/>
  <c r="U6" i="1"/>
  <c r="I7" i="5"/>
  <c r="I7" i="4"/>
  <c r="I154" i="4" s="1"/>
  <c r="M96" i="5"/>
  <c r="J4" i="1"/>
  <c r="J8" i="5"/>
  <c r="J8" i="4"/>
  <c r="H4" i="1"/>
  <c r="H46" i="1" s="1"/>
  <c r="M8" i="5"/>
  <c r="M8" i="4"/>
  <c r="F98" i="5"/>
  <c r="F101" i="5"/>
  <c r="F103" i="5" s="1"/>
  <c r="H101" i="5"/>
  <c r="H103" i="5" s="1"/>
  <c r="H98" i="5"/>
  <c r="I229" i="1"/>
  <c r="J101" i="5"/>
  <c r="J103" i="5" s="1"/>
  <c r="I364" i="1"/>
  <c r="N5" i="1"/>
  <c r="Q364" i="1"/>
  <c r="E27" i="51" s="1"/>
  <c r="E88" i="51" s="1"/>
  <c r="Q318" i="1"/>
  <c r="R318" i="1" s="1"/>
  <c r="R339" i="1" s="1"/>
  <c r="AF61" i="4"/>
  <c r="AO14" i="8" l="1"/>
  <c r="AO55" i="8" s="1"/>
  <c r="AK22" i="8"/>
  <c r="AK63" i="8" s="1"/>
  <c r="H197" i="1"/>
  <c r="N236" i="1"/>
  <c r="N258" i="1" s="1"/>
  <c r="N46" i="1"/>
  <c r="BA462" i="1"/>
  <c r="M366" i="1"/>
  <c r="M100" i="5"/>
  <c r="H25" i="1"/>
  <c r="F23" i="8"/>
  <c r="F47" i="8" s="1"/>
  <c r="F115" i="51"/>
  <c r="E112" i="51"/>
  <c r="D23" i="8"/>
  <c r="D47" i="8" s="1"/>
  <c r="D115" i="51"/>
  <c r="E100" i="5"/>
  <c r="J236" i="1"/>
  <c r="J258" i="1" s="1"/>
  <c r="N51" i="1"/>
  <c r="R51" i="1"/>
  <c r="N53" i="1"/>
  <c r="R53" i="1"/>
  <c r="H23" i="1"/>
  <c r="I258" i="1"/>
  <c r="E258" i="1"/>
  <c r="R236" i="1"/>
  <c r="R258" i="1" s="1"/>
  <c r="Q258" i="1"/>
  <c r="M258" i="1"/>
  <c r="Q394" i="1"/>
  <c r="I394" i="1"/>
  <c r="N394" i="1"/>
  <c r="Q387" i="1"/>
  <c r="M387" i="1"/>
  <c r="I195" i="1"/>
  <c r="I196" i="1" s="1"/>
  <c r="F23" i="1"/>
  <c r="H196" i="1"/>
  <c r="L197" i="1"/>
  <c r="E197" i="1"/>
  <c r="I197" i="1"/>
  <c r="I222" i="1"/>
  <c r="E101" i="5"/>
  <c r="J22" i="1"/>
  <c r="M202" i="1"/>
  <c r="M203" i="1" s="1"/>
  <c r="I202" i="1"/>
  <c r="L203" i="1" s="1"/>
  <c r="M104" i="4"/>
  <c r="M181" i="1" s="1"/>
  <c r="M311" i="1"/>
  <c r="I118" i="4"/>
  <c r="I202" i="4" s="1"/>
  <c r="M372" i="1"/>
  <c r="M395" i="1" s="1"/>
  <c r="N22" i="1"/>
  <c r="N74" i="4" s="1"/>
  <c r="D22" i="1"/>
  <c r="H106" i="5"/>
  <c r="M101" i="5"/>
  <c r="I101" i="5"/>
  <c r="I105" i="4"/>
  <c r="L174" i="1"/>
  <c r="Q222" i="1"/>
  <c r="M222" i="1"/>
  <c r="L22" i="1"/>
  <c r="H74" i="4"/>
  <c r="L106" i="5"/>
  <c r="E202" i="1"/>
  <c r="H203" i="1" s="1"/>
  <c r="M13" i="1"/>
  <c r="E105" i="4"/>
  <c r="D106" i="5"/>
  <c r="M197" i="1"/>
  <c r="F74" i="4"/>
  <c r="E45" i="8"/>
  <c r="E118" i="4"/>
  <c r="D25" i="1"/>
  <c r="E15" i="8"/>
  <c r="E80" i="8" s="1"/>
  <c r="E44" i="8"/>
  <c r="L25" i="1"/>
  <c r="L339" i="1"/>
  <c r="Q339" i="1"/>
  <c r="H339" i="1"/>
  <c r="N174" i="1"/>
  <c r="J196" i="1"/>
  <c r="L196" i="1"/>
  <c r="J52" i="4"/>
  <c r="J188" i="1"/>
  <c r="L65" i="4"/>
  <c r="L188" i="1"/>
  <c r="N65" i="4"/>
  <c r="N188" i="1"/>
  <c r="D65" i="4"/>
  <c r="D188" i="1"/>
  <c r="H65" i="4"/>
  <c r="H188" i="1"/>
  <c r="F52" i="4"/>
  <c r="F188" i="1"/>
  <c r="P74" i="4"/>
  <c r="R74" i="4"/>
  <c r="R77" i="4" s="1"/>
  <c r="M364" i="1"/>
  <c r="P179" i="1"/>
  <c r="I311" i="1"/>
  <c r="I318" i="1"/>
  <c r="D24" i="8"/>
  <c r="E311" i="1"/>
  <c r="E318" i="1"/>
  <c r="F318" i="1" s="1"/>
  <c r="I13" i="1"/>
  <c r="I20" i="1"/>
  <c r="M318" i="1"/>
  <c r="N318" i="1" s="1"/>
  <c r="J99" i="1"/>
  <c r="E13" i="1"/>
  <c r="E20" i="1"/>
  <c r="L164" i="1"/>
  <c r="L165" i="1"/>
  <c r="L99" i="1"/>
  <c r="J164" i="1"/>
  <c r="J166" i="1"/>
  <c r="J165" i="1"/>
  <c r="M105" i="4"/>
  <c r="E104" i="4"/>
  <c r="E181" i="1" s="1"/>
  <c r="L166" i="1"/>
  <c r="I104" i="4"/>
  <c r="I181" i="1" s="1"/>
  <c r="N127" i="1"/>
  <c r="T127" i="1"/>
  <c r="T163" i="1" s="1"/>
  <c r="P127" i="1"/>
  <c r="P164" i="1" s="1"/>
  <c r="P23" i="1"/>
  <c r="P28" i="1"/>
  <c r="D119" i="51" s="1"/>
  <c r="R23" i="1"/>
  <c r="M20" i="1"/>
  <c r="M118" i="4"/>
  <c r="Q22" i="1"/>
  <c r="V55" i="8"/>
  <c r="AZ21" i="1"/>
  <c r="BA17" i="1"/>
  <c r="BB17" i="1" s="1"/>
  <c r="BB460" i="1"/>
  <c r="BD460" i="1"/>
  <c r="BA12" i="1"/>
  <c r="AX21" i="1"/>
  <c r="AL22" i="8" s="1"/>
  <c r="AL63" i="8" s="1"/>
  <c r="I51" i="4"/>
  <c r="AC114" i="1"/>
  <c r="AC113" i="1" s="1"/>
  <c r="AC140" i="1"/>
  <c r="J65" i="4"/>
  <c r="E51" i="4"/>
  <c r="M51" i="4"/>
  <c r="F65" i="4"/>
  <c r="H52" i="4"/>
  <c r="D52" i="4"/>
  <c r="L52" i="4"/>
  <c r="N52" i="4"/>
  <c r="N104" i="5"/>
  <c r="N106" i="5"/>
  <c r="J104" i="5"/>
  <c r="J106" i="5"/>
  <c r="F104" i="5"/>
  <c r="F106" i="5"/>
  <c r="R5" i="1"/>
  <c r="R8" i="5" s="1"/>
  <c r="P8" i="4"/>
  <c r="M131" i="1"/>
  <c r="N141" i="1"/>
  <c r="R172" i="1"/>
  <c r="R9" i="4"/>
  <c r="V6" i="1"/>
  <c r="U127" i="1"/>
  <c r="Q127" i="1"/>
  <c r="Q388" i="1"/>
  <c r="P390" i="1"/>
  <c r="M388" i="1"/>
  <c r="N390" i="1"/>
  <c r="O390" i="1" s="1"/>
  <c r="I388" i="1"/>
  <c r="H390" i="1"/>
  <c r="H336" i="1"/>
  <c r="I336" i="1"/>
  <c r="E97" i="5"/>
  <c r="E98" i="5" s="1"/>
  <c r="I97" i="5"/>
  <c r="I98" i="5" s="1"/>
  <c r="M97" i="5"/>
  <c r="M98" i="5" s="1"/>
  <c r="Q8" i="4"/>
  <c r="Q8" i="5"/>
  <c r="N8" i="5"/>
  <c r="N8" i="4"/>
  <c r="H7" i="5"/>
  <c r="H7" i="4"/>
  <c r="H154" i="4" s="1"/>
  <c r="J7" i="4"/>
  <c r="J7" i="5"/>
  <c r="H104" i="5"/>
  <c r="I100" i="5"/>
  <c r="N4" i="1"/>
  <c r="L4" i="1"/>
  <c r="L46" i="1" s="1"/>
  <c r="M4" i="1"/>
  <c r="M46" i="1" s="1"/>
  <c r="AD158" i="4"/>
  <c r="AD170" i="4" s="1"/>
  <c r="AD176" i="4" s="1"/>
  <c r="AP14" i="8" l="1"/>
  <c r="AP55" i="8" s="1"/>
  <c r="AN22" i="8"/>
  <c r="AN63" i="8" s="1"/>
  <c r="BL11" i="8"/>
  <c r="M103" i="5"/>
  <c r="H28" i="1"/>
  <c r="R25" i="1"/>
  <c r="BB462" i="1"/>
  <c r="BD462" i="1"/>
  <c r="H179" i="1"/>
  <c r="E23" i="8"/>
  <c r="E47" i="8" s="1"/>
  <c r="E115" i="51"/>
  <c r="E103" i="5"/>
  <c r="I203" i="1"/>
  <c r="J203" i="1" s="1"/>
  <c r="M394" i="1"/>
  <c r="N23" i="1"/>
  <c r="J23" i="1"/>
  <c r="N203" i="1"/>
  <c r="I211" i="4"/>
  <c r="I208" i="4"/>
  <c r="I122" i="4"/>
  <c r="I223" i="4"/>
  <c r="I116" i="4"/>
  <c r="I205" i="4"/>
  <c r="I229" i="4"/>
  <c r="I220" i="4"/>
  <c r="I217" i="4"/>
  <c r="I226" i="4"/>
  <c r="I199" i="4"/>
  <c r="D23" i="1"/>
  <c r="E203" i="1"/>
  <c r="F203" i="1" s="1"/>
  <c r="N53" i="4"/>
  <c r="F189" i="1"/>
  <c r="J189" i="1"/>
  <c r="L53" i="4"/>
  <c r="I22" i="1"/>
  <c r="F53" i="4"/>
  <c r="J53" i="4"/>
  <c r="L179" i="1"/>
  <c r="L74" i="4"/>
  <c r="D74" i="4"/>
  <c r="J74" i="4"/>
  <c r="I103" i="5"/>
  <c r="D53" i="4"/>
  <c r="H53" i="4"/>
  <c r="M22" i="1"/>
  <c r="E22" i="1"/>
  <c r="N77" i="4"/>
  <c r="N189" i="1"/>
  <c r="D28" i="1"/>
  <c r="F77" i="4"/>
  <c r="H77" i="4"/>
  <c r="L23" i="1"/>
  <c r="L28" i="1"/>
  <c r="AR14" i="8"/>
  <c r="AR55" i="8" s="1"/>
  <c r="E339" i="1"/>
  <c r="N25" i="1"/>
  <c r="N339" i="1"/>
  <c r="J318" i="1"/>
  <c r="I339" i="1"/>
  <c r="F25" i="1"/>
  <c r="F339" i="1"/>
  <c r="M339" i="1"/>
  <c r="P77" i="4"/>
  <c r="R78" i="4"/>
  <c r="N166" i="1"/>
  <c r="N196" i="1"/>
  <c r="M172" i="1"/>
  <c r="M195" i="1"/>
  <c r="M65" i="4"/>
  <c r="M188" i="1"/>
  <c r="H189" i="1"/>
  <c r="E52" i="4"/>
  <c r="E188" i="1"/>
  <c r="I65" i="4"/>
  <c r="I188" i="1"/>
  <c r="D189" i="1"/>
  <c r="D191" i="1"/>
  <c r="L189" i="1"/>
  <c r="Q74" i="4"/>
  <c r="BC17" i="1"/>
  <c r="AY21" i="1"/>
  <c r="AM22" i="8" s="1"/>
  <c r="AM63" i="8" s="1"/>
  <c r="P32" i="1"/>
  <c r="P31" i="1" s="1"/>
  <c r="T99" i="1"/>
  <c r="N99" i="1"/>
  <c r="N165" i="1"/>
  <c r="N164" i="1"/>
  <c r="T164" i="1"/>
  <c r="P166" i="1"/>
  <c r="N163" i="1"/>
  <c r="P163" i="1"/>
  <c r="T165" i="1"/>
  <c r="P165" i="1"/>
  <c r="T166" i="1"/>
  <c r="D25" i="8"/>
  <c r="P34" i="1"/>
  <c r="D122" i="51" s="1"/>
  <c r="R127" i="1"/>
  <c r="R165" i="1" s="1"/>
  <c r="BB12" i="1"/>
  <c r="BC12" i="1" s="1"/>
  <c r="Q23" i="1"/>
  <c r="I52" i="4"/>
  <c r="U163" i="1"/>
  <c r="U164" i="1"/>
  <c r="U165" i="1"/>
  <c r="U166" i="1"/>
  <c r="Q166" i="1"/>
  <c r="Q165" i="1"/>
  <c r="Q164" i="1"/>
  <c r="Q163" i="1"/>
  <c r="BA21" i="1"/>
  <c r="BE460" i="1"/>
  <c r="BD12" i="1"/>
  <c r="BD17" i="1"/>
  <c r="AD177" i="4"/>
  <c r="AF169" i="4"/>
  <c r="M141" i="1"/>
  <c r="AE114" i="1"/>
  <c r="M52" i="4"/>
  <c r="E65" i="4"/>
  <c r="J202" i="4"/>
  <c r="J226" i="4"/>
  <c r="J229" i="4"/>
  <c r="J211" i="4"/>
  <c r="J208" i="4"/>
  <c r="J205" i="4"/>
  <c r="J223" i="4"/>
  <c r="H202" i="4"/>
  <c r="H208" i="4"/>
  <c r="H223" i="4"/>
  <c r="H229" i="4"/>
  <c r="H226" i="4"/>
  <c r="H205" i="4"/>
  <c r="H211" i="4"/>
  <c r="H220" i="4"/>
  <c r="H199" i="4"/>
  <c r="H217" i="4"/>
  <c r="J199" i="4"/>
  <c r="J217" i="4"/>
  <c r="J220" i="4"/>
  <c r="Q4" i="1"/>
  <c r="Q7" i="5" s="1"/>
  <c r="H122" i="4"/>
  <c r="H116" i="4"/>
  <c r="J122" i="4"/>
  <c r="J116" i="4"/>
  <c r="U99" i="1"/>
  <c r="R4" i="1"/>
  <c r="R7" i="5" s="1"/>
  <c r="AR125" i="4"/>
  <c r="AC158" i="4"/>
  <c r="AC58" i="5" s="1"/>
  <c r="AD58" i="5" s="1"/>
  <c r="R8" i="4"/>
  <c r="P4" i="1"/>
  <c r="P7" i="5" s="1"/>
  <c r="Q131" i="1"/>
  <c r="Q172" i="1" s="1"/>
  <c r="R141" i="1"/>
  <c r="V172" i="1"/>
  <c r="Q390" i="1"/>
  <c r="Q391" i="1" s="1"/>
  <c r="P391" i="1"/>
  <c r="M390" i="1"/>
  <c r="M391" i="1" s="1"/>
  <c r="N391" i="1"/>
  <c r="H391" i="1"/>
  <c r="I390" i="1"/>
  <c r="I391" i="1" s="1"/>
  <c r="M7" i="5"/>
  <c r="M7" i="4"/>
  <c r="M154" i="4" s="1"/>
  <c r="L7" i="5"/>
  <c r="L7" i="4"/>
  <c r="L154" i="4" s="1"/>
  <c r="N7" i="4"/>
  <c r="N7" i="5"/>
  <c r="V119" i="4"/>
  <c r="T119" i="4"/>
  <c r="Z119" i="4"/>
  <c r="X119" i="4"/>
  <c r="AB119" i="4"/>
  <c r="AD119" i="4"/>
  <c r="AO22" i="8" l="1"/>
  <c r="AO63" i="8" s="1"/>
  <c r="F24" i="8"/>
  <c r="BM11" i="8"/>
  <c r="M104" i="5"/>
  <c r="H34" i="1"/>
  <c r="L54" i="1" s="1"/>
  <c r="M106" i="5"/>
  <c r="H32" i="1"/>
  <c r="H31" i="1" s="1"/>
  <c r="H81" i="4" s="1"/>
  <c r="R28" i="1"/>
  <c r="F119" i="51" s="1"/>
  <c r="Q25" i="1"/>
  <c r="R179" i="1"/>
  <c r="BE462" i="1"/>
  <c r="E104" i="5"/>
  <c r="E106" i="5"/>
  <c r="I104" i="5"/>
  <c r="I106" i="5"/>
  <c r="D34" i="1"/>
  <c r="T54" i="1"/>
  <c r="T52" i="1"/>
  <c r="L32" i="1"/>
  <c r="L31" i="1" s="1"/>
  <c r="L69" i="1" s="1"/>
  <c r="L34" i="1"/>
  <c r="E23" i="1"/>
  <c r="T55" i="1"/>
  <c r="P35" i="1"/>
  <c r="M23" i="1"/>
  <c r="D32" i="1"/>
  <c r="D31" i="1" s="1"/>
  <c r="D69" i="1" s="1"/>
  <c r="N190" i="1"/>
  <c r="I23" i="1"/>
  <c r="L190" i="1"/>
  <c r="I191" i="1"/>
  <c r="H190" i="1"/>
  <c r="M196" i="1"/>
  <c r="F78" i="4"/>
  <c r="E74" i="4"/>
  <c r="D77" i="4"/>
  <c r="M53" i="4"/>
  <c r="M174" i="1"/>
  <c r="E191" i="1"/>
  <c r="E25" i="1"/>
  <c r="N28" i="1"/>
  <c r="H78" i="4"/>
  <c r="N78" i="4"/>
  <c r="M74" i="4"/>
  <c r="J77" i="4"/>
  <c r="I53" i="4"/>
  <c r="E53" i="4"/>
  <c r="L77" i="4"/>
  <c r="I74" i="4"/>
  <c r="J190" i="1"/>
  <c r="P69" i="1"/>
  <c r="P81" i="4"/>
  <c r="F28" i="1"/>
  <c r="AS14" i="8"/>
  <c r="AS55" i="8" s="1"/>
  <c r="N179" i="1"/>
  <c r="M25" i="1"/>
  <c r="J25" i="1"/>
  <c r="J339" i="1"/>
  <c r="F179" i="1"/>
  <c r="P78" i="4"/>
  <c r="Q77" i="4"/>
  <c r="H191" i="1"/>
  <c r="M189" i="1"/>
  <c r="L191" i="1"/>
  <c r="I189" i="1"/>
  <c r="M191" i="1"/>
  <c r="P68" i="1"/>
  <c r="D28" i="8"/>
  <c r="BL18" i="8"/>
  <c r="P39" i="1"/>
  <c r="P89" i="1" s="1"/>
  <c r="P38" i="1"/>
  <c r="BB21" i="1"/>
  <c r="BM10" i="8"/>
  <c r="BM18" i="8"/>
  <c r="BL10" i="8"/>
  <c r="R166" i="1"/>
  <c r="R163" i="1"/>
  <c r="R164" i="1"/>
  <c r="V127" i="1"/>
  <c r="V163" i="1" s="1"/>
  <c r="BF460" i="1"/>
  <c r="BE17" i="1"/>
  <c r="BD21" i="1"/>
  <c r="BH460" i="1"/>
  <c r="BE12" i="1"/>
  <c r="Q7" i="4"/>
  <c r="Q141" i="1"/>
  <c r="R7" i="4"/>
  <c r="R178" i="4" s="1"/>
  <c r="M202" i="4"/>
  <c r="M208" i="4"/>
  <c r="M229" i="4"/>
  <c r="M223" i="4"/>
  <c r="M205" i="4"/>
  <c r="M226" i="4"/>
  <c r="M211" i="4"/>
  <c r="N202" i="4"/>
  <c r="N205" i="4"/>
  <c r="N223" i="4"/>
  <c r="N226" i="4"/>
  <c r="N208" i="4"/>
  <c r="N229" i="4"/>
  <c r="N211" i="4"/>
  <c r="L202" i="4"/>
  <c r="L208" i="4"/>
  <c r="L223" i="4"/>
  <c r="L211" i="4"/>
  <c r="L226" i="4"/>
  <c r="L229" i="4"/>
  <c r="L205" i="4"/>
  <c r="L199" i="4"/>
  <c r="L217" i="4"/>
  <c r="L220" i="4"/>
  <c r="M217" i="4"/>
  <c r="M199" i="4"/>
  <c r="M220" i="4"/>
  <c r="N220" i="4"/>
  <c r="N199" i="4"/>
  <c r="N217" i="4"/>
  <c r="N122" i="4"/>
  <c r="N116" i="4"/>
  <c r="L116" i="4"/>
  <c r="L122" i="4"/>
  <c r="M116" i="4"/>
  <c r="M122" i="4"/>
  <c r="AS125" i="4"/>
  <c r="AR126" i="4"/>
  <c r="P7" i="4"/>
  <c r="P154" i="4" s="1"/>
  <c r="U131" i="1"/>
  <c r="V141" i="1"/>
  <c r="Q67" i="5"/>
  <c r="U67" i="5"/>
  <c r="Y67" i="5"/>
  <c r="BE107" i="51"/>
  <c r="BD107" i="51"/>
  <c r="BA107" i="51"/>
  <c r="AZ107" i="51"/>
  <c r="AW107" i="51"/>
  <c r="AV107" i="51"/>
  <c r="AS107" i="51"/>
  <c r="AR107" i="51"/>
  <c r="AO107" i="51"/>
  <c r="AN107" i="51"/>
  <c r="AK107" i="51"/>
  <c r="AJ107" i="51"/>
  <c r="AG107" i="51"/>
  <c r="AF107" i="51"/>
  <c r="BE106" i="51"/>
  <c r="BD106" i="51"/>
  <c r="BA106" i="51"/>
  <c r="AZ106" i="51"/>
  <c r="AW106" i="51"/>
  <c r="AV106" i="51"/>
  <c r="AS106" i="51"/>
  <c r="AR106" i="51"/>
  <c r="AO106" i="51"/>
  <c r="AN106" i="51"/>
  <c r="AK106" i="51"/>
  <c r="AJ106" i="51"/>
  <c r="AG106" i="51"/>
  <c r="AF106" i="51"/>
  <c r="AG99" i="51"/>
  <c r="AF99" i="51"/>
  <c r="BE79" i="51"/>
  <c r="BD79" i="51"/>
  <c r="BA79" i="51"/>
  <c r="AZ79" i="51"/>
  <c r="AW79" i="51"/>
  <c r="AV79" i="51"/>
  <c r="AS79" i="51"/>
  <c r="AR79" i="51"/>
  <c r="AO79" i="51"/>
  <c r="AN79" i="51"/>
  <c r="AK79" i="51"/>
  <c r="AJ79" i="51"/>
  <c r="AG79" i="51"/>
  <c r="AF79" i="51"/>
  <c r="BE78" i="51"/>
  <c r="BD78" i="51"/>
  <c r="BA78" i="51"/>
  <c r="AZ78" i="51"/>
  <c r="AW78" i="51"/>
  <c r="AV78" i="51"/>
  <c r="AS78" i="51"/>
  <c r="AR78" i="51"/>
  <c r="AO78" i="51"/>
  <c r="AN78" i="51"/>
  <c r="AK78" i="51"/>
  <c r="AJ78" i="51"/>
  <c r="AG78" i="51"/>
  <c r="AF78" i="51"/>
  <c r="BE75" i="51"/>
  <c r="BD75" i="51"/>
  <c r="BA75" i="51"/>
  <c r="AZ75" i="51"/>
  <c r="AW75" i="51"/>
  <c r="AV75" i="51"/>
  <c r="AS75" i="51"/>
  <c r="AR75" i="51"/>
  <c r="AO75" i="51"/>
  <c r="AN75" i="51"/>
  <c r="AK75" i="51"/>
  <c r="AJ75" i="51"/>
  <c r="AG75" i="51"/>
  <c r="AF75" i="51"/>
  <c r="AF74" i="51"/>
  <c r="BE69" i="51"/>
  <c r="BD69" i="51"/>
  <c r="BA69" i="51"/>
  <c r="AZ69" i="51"/>
  <c r="AW69" i="51"/>
  <c r="AV69" i="51"/>
  <c r="AS69" i="51"/>
  <c r="AR69" i="51"/>
  <c r="AO69" i="51"/>
  <c r="AN69" i="51"/>
  <c r="AK69" i="51"/>
  <c r="AJ69" i="51"/>
  <c r="AG69" i="51"/>
  <c r="AF69" i="51"/>
  <c r="BE64" i="51"/>
  <c r="BD64" i="51"/>
  <c r="BA64" i="51"/>
  <c r="AZ64" i="51"/>
  <c r="AW64" i="51"/>
  <c r="AV64" i="51"/>
  <c r="AS64" i="51"/>
  <c r="AR64" i="51"/>
  <c r="AO64" i="51"/>
  <c r="AN64" i="51"/>
  <c r="AK64" i="51"/>
  <c r="AJ64" i="51"/>
  <c r="AG64" i="51"/>
  <c r="AF64" i="51"/>
  <c r="BE63" i="51"/>
  <c r="BD63" i="51"/>
  <c r="BA63" i="51"/>
  <c r="AZ63" i="51"/>
  <c r="AW63" i="51"/>
  <c r="AV63" i="51"/>
  <c r="AS63" i="51"/>
  <c r="AR63" i="51"/>
  <c r="AO63" i="51"/>
  <c r="AN63" i="51"/>
  <c r="AK63" i="51"/>
  <c r="AJ63" i="51"/>
  <c r="AG63" i="51"/>
  <c r="AF63" i="51"/>
  <c r="BE60" i="51"/>
  <c r="BD60" i="51"/>
  <c r="BA60" i="51"/>
  <c r="AZ60" i="51"/>
  <c r="AW60" i="51"/>
  <c r="AV60" i="51"/>
  <c r="AS60" i="51"/>
  <c r="AR60" i="51"/>
  <c r="AO60" i="51"/>
  <c r="AN60" i="51"/>
  <c r="AK60" i="51"/>
  <c r="AJ60" i="51"/>
  <c r="AG60" i="51"/>
  <c r="AF60" i="51"/>
  <c r="BE59" i="51"/>
  <c r="BD59" i="51"/>
  <c r="BA59" i="51"/>
  <c r="AZ59" i="51"/>
  <c r="AW59" i="51"/>
  <c r="AV59" i="51"/>
  <c r="AS59" i="51"/>
  <c r="AR59" i="51"/>
  <c r="AO59" i="51"/>
  <c r="AN59" i="51"/>
  <c r="AK59" i="51"/>
  <c r="AJ59" i="51"/>
  <c r="AG59" i="51"/>
  <c r="AF59" i="51"/>
  <c r="BE56" i="51"/>
  <c r="BD56" i="51"/>
  <c r="BA56" i="51"/>
  <c r="AZ56" i="51"/>
  <c r="AW56" i="51"/>
  <c r="AV56" i="51"/>
  <c r="AS56" i="51"/>
  <c r="AR56" i="51"/>
  <c r="AO56" i="51"/>
  <c r="AN56" i="51"/>
  <c r="AK56" i="51"/>
  <c r="AJ56" i="51"/>
  <c r="AG56" i="51"/>
  <c r="AF56" i="51"/>
  <c r="BE55" i="51"/>
  <c r="BD55" i="51"/>
  <c r="BA55" i="51"/>
  <c r="AZ55" i="51"/>
  <c r="AW55" i="51"/>
  <c r="AV55" i="51"/>
  <c r="AS55" i="51"/>
  <c r="AR55" i="51"/>
  <c r="AO55" i="51"/>
  <c r="AN55" i="51"/>
  <c r="AK55" i="51"/>
  <c r="AJ55" i="51"/>
  <c r="AG55" i="51"/>
  <c r="AF55" i="51"/>
  <c r="BE51" i="51"/>
  <c r="BD51" i="51"/>
  <c r="BA51" i="51"/>
  <c r="AZ51" i="51"/>
  <c r="AW51" i="51"/>
  <c r="AV51" i="51"/>
  <c r="AS51" i="51"/>
  <c r="AR51" i="51"/>
  <c r="AO51" i="51"/>
  <c r="AN51" i="51"/>
  <c r="AK51" i="51"/>
  <c r="AJ51" i="51"/>
  <c r="AG51" i="51"/>
  <c r="AF51" i="51"/>
  <c r="BE50" i="51"/>
  <c r="BD50" i="51"/>
  <c r="BA50" i="51"/>
  <c r="AZ50" i="51"/>
  <c r="AW50" i="51"/>
  <c r="AV50" i="51"/>
  <c r="AS50" i="51"/>
  <c r="AR50" i="51"/>
  <c r="AO50" i="51"/>
  <c r="AN50" i="51"/>
  <c r="AK50" i="51"/>
  <c r="AJ50" i="51"/>
  <c r="AG50" i="51"/>
  <c r="AF50" i="51"/>
  <c r="BE41" i="51"/>
  <c r="BD41" i="51"/>
  <c r="BA41" i="51"/>
  <c r="AZ41" i="51"/>
  <c r="AW41" i="51"/>
  <c r="AV41" i="51"/>
  <c r="AS41" i="51"/>
  <c r="AR41" i="51"/>
  <c r="AO41" i="51"/>
  <c r="AN41" i="51"/>
  <c r="AK41" i="51"/>
  <c r="AJ41" i="51"/>
  <c r="AG41" i="51"/>
  <c r="AF41" i="51"/>
  <c r="BE40" i="51"/>
  <c r="BD40" i="51"/>
  <c r="BA40" i="51"/>
  <c r="AZ40" i="51"/>
  <c r="AW40" i="51"/>
  <c r="AV40" i="51"/>
  <c r="AS40" i="51"/>
  <c r="AR40" i="51"/>
  <c r="AO40" i="51"/>
  <c r="AN40" i="51"/>
  <c r="AK40" i="51"/>
  <c r="AJ40" i="51"/>
  <c r="AG40" i="51"/>
  <c r="AF40" i="51"/>
  <c r="B105" i="51"/>
  <c r="B101" i="51"/>
  <c r="B77" i="51"/>
  <c r="B73" i="51"/>
  <c r="B62" i="51"/>
  <c r="B58" i="51"/>
  <c r="B49" i="51"/>
  <c r="B45" i="51"/>
  <c r="B39" i="51"/>
  <c r="B18" i="51"/>
  <c r="B23" i="51" s="1"/>
  <c r="B28" i="51" s="1"/>
  <c r="B33" i="51" s="1"/>
  <c r="B17" i="51"/>
  <c r="B22" i="51" s="1"/>
  <c r="B27" i="51" s="1"/>
  <c r="B32" i="51" s="1"/>
  <c r="B5" i="51"/>
  <c r="BL32" i="51" l="1"/>
  <c r="BX427" i="1" s="1"/>
  <c r="BL22" i="51"/>
  <c r="BL12" i="51"/>
  <c r="BI28" i="51"/>
  <c r="BU377" i="1" s="1"/>
  <c r="BI18" i="51"/>
  <c r="BU282" i="1" s="1"/>
  <c r="BP32" i="51"/>
  <c r="BQ32" i="51"/>
  <c r="BQ26" i="51"/>
  <c r="BQ18" i="51"/>
  <c r="BQ12" i="51"/>
  <c r="BM31" i="51"/>
  <c r="BY417" i="1" s="1"/>
  <c r="BM21" i="51"/>
  <c r="BY294" i="1" s="1"/>
  <c r="BM11" i="51"/>
  <c r="BY212" i="1" s="1"/>
  <c r="BH28" i="51"/>
  <c r="BT377" i="1" s="1"/>
  <c r="BH18" i="51"/>
  <c r="BT282" i="1" s="1"/>
  <c r="BP26" i="51"/>
  <c r="BP18" i="51"/>
  <c r="BP12" i="51"/>
  <c r="BL31" i="51"/>
  <c r="BX417" i="1" s="1"/>
  <c r="BL21" i="51"/>
  <c r="BX294" i="1" s="1"/>
  <c r="BL11" i="51"/>
  <c r="BX212" i="1" s="1"/>
  <c r="BI27" i="51"/>
  <c r="BI17" i="51"/>
  <c r="BU274" i="1" s="1"/>
  <c r="BM28" i="51"/>
  <c r="BY377" i="1" s="1"/>
  <c r="BM18" i="51"/>
  <c r="BY282" i="1" s="1"/>
  <c r="BH27" i="51"/>
  <c r="BH17" i="51"/>
  <c r="BT274" i="1" s="1"/>
  <c r="BQ31" i="51"/>
  <c r="BQ23" i="51"/>
  <c r="BQ17" i="51"/>
  <c r="BQ11" i="51"/>
  <c r="BL28" i="51"/>
  <c r="BX377" i="1" s="1"/>
  <c r="BL18" i="51"/>
  <c r="BX282" i="1" s="1"/>
  <c r="BI26" i="51"/>
  <c r="BU347" i="1" s="1"/>
  <c r="BI16" i="51"/>
  <c r="BU268" i="1" s="1"/>
  <c r="BP31" i="51"/>
  <c r="BP23" i="51"/>
  <c r="BP17" i="51"/>
  <c r="BP11" i="51"/>
  <c r="BM27" i="51"/>
  <c r="BM17" i="51"/>
  <c r="BY274" i="1" s="1"/>
  <c r="BH26" i="51"/>
  <c r="BT347" i="1" s="1"/>
  <c r="BH16" i="51"/>
  <c r="BT268" i="1" s="1"/>
  <c r="BL27" i="51"/>
  <c r="BL17" i="51"/>
  <c r="BX274" i="1" s="1"/>
  <c r="BI33" i="51"/>
  <c r="BU436" i="1" s="1"/>
  <c r="BI23" i="51"/>
  <c r="BU323" i="1" s="1"/>
  <c r="BI13" i="51"/>
  <c r="BU241" i="1" s="1"/>
  <c r="BQ28" i="51"/>
  <c r="BQ22" i="51"/>
  <c r="BQ16" i="51"/>
  <c r="BM26" i="51"/>
  <c r="BY347" i="1" s="1"/>
  <c r="BM16" i="51"/>
  <c r="BY268" i="1" s="1"/>
  <c r="BH33" i="51"/>
  <c r="BT436" i="1" s="1"/>
  <c r="BH23" i="51"/>
  <c r="BT323" i="1" s="1"/>
  <c r="BH13" i="51"/>
  <c r="BT241" i="1" s="1"/>
  <c r="BP28" i="51"/>
  <c r="BP22" i="51"/>
  <c r="BP16" i="51"/>
  <c r="BL26" i="51"/>
  <c r="BX347" i="1" s="1"/>
  <c r="BL16" i="51"/>
  <c r="BX268" i="1" s="1"/>
  <c r="BI32" i="51"/>
  <c r="BU427" i="1" s="1"/>
  <c r="BI22" i="51"/>
  <c r="BI12" i="51"/>
  <c r="BM33" i="51"/>
  <c r="BY436" i="1" s="1"/>
  <c r="BM23" i="51"/>
  <c r="BY323" i="1" s="1"/>
  <c r="BM13" i="51"/>
  <c r="BY241" i="1" s="1"/>
  <c r="BH32" i="51"/>
  <c r="BT427" i="1" s="1"/>
  <c r="BH22" i="51"/>
  <c r="BH12" i="51"/>
  <c r="BQ33" i="51"/>
  <c r="BQ27" i="51"/>
  <c r="BQ21" i="51"/>
  <c r="BQ13" i="51"/>
  <c r="BL33" i="51"/>
  <c r="BX436" i="1" s="1"/>
  <c r="BL23" i="51"/>
  <c r="BX323" i="1" s="1"/>
  <c r="BL13" i="51"/>
  <c r="BX241" i="1" s="1"/>
  <c r="BI31" i="51"/>
  <c r="BU417" i="1" s="1"/>
  <c r="BI21" i="51"/>
  <c r="BU294" i="1" s="1"/>
  <c r="BI11" i="51"/>
  <c r="BU212" i="1" s="1"/>
  <c r="BP33" i="51"/>
  <c r="BP27" i="51"/>
  <c r="BP21" i="51"/>
  <c r="BP13" i="51"/>
  <c r="BM32" i="51"/>
  <c r="BY427" i="1" s="1"/>
  <c r="BM22" i="51"/>
  <c r="BM12" i="51"/>
  <c r="BH31" i="51"/>
  <c r="BT417" i="1" s="1"/>
  <c r="BH21" i="51"/>
  <c r="BT294" i="1" s="1"/>
  <c r="BH11" i="51"/>
  <c r="BT212" i="1" s="1"/>
  <c r="AP22" i="8"/>
  <c r="AP63" i="8" s="1"/>
  <c r="Q28" i="1"/>
  <c r="E119" i="51" s="1"/>
  <c r="H68" i="1"/>
  <c r="H38" i="1"/>
  <c r="H39" i="1"/>
  <c r="L52" i="1"/>
  <c r="BN11" i="8"/>
  <c r="L55" i="1"/>
  <c r="L56" i="1" s="1"/>
  <c r="H35" i="1"/>
  <c r="H69" i="1"/>
  <c r="R32" i="1"/>
  <c r="R31" i="1" s="1"/>
  <c r="R81" i="4" s="1"/>
  <c r="F25" i="8"/>
  <c r="R34" i="1"/>
  <c r="F122" i="51" s="1"/>
  <c r="E24" i="8"/>
  <c r="Q179" i="1"/>
  <c r="BH462" i="1"/>
  <c r="BF462" i="1"/>
  <c r="H52" i="1"/>
  <c r="D39" i="1"/>
  <c r="D97" i="1" s="1"/>
  <c r="H54" i="1"/>
  <c r="D68" i="1"/>
  <c r="D71" i="1" s="1"/>
  <c r="D35" i="1"/>
  <c r="D38" i="1"/>
  <c r="L39" i="1"/>
  <c r="L89" i="1" s="1"/>
  <c r="H55" i="1"/>
  <c r="H56" i="1" s="1"/>
  <c r="L81" i="4"/>
  <c r="L35" i="1"/>
  <c r="P52" i="1"/>
  <c r="P54" i="1"/>
  <c r="P55" i="1"/>
  <c r="P56" i="1" s="1"/>
  <c r="L38" i="1"/>
  <c r="L68" i="1"/>
  <c r="L71" i="1" s="1"/>
  <c r="N34" i="1"/>
  <c r="D81" i="4"/>
  <c r="E28" i="1"/>
  <c r="N32" i="1"/>
  <c r="N31" i="1" s="1"/>
  <c r="N69" i="1" s="1"/>
  <c r="F191" i="1"/>
  <c r="E179" i="1"/>
  <c r="F32" i="1"/>
  <c r="F31" i="1" s="1"/>
  <c r="F81" i="4" s="1"/>
  <c r="I77" i="4"/>
  <c r="M77" i="4"/>
  <c r="D78" i="4"/>
  <c r="F34" i="1"/>
  <c r="M190" i="1"/>
  <c r="M28" i="1"/>
  <c r="L78" i="4"/>
  <c r="J78" i="4"/>
  <c r="E77" i="4"/>
  <c r="I190" i="1"/>
  <c r="P71" i="1"/>
  <c r="BC21" i="1"/>
  <c r="M179" i="1"/>
  <c r="AV14" i="8"/>
  <c r="AV55" i="8" s="1"/>
  <c r="AT14" i="8"/>
  <c r="AT55" i="8" s="1"/>
  <c r="J28" i="1"/>
  <c r="I25" i="1"/>
  <c r="J179" i="1"/>
  <c r="Q78" i="4"/>
  <c r="N191" i="1"/>
  <c r="J191" i="1"/>
  <c r="P145" i="1"/>
  <c r="P156" i="1" s="1"/>
  <c r="D34" i="8"/>
  <c r="P29" i="5"/>
  <c r="P154" i="1"/>
  <c r="P148" i="1"/>
  <c r="D38" i="8" s="1"/>
  <c r="P146" i="1"/>
  <c r="P147" i="1"/>
  <c r="P158" i="1" s="1"/>
  <c r="D31" i="8"/>
  <c r="V165" i="1"/>
  <c r="V166" i="1"/>
  <c r="BN10" i="8" s="1"/>
  <c r="V99" i="1"/>
  <c r="U172" i="1"/>
  <c r="BM20" i="8"/>
  <c r="BF12" i="1"/>
  <c r="BG12" i="1" s="1"/>
  <c r="V164" i="1"/>
  <c r="BA33" i="51"/>
  <c r="BM436" i="1" s="1"/>
  <c r="AS33" i="51"/>
  <c r="BE436" i="1" s="1"/>
  <c r="AK33" i="51"/>
  <c r="AW436" i="1" s="1"/>
  <c r="BA32" i="51"/>
  <c r="BM427" i="1" s="1"/>
  <c r="AS32" i="51"/>
  <c r="BE427" i="1" s="1"/>
  <c r="AK32" i="51"/>
  <c r="AW427" i="1" s="1"/>
  <c r="BD31" i="51"/>
  <c r="BP417" i="1" s="1"/>
  <c r="AS31" i="51"/>
  <c r="BE417" i="1" s="1"/>
  <c r="AN31" i="51"/>
  <c r="AZ417" i="1" s="1"/>
  <c r="BD28" i="51"/>
  <c r="BP377" i="1" s="1"/>
  <c r="BA27" i="51"/>
  <c r="BM364" i="1" s="1"/>
  <c r="AZ26" i="51"/>
  <c r="BL347" i="1" s="1"/>
  <c r="AV28" i="51"/>
  <c r="BH377" i="1" s="1"/>
  <c r="AS27" i="51"/>
  <c r="BE364" i="1" s="1"/>
  <c r="AR26" i="51"/>
  <c r="BD347" i="1" s="1"/>
  <c r="AN28" i="51"/>
  <c r="AZ377" i="1" s="1"/>
  <c r="AK27" i="51"/>
  <c r="AW364" i="1" s="1"/>
  <c r="AJ26" i="51"/>
  <c r="AV347" i="1" s="1"/>
  <c r="AF28" i="51"/>
  <c r="AR377" i="1" s="1"/>
  <c r="AZ33" i="51"/>
  <c r="BL436" i="1" s="1"/>
  <c r="AR33" i="51"/>
  <c r="BD436" i="1" s="1"/>
  <c r="AJ33" i="51"/>
  <c r="AV436" i="1" s="1"/>
  <c r="AZ32" i="51"/>
  <c r="BL427" i="1" s="1"/>
  <c r="AR32" i="51"/>
  <c r="BD427" i="1" s="1"/>
  <c r="AJ32" i="51"/>
  <c r="AV427" i="1" s="1"/>
  <c r="BE33" i="51"/>
  <c r="BQ436" i="1" s="1"/>
  <c r="AO33" i="51"/>
  <c r="BA436" i="1" s="1"/>
  <c r="BE32" i="51"/>
  <c r="BQ427" i="1" s="1"/>
  <c r="AO32" i="51"/>
  <c r="BA427" i="1" s="1"/>
  <c r="AZ31" i="51"/>
  <c r="BL417" i="1" s="1"/>
  <c r="AG31" i="51"/>
  <c r="AS417" i="1" s="1"/>
  <c r="BE28" i="51"/>
  <c r="BQ377" i="1" s="1"/>
  <c r="BD26" i="51"/>
  <c r="BP347" i="1" s="1"/>
  <c r="AZ27" i="51"/>
  <c r="BL364" i="1" s="1"/>
  <c r="AV27" i="51"/>
  <c r="BH364" i="1" s="1"/>
  <c r="AR28" i="51"/>
  <c r="BD377" i="1" s="1"/>
  <c r="AO26" i="51"/>
  <c r="BA347" i="1" s="1"/>
  <c r="AK26" i="51"/>
  <c r="AW347" i="1" s="1"/>
  <c r="AG27" i="51"/>
  <c r="AS364" i="1" s="1"/>
  <c r="AW33" i="51"/>
  <c r="BI436" i="1" s="1"/>
  <c r="AJ31" i="51"/>
  <c r="AV417" i="1" s="1"/>
  <c r="BE26" i="51"/>
  <c r="BQ347" i="1" s="1"/>
  <c r="AW27" i="51"/>
  <c r="BI364" i="1" s="1"/>
  <c r="AO28" i="51"/>
  <c r="BA377" i="1" s="1"/>
  <c r="AJ27" i="51"/>
  <c r="AV364" i="1" s="1"/>
  <c r="AF33" i="51"/>
  <c r="AR436" i="1" s="1"/>
  <c r="AF32" i="51"/>
  <c r="AR427" i="1" s="1"/>
  <c r="BA31" i="51"/>
  <c r="BM417" i="1" s="1"/>
  <c r="AO31" i="51"/>
  <c r="BA417" i="1" s="1"/>
  <c r="AZ28" i="51"/>
  <c r="BL377" i="1" s="1"/>
  <c r="AS26" i="51"/>
  <c r="BE347" i="1" s="1"/>
  <c r="AF26" i="51"/>
  <c r="AR347" i="1" s="1"/>
  <c r="BD33" i="51"/>
  <c r="BP436" i="1" s="1"/>
  <c r="AN33" i="51"/>
  <c r="AZ436" i="1" s="1"/>
  <c r="BD32" i="51"/>
  <c r="BP427" i="1" s="1"/>
  <c r="AN32" i="51"/>
  <c r="AZ427" i="1" s="1"/>
  <c r="BE31" i="51"/>
  <c r="BQ417" i="1" s="1"/>
  <c r="AR31" i="51"/>
  <c r="BD417" i="1" s="1"/>
  <c r="AK31" i="51"/>
  <c r="AW417" i="1" s="1"/>
  <c r="AF31" i="51"/>
  <c r="AR417" i="1" s="1"/>
  <c r="BE27" i="51"/>
  <c r="BQ364" i="1" s="1"/>
  <c r="BA28" i="51"/>
  <c r="BM377" i="1" s="1"/>
  <c r="AW28" i="51"/>
  <c r="BI377" i="1" s="1"/>
  <c r="AV26" i="51"/>
  <c r="BH347" i="1" s="1"/>
  <c r="AR27" i="51"/>
  <c r="BD364" i="1" s="1"/>
  <c r="AN27" i="51"/>
  <c r="AZ364" i="1" s="1"/>
  <c r="AJ28" i="51"/>
  <c r="AV377" i="1" s="1"/>
  <c r="AG26" i="51"/>
  <c r="AS347" i="1" s="1"/>
  <c r="AG33" i="51"/>
  <c r="AS436" i="1" s="1"/>
  <c r="AW32" i="51"/>
  <c r="BI427" i="1" s="1"/>
  <c r="AG32" i="51"/>
  <c r="AS427" i="1" s="1"/>
  <c r="AW31" i="51"/>
  <c r="BI417" i="1" s="1"/>
  <c r="BA26" i="51"/>
  <c r="BM347" i="1" s="1"/>
  <c r="AS28" i="51"/>
  <c r="BE377" i="1" s="1"/>
  <c r="AN26" i="51"/>
  <c r="AZ347" i="1" s="1"/>
  <c r="AF27" i="51"/>
  <c r="AR364" i="1" s="1"/>
  <c r="AV33" i="51"/>
  <c r="BH436" i="1" s="1"/>
  <c r="AV32" i="51"/>
  <c r="BH427" i="1" s="1"/>
  <c r="AV31" i="51"/>
  <c r="BH417" i="1" s="1"/>
  <c r="BD27" i="51"/>
  <c r="BP364" i="1" s="1"/>
  <c r="AW26" i="51"/>
  <c r="BI347" i="1" s="1"/>
  <c r="AO27" i="51"/>
  <c r="BA364" i="1" s="1"/>
  <c r="AG28" i="51"/>
  <c r="AS377" i="1" s="1"/>
  <c r="BF17" i="1"/>
  <c r="BI460" i="1"/>
  <c r="BH12" i="1"/>
  <c r="BE21" i="1"/>
  <c r="BH17" i="1"/>
  <c r="R202" i="4"/>
  <c r="R199" i="4"/>
  <c r="R122" i="4"/>
  <c r="R116" i="4"/>
  <c r="R226" i="4"/>
  <c r="R208" i="4"/>
  <c r="R223" i="4"/>
  <c r="R229" i="4"/>
  <c r="R220" i="4"/>
  <c r="R211" i="4"/>
  <c r="R217" i="4"/>
  <c r="R205" i="4"/>
  <c r="U141" i="1"/>
  <c r="P202" i="4"/>
  <c r="P229" i="4"/>
  <c r="P223" i="4"/>
  <c r="P205" i="4"/>
  <c r="P211" i="4"/>
  <c r="P226" i="4"/>
  <c r="P208" i="4"/>
  <c r="P217" i="4"/>
  <c r="P199" i="4"/>
  <c r="P220" i="4"/>
  <c r="P116" i="4"/>
  <c r="P122" i="4"/>
  <c r="AT125" i="4"/>
  <c r="AV125" i="4"/>
  <c r="AS126" i="4"/>
  <c r="AT126" i="4" s="1"/>
  <c r="AT127" i="4" s="1"/>
  <c r="BE23" i="51"/>
  <c r="BQ323" i="1" s="1"/>
  <c r="AS11" i="51"/>
  <c r="BE212" i="1" s="1"/>
  <c r="BD11" i="51"/>
  <c r="BP212" i="1" s="1"/>
  <c r="AO12" i="51"/>
  <c r="BA229" i="1" s="1"/>
  <c r="AZ12" i="51"/>
  <c r="BL229" i="1" s="1"/>
  <c r="AK13" i="51"/>
  <c r="AV13" i="51"/>
  <c r="AG16" i="51"/>
  <c r="AS268" i="1" s="1"/>
  <c r="AR16" i="51"/>
  <c r="BD268" i="1" s="1"/>
  <c r="AN17" i="51"/>
  <c r="AZ274" i="1" s="1"/>
  <c r="AJ18" i="51"/>
  <c r="AV282" i="1" s="1"/>
  <c r="BE18" i="51"/>
  <c r="BQ282" i="1" s="1"/>
  <c r="AF21" i="51"/>
  <c r="AR294" i="1" s="1"/>
  <c r="BA21" i="51"/>
  <c r="BM294" i="1" s="1"/>
  <c r="AK22" i="51"/>
  <c r="AW311" i="1" s="1"/>
  <c r="AG23" i="51"/>
  <c r="AS323" i="1" s="1"/>
  <c r="AS22" i="51"/>
  <c r="BE311" i="1" s="1"/>
  <c r="AO23" i="51"/>
  <c r="BA323" i="1" s="1"/>
  <c r="AN11" i="51"/>
  <c r="AZ212" i="1" s="1"/>
  <c r="AJ12" i="51"/>
  <c r="AV229" i="1" s="1"/>
  <c r="BE12" i="51"/>
  <c r="BQ229" i="1" s="1"/>
  <c r="AF13" i="51"/>
  <c r="BA13" i="51"/>
  <c r="AW16" i="51"/>
  <c r="BI268" i="1" s="1"/>
  <c r="AS17" i="51"/>
  <c r="BE274" i="1" s="1"/>
  <c r="BD17" i="51"/>
  <c r="BP274" i="1" s="1"/>
  <c r="AO18" i="51"/>
  <c r="BA282" i="1" s="1"/>
  <c r="AZ18" i="51"/>
  <c r="BL282" i="1" s="1"/>
  <c r="AK21" i="51"/>
  <c r="AW294" i="1" s="1"/>
  <c r="AV21" i="51"/>
  <c r="BH294" i="1" s="1"/>
  <c r="BA22" i="51"/>
  <c r="BM311" i="1" s="1"/>
  <c r="AW23" i="51"/>
  <c r="BI323" i="1" s="1"/>
  <c r="AJ11" i="51"/>
  <c r="AV212" i="1" s="1"/>
  <c r="AO11" i="51"/>
  <c r="BA212" i="1" s="1"/>
  <c r="AZ11" i="51"/>
  <c r="BL212" i="1" s="1"/>
  <c r="BE11" i="51"/>
  <c r="BQ212" i="1" s="1"/>
  <c r="AF12" i="51"/>
  <c r="AR229" i="1" s="1"/>
  <c r="AK12" i="51"/>
  <c r="AW229" i="1" s="1"/>
  <c r="AV12" i="51"/>
  <c r="BH229" i="1" s="1"/>
  <c r="BA12" i="51"/>
  <c r="BM229" i="1" s="1"/>
  <c r="AG13" i="51"/>
  <c r="AR13" i="51"/>
  <c r="AW13" i="51"/>
  <c r="AN16" i="51"/>
  <c r="AZ268" i="1" s="1"/>
  <c r="AS16" i="51"/>
  <c r="BE268" i="1" s="1"/>
  <c r="BD16" i="51"/>
  <c r="BP268" i="1" s="1"/>
  <c r="AJ17" i="51"/>
  <c r="AV274" i="1" s="1"/>
  <c r="AO17" i="51"/>
  <c r="BA274" i="1" s="1"/>
  <c r="AZ17" i="51"/>
  <c r="BL274" i="1" s="1"/>
  <c r="BE17" i="51"/>
  <c r="BQ274" i="1" s="1"/>
  <c r="AF18" i="51"/>
  <c r="AR282" i="1" s="1"/>
  <c r="AK18" i="51"/>
  <c r="AW282" i="1" s="1"/>
  <c r="AV18" i="51"/>
  <c r="BH282" i="1" s="1"/>
  <c r="BA18" i="51"/>
  <c r="BM282" i="1" s="1"/>
  <c r="AG21" i="51"/>
  <c r="AS294" i="1" s="1"/>
  <c r="AR21" i="51"/>
  <c r="BD294" i="1" s="1"/>
  <c r="AW21" i="51"/>
  <c r="BI294" i="1" s="1"/>
  <c r="AF22" i="51"/>
  <c r="AR311" i="1" s="1"/>
  <c r="AN22" i="51"/>
  <c r="AZ311" i="1" s="1"/>
  <c r="AV22" i="51"/>
  <c r="BH311" i="1" s="1"/>
  <c r="BD22" i="51"/>
  <c r="BP311" i="1" s="1"/>
  <c r="AJ23" i="51"/>
  <c r="AV323" i="1" s="1"/>
  <c r="AR23" i="51"/>
  <c r="BD323" i="1" s="1"/>
  <c r="AZ23" i="51"/>
  <c r="BL323" i="1" s="1"/>
  <c r="AF11" i="51"/>
  <c r="AR212" i="1" s="1"/>
  <c r="AK11" i="51"/>
  <c r="AW212" i="1" s="1"/>
  <c r="AV11" i="51"/>
  <c r="BH212" i="1" s="1"/>
  <c r="BA11" i="51"/>
  <c r="BM212" i="1" s="1"/>
  <c r="AG12" i="51"/>
  <c r="AS229" i="1" s="1"/>
  <c r="AR12" i="51"/>
  <c r="BD229" i="1" s="1"/>
  <c r="AW12" i="51"/>
  <c r="BI229" i="1" s="1"/>
  <c r="AN13" i="51"/>
  <c r="AS13" i="51"/>
  <c r="BD13" i="51"/>
  <c r="AJ16" i="51"/>
  <c r="AV268" i="1" s="1"/>
  <c r="AO16" i="51"/>
  <c r="BA268" i="1" s="1"/>
  <c r="AZ16" i="51"/>
  <c r="BL268" i="1" s="1"/>
  <c r="BE16" i="51"/>
  <c r="BQ268" i="1" s="1"/>
  <c r="AF17" i="51"/>
  <c r="AR274" i="1" s="1"/>
  <c r="AK17" i="51"/>
  <c r="AW274" i="1" s="1"/>
  <c r="AV17" i="51"/>
  <c r="BH274" i="1" s="1"/>
  <c r="BA17" i="51"/>
  <c r="BM274" i="1" s="1"/>
  <c r="AG18" i="51"/>
  <c r="AS282" i="1" s="1"/>
  <c r="AR18" i="51"/>
  <c r="BD282" i="1" s="1"/>
  <c r="AW18" i="51"/>
  <c r="BI282" i="1" s="1"/>
  <c r="AN21" i="51"/>
  <c r="AZ294" i="1" s="1"/>
  <c r="AS21" i="51"/>
  <c r="BE294" i="1" s="1"/>
  <c r="BD21" i="51"/>
  <c r="BP294" i="1" s="1"/>
  <c r="AG22" i="51"/>
  <c r="AS311" i="1" s="1"/>
  <c r="AO22" i="51"/>
  <c r="BA311" i="1" s="1"/>
  <c r="AW22" i="51"/>
  <c r="BI311" i="1" s="1"/>
  <c r="BE22" i="51"/>
  <c r="BQ311" i="1" s="1"/>
  <c r="AK23" i="51"/>
  <c r="AW323" i="1" s="1"/>
  <c r="AS23" i="51"/>
  <c r="BE323" i="1" s="1"/>
  <c r="BA23" i="51"/>
  <c r="BM323" i="1" s="1"/>
  <c r="AG11" i="51"/>
  <c r="AS212" i="1" s="1"/>
  <c r="AR11" i="51"/>
  <c r="BD212" i="1" s="1"/>
  <c r="AW11" i="51"/>
  <c r="BI212" i="1" s="1"/>
  <c r="AN12" i="51"/>
  <c r="AZ229" i="1" s="1"/>
  <c r="AS12" i="51"/>
  <c r="BE229" i="1" s="1"/>
  <c r="BD12" i="51"/>
  <c r="BP229" i="1" s="1"/>
  <c r="AJ13" i="51"/>
  <c r="AO13" i="51"/>
  <c r="AZ13" i="51"/>
  <c r="BE13" i="51"/>
  <c r="AF16" i="51"/>
  <c r="AR268" i="1" s="1"/>
  <c r="AK16" i="51"/>
  <c r="AW268" i="1" s="1"/>
  <c r="AV16" i="51"/>
  <c r="BH268" i="1" s="1"/>
  <c r="BA16" i="51"/>
  <c r="BM268" i="1" s="1"/>
  <c r="AG17" i="51"/>
  <c r="AS274" i="1" s="1"/>
  <c r="AR17" i="51"/>
  <c r="BD274" i="1" s="1"/>
  <c r="AW17" i="51"/>
  <c r="BI274" i="1" s="1"/>
  <c r="AN18" i="51"/>
  <c r="AZ282" i="1" s="1"/>
  <c r="AS18" i="51"/>
  <c r="BE282" i="1" s="1"/>
  <c r="BD18" i="51"/>
  <c r="BP282" i="1" s="1"/>
  <c r="AJ21" i="51"/>
  <c r="AV294" i="1" s="1"/>
  <c r="AO21" i="51"/>
  <c r="BA294" i="1" s="1"/>
  <c r="AZ21" i="51"/>
  <c r="BL294" i="1" s="1"/>
  <c r="BE21" i="51"/>
  <c r="BQ294" i="1" s="1"/>
  <c r="AJ22" i="51"/>
  <c r="AV311" i="1" s="1"/>
  <c r="AR22" i="51"/>
  <c r="BD311" i="1" s="1"/>
  <c r="AZ22" i="51"/>
  <c r="BL311" i="1" s="1"/>
  <c r="AF23" i="51"/>
  <c r="AR323" i="1" s="1"/>
  <c r="AN23" i="51"/>
  <c r="AZ323" i="1" s="1"/>
  <c r="AV23" i="51"/>
  <c r="BH323" i="1" s="1"/>
  <c r="BD23" i="51"/>
  <c r="BP323" i="1" s="1"/>
  <c r="BT229" i="1" l="1"/>
  <c r="BT148" i="5"/>
  <c r="BU150" i="5"/>
  <c r="BU364" i="1"/>
  <c r="BT311" i="1"/>
  <c r="BT149" i="5"/>
  <c r="BX364" i="1"/>
  <c r="BX150" i="5"/>
  <c r="BU148" i="5"/>
  <c r="BU229" i="1"/>
  <c r="BY364" i="1"/>
  <c r="BY150" i="5"/>
  <c r="BY229" i="1"/>
  <c r="BY148" i="5"/>
  <c r="BU311" i="1"/>
  <c r="BU149" i="5"/>
  <c r="BX148" i="5"/>
  <c r="BX229" i="1"/>
  <c r="BY149" i="5"/>
  <c r="BY311" i="1"/>
  <c r="BT150" i="5"/>
  <c r="BT364" i="1"/>
  <c r="BX149" i="5"/>
  <c r="BX311" i="1"/>
  <c r="Q32" i="1"/>
  <c r="Q31" i="1" s="1"/>
  <c r="Q69" i="1" s="1"/>
  <c r="E25" i="8"/>
  <c r="Q34" i="1"/>
  <c r="E122" i="51" s="1"/>
  <c r="H146" i="1"/>
  <c r="H157" i="1" s="1"/>
  <c r="H154" i="1"/>
  <c r="H199" i="1"/>
  <c r="H71" i="1"/>
  <c r="H192" i="1"/>
  <c r="H148" i="1"/>
  <c r="H159" i="1" s="1"/>
  <c r="P157" i="1"/>
  <c r="H97" i="1"/>
  <c r="H89" i="1"/>
  <c r="BP241" i="1"/>
  <c r="BE241" i="1"/>
  <c r="BM241" i="1"/>
  <c r="AZ241" i="1"/>
  <c r="AR241" i="1"/>
  <c r="BQ241" i="1"/>
  <c r="BI241" i="1"/>
  <c r="BH241" i="1"/>
  <c r="BL241" i="1"/>
  <c r="BD241" i="1"/>
  <c r="AW241" i="1"/>
  <c r="AV241" i="1"/>
  <c r="BA241" i="1"/>
  <c r="AS241" i="1"/>
  <c r="R69" i="1"/>
  <c r="R35" i="1"/>
  <c r="R68" i="1"/>
  <c r="F28" i="8"/>
  <c r="R39" i="1"/>
  <c r="R38" i="1"/>
  <c r="V54" i="1"/>
  <c r="AR416" i="1"/>
  <c r="D146" i="1"/>
  <c r="D157" i="1" s="1"/>
  <c r="BI462" i="1"/>
  <c r="D154" i="1"/>
  <c r="D148" i="1"/>
  <c r="D159" i="1" s="1"/>
  <c r="D36" i="8"/>
  <c r="D89" i="1"/>
  <c r="D147" i="1" s="1"/>
  <c r="D158" i="1" s="1"/>
  <c r="L146" i="1"/>
  <c r="L154" i="1"/>
  <c r="L148" i="1"/>
  <c r="L159" i="1" s="1"/>
  <c r="L97" i="1"/>
  <c r="L199" i="1"/>
  <c r="L192" i="1"/>
  <c r="N38" i="1"/>
  <c r="N35" i="1"/>
  <c r="R54" i="1"/>
  <c r="R52" i="1"/>
  <c r="F35" i="1"/>
  <c r="J52" i="1"/>
  <c r="Q35" i="1"/>
  <c r="N39" i="1"/>
  <c r="N68" i="1"/>
  <c r="N71" i="1" s="1"/>
  <c r="R55" i="1"/>
  <c r="R56" i="1" s="1"/>
  <c r="N81" i="4"/>
  <c r="L80" i="4"/>
  <c r="L72" i="1"/>
  <c r="E32" i="1"/>
  <c r="E31" i="1" s="1"/>
  <c r="E69" i="1" s="1"/>
  <c r="F69" i="1"/>
  <c r="E34" i="1"/>
  <c r="M32" i="1"/>
  <c r="M31" i="1" s="1"/>
  <c r="M34" i="1"/>
  <c r="D80" i="4"/>
  <c r="D72" i="1"/>
  <c r="F38" i="1"/>
  <c r="F39" i="1"/>
  <c r="P80" i="4"/>
  <c r="P83" i="4" s="1"/>
  <c r="P74" i="1" s="1"/>
  <c r="P72" i="1"/>
  <c r="F68" i="1"/>
  <c r="I78" i="4"/>
  <c r="E78" i="4"/>
  <c r="M78" i="4"/>
  <c r="AW14" i="8"/>
  <c r="AW55" i="8" s="1"/>
  <c r="I28" i="1"/>
  <c r="I179" i="1"/>
  <c r="J34" i="1"/>
  <c r="J32" i="1"/>
  <c r="J31" i="1" s="1"/>
  <c r="L198" i="1"/>
  <c r="L204" i="1"/>
  <c r="P159" i="1"/>
  <c r="D37" i="8"/>
  <c r="BG17" i="1"/>
  <c r="L147" i="1"/>
  <c r="L158" i="1" s="1"/>
  <c r="L145" i="1"/>
  <c r="L156" i="1" s="1"/>
  <c r="BN18" i="8"/>
  <c r="BJ460" i="1"/>
  <c r="BF21" i="1"/>
  <c r="Q39" i="1"/>
  <c r="BH21" i="1"/>
  <c r="BI17" i="1"/>
  <c r="BL460" i="1"/>
  <c r="BI12" i="1"/>
  <c r="AW125" i="4"/>
  <c r="AV126" i="4"/>
  <c r="AW150" i="5"/>
  <c r="BD149" i="5"/>
  <c r="AZ148" i="5"/>
  <c r="AV150" i="5"/>
  <c r="BI149" i="5"/>
  <c r="BD148" i="5"/>
  <c r="BQ150" i="5"/>
  <c r="AZ149" i="5"/>
  <c r="AR148" i="5"/>
  <c r="BM149" i="5"/>
  <c r="BQ148" i="5"/>
  <c r="BA148" i="5"/>
  <c r="AZ150" i="5"/>
  <c r="BA149" i="5"/>
  <c r="AS148" i="5"/>
  <c r="BI150" i="5"/>
  <c r="AR149" i="5"/>
  <c r="BM148" i="5"/>
  <c r="AV148" i="5"/>
  <c r="BH150" i="5"/>
  <c r="BM150" i="5"/>
  <c r="BP148" i="5"/>
  <c r="BL150" i="5"/>
  <c r="AS149" i="5"/>
  <c r="BA150" i="5"/>
  <c r="BP149" i="5"/>
  <c r="BH148" i="5"/>
  <c r="AR150" i="5"/>
  <c r="BP150" i="5"/>
  <c r="AV149" i="5"/>
  <c r="BE150" i="5"/>
  <c r="BL149" i="5"/>
  <c r="BE148" i="5"/>
  <c r="BD150" i="5"/>
  <c r="BQ149" i="5"/>
  <c r="BI148" i="5"/>
  <c r="AS150" i="5"/>
  <c r="BH149" i="5"/>
  <c r="AW148" i="5"/>
  <c r="BE149" i="5"/>
  <c r="AW149" i="5"/>
  <c r="BL148" i="5"/>
  <c r="AH421" i="1"/>
  <c r="H204" i="1" l="1"/>
  <c r="Q81" i="4"/>
  <c r="Q38" i="1"/>
  <c r="F31" i="8"/>
  <c r="U54" i="1"/>
  <c r="E28" i="8"/>
  <c r="Q68" i="1"/>
  <c r="Q71" i="1" s="1"/>
  <c r="H198" i="1"/>
  <c r="H80" i="4"/>
  <c r="H145" i="1"/>
  <c r="H156" i="1" s="1"/>
  <c r="H147" i="1"/>
  <c r="H158" i="1" s="1"/>
  <c r="H72" i="1"/>
  <c r="AL422" i="1"/>
  <c r="L157" i="1"/>
  <c r="R71" i="1"/>
  <c r="R89" i="1"/>
  <c r="R154" i="1"/>
  <c r="R167" i="1" s="1"/>
  <c r="R148" i="1"/>
  <c r="R159" i="1" s="1"/>
  <c r="R146" i="1"/>
  <c r="AV416" i="1"/>
  <c r="AJ42" i="1"/>
  <c r="AH422" i="1"/>
  <c r="BJ462" i="1"/>
  <c r="BL462" i="1"/>
  <c r="V12" i="8"/>
  <c r="AH11" i="1"/>
  <c r="AH118" i="4" s="1"/>
  <c r="D145" i="1"/>
  <c r="D156" i="1" s="1"/>
  <c r="N97" i="1"/>
  <c r="F71" i="1"/>
  <c r="E81" i="4"/>
  <c r="N199" i="1"/>
  <c r="N148" i="1"/>
  <c r="N168" i="1" s="1"/>
  <c r="N146" i="1"/>
  <c r="Q52" i="1"/>
  <c r="Q54" i="1"/>
  <c r="N154" i="1"/>
  <c r="N167" i="1" s="1"/>
  <c r="J35" i="1"/>
  <c r="N54" i="1"/>
  <c r="N52" i="1"/>
  <c r="E35" i="1"/>
  <c r="I52" i="1"/>
  <c r="N89" i="1"/>
  <c r="N198" i="1" s="1"/>
  <c r="N192" i="1"/>
  <c r="M81" i="4"/>
  <c r="L83" i="4"/>
  <c r="L74" i="1" s="1"/>
  <c r="E39" i="1"/>
  <c r="M69" i="1"/>
  <c r="E38" i="1"/>
  <c r="M68" i="1"/>
  <c r="M35" i="1"/>
  <c r="N55" i="1"/>
  <c r="N56" i="1" s="1"/>
  <c r="Q55" i="1"/>
  <c r="Q56" i="1" s="1"/>
  <c r="E68" i="1"/>
  <c r="E71" i="1" s="1"/>
  <c r="F146" i="1"/>
  <c r="F157" i="1" s="1"/>
  <c r="M38" i="1"/>
  <c r="F154" i="1"/>
  <c r="D83" i="4"/>
  <c r="D74" i="1" s="1"/>
  <c r="M39" i="1"/>
  <c r="F148" i="1"/>
  <c r="F159" i="1" s="1"/>
  <c r="F97" i="1"/>
  <c r="F89" i="1"/>
  <c r="N80" i="4"/>
  <c r="N72" i="1"/>
  <c r="BG21" i="1"/>
  <c r="J69" i="1"/>
  <c r="J81" i="4"/>
  <c r="AX14" i="8"/>
  <c r="AX55" i="8" s="1"/>
  <c r="AZ14" i="8"/>
  <c r="AZ55" i="8" s="1"/>
  <c r="J39" i="1"/>
  <c r="J38" i="1"/>
  <c r="J68" i="1"/>
  <c r="I34" i="1"/>
  <c r="I32" i="1"/>
  <c r="I31" i="1" s="1"/>
  <c r="X17" i="8"/>
  <c r="P175" i="1"/>
  <c r="P180" i="1" s="1"/>
  <c r="BJ12" i="1"/>
  <c r="BK12" i="1" s="1"/>
  <c r="Q148" i="1"/>
  <c r="Q146" i="1"/>
  <c r="AS416" i="1"/>
  <c r="E31" i="8"/>
  <c r="Q89" i="1"/>
  <c r="Q154" i="1"/>
  <c r="BI21" i="1"/>
  <c r="BL17" i="1"/>
  <c r="BM460" i="1"/>
  <c r="BL12" i="1"/>
  <c r="BJ17" i="1"/>
  <c r="AX125" i="4"/>
  <c r="AZ125" i="4"/>
  <c r="AW126" i="4"/>
  <c r="AX126" i="4" s="1"/>
  <c r="AX127" i="4" s="1"/>
  <c r="AW416" i="1" l="1"/>
  <c r="BA416" i="1" s="1"/>
  <c r="BE416" i="1" s="1"/>
  <c r="BI416" i="1" s="1"/>
  <c r="BM416" i="1" s="1"/>
  <c r="BQ416" i="1" s="1"/>
  <c r="BU416" i="1" s="1"/>
  <c r="BY416" i="1" s="1"/>
  <c r="H83" i="4"/>
  <c r="R147" i="1"/>
  <c r="R158" i="1" s="1"/>
  <c r="R145" i="1"/>
  <c r="R156" i="1" s="1"/>
  <c r="R72" i="1"/>
  <c r="N157" i="1"/>
  <c r="R157" i="1"/>
  <c r="Q157" i="1"/>
  <c r="R80" i="4"/>
  <c r="R83" i="4" s="1"/>
  <c r="R74" i="1" s="1"/>
  <c r="F36" i="8"/>
  <c r="F38" i="8"/>
  <c r="F34" i="8"/>
  <c r="R168" i="1"/>
  <c r="AT416" i="1"/>
  <c r="AR415" i="1" s="1"/>
  <c r="AX416" i="1"/>
  <c r="AZ416" i="1"/>
  <c r="F80" i="4"/>
  <c r="BM462" i="1"/>
  <c r="AH13" i="1"/>
  <c r="V112" i="51" s="1"/>
  <c r="Z113" i="51" s="1"/>
  <c r="AH20" i="1"/>
  <c r="AH22" i="1" s="1"/>
  <c r="F72" i="1"/>
  <c r="E36" i="8"/>
  <c r="L175" i="1"/>
  <c r="N159" i="1"/>
  <c r="E97" i="1"/>
  <c r="M71" i="1"/>
  <c r="E154" i="1"/>
  <c r="E167" i="1" s="1"/>
  <c r="E146" i="1"/>
  <c r="E157" i="1" s="1"/>
  <c r="E89" i="1"/>
  <c r="E148" i="1"/>
  <c r="H168" i="1" s="1"/>
  <c r="N145" i="1"/>
  <c r="N156" i="1" s="1"/>
  <c r="N147" i="1"/>
  <c r="N158" i="1" s="1"/>
  <c r="M148" i="1"/>
  <c r="M159" i="1" s="1"/>
  <c r="N204" i="1"/>
  <c r="I35" i="1"/>
  <c r="M52" i="1"/>
  <c r="M54" i="1"/>
  <c r="M89" i="1"/>
  <c r="M199" i="1"/>
  <c r="F147" i="1"/>
  <c r="F158" i="1" s="1"/>
  <c r="M55" i="1"/>
  <c r="M56" i="1" s="1"/>
  <c r="H74" i="1"/>
  <c r="E72" i="1"/>
  <c r="E80" i="4"/>
  <c r="M154" i="1"/>
  <c r="M97" i="1"/>
  <c r="M146" i="1"/>
  <c r="M192" i="1"/>
  <c r="N83" i="4"/>
  <c r="N175" i="1" s="1"/>
  <c r="F145" i="1"/>
  <c r="F156" i="1" s="1"/>
  <c r="Q80" i="4"/>
  <c r="J71" i="1"/>
  <c r="Q72" i="1"/>
  <c r="I69" i="1"/>
  <c r="I81" i="4"/>
  <c r="BA14" i="8"/>
  <c r="BA55" i="8" s="1"/>
  <c r="J146" i="1"/>
  <c r="J97" i="1"/>
  <c r="J89" i="1"/>
  <c r="J154" i="1"/>
  <c r="J148" i="1"/>
  <c r="J192" i="1"/>
  <c r="J199" i="1"/>
  <c r="I39" i="1"/>
  <c r="I68" i="1"/>
  <c r="I38" i="1"/>
  <c r="X10" i="8"/>
  <c r="X8" i="8"/>
  <c r="X59" i="8"/>
  <c r="R175" i="1"/>
  <c r="F37" i="8"/>
  <c r="BK17" i="1"/>
  <c r="Q159" i="1"/>
  <c r="E38" i="8"/>
  <c r="Q168" i="1"/>
  <c r="Q147" i="1"/>
  <c r="Q145" i="1"/>
  <c r="Q29" i="5"/>
  <c r="E34" i="8"/>
  <c r="Q167" i="1"/>
  <c r="BJ21" i="1"/>
  <c r="BM17" i="1"/>
  <c r="BP460" i="1"/>
  <c r="BM12" i="1"/>
  <c r="BL21" i="1"/>
  <c r="BN460" i="1"/>
  <c r="BA125" i="4"/>
  <c r="AZ126" i="4"/>
  <c r="AS415" i="1" l="1"/>
  <c r="H175" i="1"/>
  <c r="M157" i="1"/>
  <c r="J157" i="1"/>
  <c r="BB416" i="1"/>
  <c r="BD416" i="1"/>
  <c r="X52" i="8"/>
  <c r="F83" i="4"/>
  <c r="F74" i="1" s="1"/>
  <c r="BN462" i="1"/>
  <c r="BP462" i="1"/>
  <c r="V115" i="51"/>
  <c r="Z116" i="51" s="1"/>
  <c r="AH74" i="4"/>
  <c r="AH77" i="4" s="1"/>
  <c r="AH78" i="4" s="1"/>
  <c r="AH23" i="1"/>
  <c r="H167" i="1"/>
  <c r="L180" i="1"/>
  <c r="E159" i="1"/>
  <c r="M80" i="4"/>
  <c r="E168" i="1"/>
  <c r="E145" i="1"/>
  <c r="E156" i="1" s="1"/>
  <c r="E147" i="1"/>
  <c r="E158" i="1" s="1"/>
  <c r="M72" i="1"/>
  <c r="P168" i="1"/>
  <c r="M168" i="1"/>
  <c r="M145" i="1"/>
  <c r="M156" i="1" s="1"/>
  <c r="M198" i="1"/>
  <c r="M147" i="1"/>
  <c r="M158" i="1" s="1"/>
  <c r="M204" i="1"/>
  <c r="P167" i="1"/>
  <c r="M167" i="1"/>
  <c r="H180" i="1"/>
  <c r="E83" i="4"/>
  <c r="F84" i="4" s="1"/>
  <c r="N74" i="1"/>
  <c r="Q83" i="4"/>
  <c r="Q74" i="1" s="1"/>
  <c r="N180" i="1"/>
  <c r="J167" i="1"/>
  <c r="J80" i="4"/>
  <c r="X11" i="8"/>
  <c r="J72" i="1"/>
  <c r="I71" i="1"/>
  <c r="BD14" i="8"/>
  <c r="BD55" i="8" s="1"/>
  <c r="BB14" i="8"/>
  <c r="BB55" i="8" s="1"/>
  <c r="J168" i="1"/>
  <c r="J159" i="1"/>
  <c r="J147" i="1"/>
  <c r="J158" i="1" s="1"/>
  <c r="J145" i="1"/>
  <c r="J156" i="1" s="1"/>
  <c r="J198" i="1"/>
  <c r="J204" i="1"/>
  <c r="I148" i="1"/>
  <c r="I199" i="1"/>
  <c r="I154" i="1"/>
  <c r="I192" i="1"/>
  <c r="I97" i="1"/>
  <c r="I89" i="1"/>
  <c r="I146" i="1"/>
  <c r="X50" i="8"/>
  <c r="X16" i="8"/>
  <c r="R180" i="1"/>
  <c r="BK21" i="1"/>
  <c r="AT417" i="1"/>
  <c r="Q156" i="1"/>
  <c r="E37" i="8"/>
  <c r="Q158" i="1"/>
  <c r="BQ460" i="1"/>
  <c r="BT460" i="1" s="1"/>
  <c r="BP12" i="1"/>
  <c r="BP17" i="1"/>
  <c r="BN12" i="1"/>
  <c r="BO12" i="1" s="1"/>
  <c r="BN17" i="1"/>
  <c r="BO17" i="1" s="1"/>
  <c r="BM21" i="1"/>
  <c r="BD125" i="4"/>
  <c r="BB125" i="4"/>
  <c r="BA126" i="4"/>
  <c r="BB126" i="4" s="1"/>
  <c r="BB127" i="4" s="1"/>
  <c r="BT17" i="1" l="1"/>
  <c r="BT12" i="1"/>
  <c r="BT462" i="1"/>
  <c r="BU460" i="1"/>
  <c r="BV460" i="1" s="1"/>
  <c r="I157" i="1"/>
  <c r="BH416" i="1"/>
  <c r="BF416" i="1"/>
  <c r="X53" i="8"/>
  <c r="F175" i="1"/>
  <c r="BQ462" i="1"/>
  <c r="V117" i="51"/>
  <c r="M83" i="4"/>
  <c r="M74" i="1" s="1"/>
  <c r="E74" i="1"/>
  <c r="E84" i="4"/>
  <c r="E175" i="1"/>
  <c r="H84" i="4"/>
  <c r="R84" i="4"/>
  <c r="Q175" i="1"/>
  <c r="Q176" i="1" s="1"/>
  <c r="R176" i="1" s="1"/>
  <c r="Q84" i="4"/>
  <c r="I80" i="4"/>
  <c r="J83" i="4"/>
  <c r="I72" i="1"/>
  <c r="BE14" i="8"/>
  <c r="BE55" i="8" s="1"/>
  <c r="I145" i="1"/>
  <c r="I156" i="1" s="1"/>
  <c r="I147" i="1"/>
  <c r="I158" i="1" s="1"/>
  <c r="I198" i="1"/>
  <c r="I204" i="1"/>
  <c r="L167" i="1"/>
  <c r="I167" i="1"/>
  <c r="I159" i="1"/>
  <c r="L168" i="1"/>
  <c r="I168" i="1"/>
  <c r="X42" i="8"/>
  <c r="X58" i="8"/>
  <c r="BQ17" i="1"/>
  <c r="BR460" i="1"/>
  <c r="BP21" i="1"/>
  <c r="BN21" i="1"/>
  <c r="BQ12" i="1"/>
  <c r="BE125" i="4"/>
  <c r="BD126" i="4"/>
  <c r="BV462" i="1" l="1"/>
  <c r="BV12" i="1"/>
  <c r="BU17" i="1"/>
  <c r="BX460" i="1"/>
  <c r="BU462" i="1"/>
  <c r="BU12" i="1"/>
  <c r="BW12" i="1" s="1"/>
  <c r="BT21" i="1"/>
  <c r="BL416" i="1"/>
  <c r="BJ416" i="1"/>
  <c r="F180" i="1"/>
  <c r="BR462" i="1"/>
  <c r="P84" i="4"/>
  <c r="Q180" i="1"/>
  <c r="M84" i="4"/>
  <c r="M175" i="1"/>
  <c r="N84" i="4"/>
  <c r="E176" i="1"/>
  <c r="E180" i="1"/>
  <c r="H176" i="1"/>
  <c r="J74" i="1"/>
  <c r="J175" i="1"/>
  <c r="I83" i="4"/>
  <c r="BF14" i="8"/>
  <c r="BF55" i="8" s="1"/>
  <c r="AX417" i="1"/>
  <c r="BO21" i="1"/>
  <c r="BR17" i="1"/>
  <c r="BR12" i="1"/>
  <c r="BQ21" i="1"/>
  <c r="BH125" i="4"/>
  <c r="BF125" i="4"/>
  <c r="BE126" i="4"/>
  <c r="BF126" i="4" s="1"/>
  <c r="BF127" i="4" s="1"/>
  <c r="BV17" i="1" l="1"/>
  <c r="BV21" i="1" s="1"/>
  <c r="BU21" i="1"/>
  <c r="BW21" i="1" s="1"/>
  <c r="BX12" i="1"/>
  <c r="BX462" i="1"/>
  <c r="BY460" i="1"/>
  <c r="BZ460" i="1"/>
  <c r="BX17" i="1"/>
  <c r="BY17" i="1"/>
  <c r="BW17" i="1"/>
  <c r="BP416" i="1"/>
  <c r="BT416" i="1" s="1"/>
  <c r="BN416" i="1"/>
  <c r="M176" i="1"/>
  <c r="M180" i="1"/>
  <c r="P176" i="1"/>
  <c r="H177" i="1"/>
  <c r="H178" i="1"/>
  <c r="F176" i="1"/>
  <c r="F178" i="1" s="1"/>
  <c r="E178" i="1"/>
  <c r="I74" i="1"/>
  <c r="I84" i="4"/>
  <c r="J84" i="4"/>
  <c r="L84" i="4"/>
  <c r="I175" i="1"/>
  <c r="J180" i="1"/>
  <c r="BB417" i="1"/>
  <c r="BS17" i="1"/>
  <c r="BS12" i="1"/>
  <c r="BR21" i="1"/>
  <c r="BI125" i="4"/>
  <c r="BH126" i="4"/>
  <c r="BZ17" i="1" l="1"/>
  <c r="BV416" i="1"/>
  <c r="BX416" i="1"/>
  <c r="BX21" i="1"/>
  <c r="BZ462" i="1"/>
  <c r="BZ12" i="1"/>
  <c r="BZ21" i="1" s="1"/>
  <c r="BY462" i="1"/>
  <c r="BY12" i="1"/>
  <c r="BY21" i="1" s="1"/>
  <c r="BR416" i="1"/>
  <c r="N176" i="1"/>
  <c r="M178" i="1"/>
  <c r="M177" i="1"/>
  <c r="L176" i="1"/>
  <c r="I180" i="1"/>
  <c r="I176" i="1"/>
  <c r="BF417" i="1"/>
  <c r="BJ417" i="1"/>
  <c r="BS21" i="1"/>
  <c r="BL125" i="4"/>
  <c r="BJ125" i="4"/>
  <c r="BI126" i="4"/>
  <c r="BJ126" i="4" s="1"/>
  <c r="BJ127" i="4" s="1"/>
  <c r="BZ416" i="1" l="1"/>
  <c r="BV417" i="1"/>
  <c r="N178" i="1"/>
  <c r="N177" i="1"/>
  <c r="J176" i="1"/>
  <c r="I177" i="1"/>
  <c r="I178" i="1"/>
  <c r="L178" i="1"/>
  <c r="L177" i="1"/>
  <c r="BN417" i="1"/>
  <c r="BM125" i="4"/>
  <c r="BL126" i="4"/>
  <c r="T253" i="4"/>
  <c r="T255" i="4" s="1"/>
  <c r="Q73" i="5"/>
  <c r="P46" i="5"/>
  <c r="P50" i="5"/>
  <c r="P49" i="5"/>
  <c r="BZ417" i="1" l="1"/>
  <c r="J177" i="1"/>
  <c r="J178" i="1"/>
  <c r="BR417" i="1"/>
  <c r="BP125" i="4"/>
  <c r="BN125" i="4"/>
  <c r="BM126" i="4"/>
  <c r="BN126" i="4" s="1"/>
  <c r="BN127" i="4" s="1"/>
  <c r="P19" i="5"/>
  <c r="P15" i="5"/>
  <c r="P79" i="5"/>
  <c r="P51" i="5"/>
  <c r="R50" i="5"/>
  <c r="Q50" i="5" s="1"/>
  <c r="R47" i="5"/>
  <c r="Q47" i="5" s="1"/>
  <c r="R42" i="5"/>
  <c r="R196" i="5" s="1"/>
  <c r="R49" i="5"/>
  <c r="R19" i="5"/>
  <c r="R15" i="5"/>
  <c r="Q102" i="5"/>
  <c r="R79" i="5"/>
  <c r="Q78" i="5"/>
  <c r="Q77" i="5"/>
  <c r="Q75" i="5"/>
  <c r="Q74" i="5"/>
  <c r="Q86" i="5" s="1"/>
  <c r="R86" i="5" s="1"/>
  <c r="Q72" i="5"/>
  <c r="Q71" i="5"/>
  <c r="Q69" i="5"/>
  <c r="Q91" i="5" s="1"/>
  <c r="Q83" i="5" s="1"/>
  <c r="R83" i="5" s="1"/>
  <c r="Q68" i="5"/>
  <c r="Q48" i="5"/>
  <c r="Q46" i="5"/>
  <c r="Q44" i="5"/>
  <c r="Q43" i="5"/>
  <c r="Q41" i="5"/>
  <c r="Q23" i="5"/>
  <c r="Q21" i="5"/>
  <c r="Q18" i="5"/>
  <c r="Q17" i="5"/>
  <c r="Q16" i="5"/>
  <c r="Q14" i="5"/>
  <c r="Q254" i="4"/>
  <c r="Q63" i="4" s="1"/>
  <c r="U254" i="4"/>
  <c r="Y254" i="4"/>
  <c r="AC254" i="4"/>
  <c r="R253" i="4"/>
  <c r="R255" i="4" s="1"/>
  <c r="Q251" i="4"/>
  <c r="Q61" i="4" s="1"/>
  <c r="Q249" i="4"/>
  <c r="Q60" i="4" s="1"/>
  <c r="Q247" i="4"/>
  <c r="Q59" i="4" s="1"/>
  <c r="Q244" i="4"/>
  <c r="Q58" i="4" s="1"/>
  <c r="Q241" i="4"/>
  <c r="Q242" i="4" s="1"/>
  <c r="Q231" i="4"/>
  <c r="Q228" i="4"/>
  <c r="Q225" i="4"/>
  <c r="Q222" i="4"/>
  <c r="Q216" i="4"/>
  <c r="Q213" i="4"/>
  <c r="Q38" i="4" s="1"/>
  <c r="Q210" i="4"/>
  <c r="Q207" i="4"/>
  <c r="Q204" i="4"/>
  <c r="Q201" i="4"/>
  <c r="Q202" i="4" s="1"/>
  <c r="Q198" i="4"/>
  <c r="Q194" i="4"/>
  <c r="Q156" i="4"/>
  <c r="Q165" i="4" s="1"/>
  <c r="Q151" i="4"/>
  <c r="Q136" i="4"/>
  <c r="Q149" i="4" s="1"/>
  <c r="Q133" i="4"/>
  <c r="Q130" i="4"/>
  <c r="Q125" i="4"/>
  <c r="Q17" i="4" s="1"/>
  <c r="Q124" i="4"/>
  <c r="Q121" i="4"/>
  <c r="Q122" i="4" s="1"/>
  <c r="Q115" i="4"/>
  <c r="Q113" i="4"/>
  <c r="Q13" i="4" s="1"/>
  <c r="R63" i="4"/>
  <c r="P63" i="4"/>
  <c r="R61" i="4"/>
  <c r="P61" i="4"/>
  <c r="R60" i="4"/>
  <c r="P60" i="4"/>
  <c r="R59" i="4"/>
  <c r="P59" i="4"/>
  <c r="R58" i="4"/>
  <c r="P58" i="4"/>
  <c r="R57" i="4"/>
  <c r="P57" i="4"/>
  <c r="R56" i="4"/>
  <c r="P56" i="4"/>
  <c r="P85" i="5" s="1"/>
  <c r="R46" i="4"/>
  <c r="P46" i="4"/>
  <c r="R45" i="4"/>
  <c r="P45" i="4"/>
  <c r="R44" i="4"/>
  <c r="P44" i="4"/>
  <c r="R43" i="4"/>
  <c r="P43" i="4"/>
  <c r="R42" i="4"/>
  <c r="P42" i="4"/>
  <c r="R38" i="4"/>
  <c r="P38" i="4"/>
  <c r="R37" i="4"/>
  <c r="P37" i="4"/>
  <c r="R36" i="4"/>
  <c r="P36" i="4"/>
  <c r="R35" i="4"/>
  <c r="P35" i="4"/>
  <c r="R34" i="4"/>
  <c r="P34" i="4"/>
  <c r="R33" i="4"/>
  <c r="P33" i="4"/>
  <c r="R26" i="4"/>
  <c r="P26" i="4"/>
  <c r="R25" i="4"/>
  <c r="P25" i="4"/>
  <c r="R24" i="4"/>
  <c r="P24" i="4"/>
  <c r="R23" i="4"/>
  <c r="P23" i="4"/>
  <c r="R22" i="4"/>
  <c r="P22" i="4"/>
  <c r="R27" i="4"/>
  <c r="P27" i="4"/>
  <c r="R21" i="4"/>
  <c r="P21" i="4"/>
  <c r="R17" i="4"/>
  <c r="P17" i="4"/>
  <c r="R16" i="4"/>
  <c r="P16" i="4"/>
  <c r="R15" i="4"/>
  <c r="P15" i="4"/>
  <c r="R14" i="4"/>
  <c r="P14" i="4"/>
  <c r="R13" i="4"/>
  <c r="P13" i="4"/>
  <c r="AD157" i="4"/>
  <c r="AD164" i="4" s="1"/>
  <c r="AD166" i="4" s="1"/>
  <c r="AC157" i="4"/>
  <c r="AC137" i="4"/>
  <c r="AC145" i="4" s="1"/>
  <c r="AD137" i="4"/>
  <c r="AD145" i="4" s="1"/>
  <c r="AD149" i="4" s="1"/>
  <c r="P61" i="5" l="1"/>
  <c r="P32" i="5"/>
  <c r="P54" i="5"/>
  <c r="P30" i="5"/>
  <c r="P56" i="5"/>
  <c r="P34" i="5"/>
  <c r="P35" i="5"/>
  <c r="P59" i="5"/>
  <c r="P33" i="5"/>
  <c r="R108" i="5"/>
  <c r="R45" i="1"/>
  <c r="P45" i="1"/>
  <c r="P46" i="1" s="1"/>
  <c r="P108" i="5"/>
  <c r="Q71" i="4"/>
  <c r="Q108" i="5"/>
  <c r="P71" i="4"/>
  <c r="P92" i="4"/>
  <c r="R71" i="4"/>
  <c r="R92" i="4"/>
  <c r="P84" i="5"/>
  <c r="P87" i="5" s="1"/>
  <c r="P70" i="4"/>
  <c r="P468" i="1" s="1"/>
  <c r="R70" i="4"/>
  <c r="R468" i="1" s="1"/>
  <c r="Q152" i="4"/>
  <c r="Q154" i="4"/>
  <c r="P64" i="5"/>
  <c r="P88" i="5"/>
  <c r="R28" i="4"/>
  <c r="P31" i="5"/>
  <c r="P57" i="5"/>
  <c r="P28" i="4"/>
  <c r="P36" i="5"/>
  <c r="P60" i="5"/>
  <c r="P62" i="5"/>
  <c r="Q45" i="4"/>
  <c r="Q229" i="4"/>
  <c r="Q36" i="4"/>
  <c r="Q35" i="5" s="1"/>
  <c r="Q208" i="4"/>
  <c r="Q37" i="4"/>
  <c r="Q211" i="4"/>
  <c r="Q35" i="4"/>
  <c r="Q34" i="5" s="1"/>
  <c r="Q205" i="4"/>
  <c r="Q43" i="4"/>
  <c r="Q61" i="5" s="1"/>
  <c r="Q223" i="4"/>
  <c r="Q44" i="4"/>
  <c r="Q226" i="4"/>
  <c r="Q33" i="4"/>
  <c r="Q33" i="5" s="1"/>
  <c r="Q199" i="4"/>
  <c r="Q42" i="4"/>
  <c r="Q217" i="4"/>
  <c r="Q219" i="4"/>
  <c r="Q220" i="4" s="1"/>
  <c r="Q34" i="4"/>
  <c r="Q26" i="4"/>
  <c r="Q195" i="4"/>
  <c r="Q25" i="4"/>
  <c r="Q59" i="5" s="1"/>
  <c r="Q14" i="4"/>
  <c r="Q45" i="1" s="1"/>
  <c r="Q116" i="4"/>
  <c r="Q21" i="4"/>
  <c r="Q131" i="4"/>
  <c r="Q27" i="4"/>
  <c r="Q134" i="4"/>
  <c r="AD165" i="4"/>
  <c r="AF157" i="4"/>
  <c r="BQ125" i="4"/>
  <c r="BT125" i="4" s="1"/>
  <c r="BP126" i="4"/>
  <c r="P105" i="5"/>
  <c r="R105" i="5"/>
  <c r="Q24" i="4"/>
  <c r="Q56" i="4"/>
  <c r="Q46" i="4"/>
  <c r="T232" i="4"/>
  <c r="Q232" i="4"/>
  <c r="Q16" i="4"/>
  <c r="Q31" i="5" s="1"/>
  <c r="Q126" i="4"/>
  <c r="Q15" i="4"/>
  <c r="Q30" i="5" s="1"/>
  <c r="Q45" i="5"/>
  <c r="R213" i="5"/>
  <c r="Q57" i="4"/>
  <c r="Q23" i="4"/>
  <c r="Q56" i="5" s="1"/>
  <c r="P22" i="5"/>
  <c r="P24" i="5" s="1"/>
  <c r="P39" i="4"/>
  <c r="Q49" i="5"/>
  <c r="Q15" i="5"/>
  <c r="Q19" i="5"/>
  <c r="P47" i="4"/>
  <c r="P62" i="4"/>
  <c r="P194" i="1" s="1"/>
  <c r="Q253" i="4"/>
  <c r="Q255" i="4" s="1"/>
  <c r="R22" i="5"/>
  <c r="R24" i="5" s="1"/>
  <c r="P18" i="4"/>
  <c r="Q79" i="5"/>
  <c r="R51" i="5"/>
  <c r="Q42" i="5"/>
  <c r="R47" i="4"/>
  <c r="R18" i="4"/>
  <c r="Q22" i="4"/>
  <c r="Q54" i="5" s="1"/>
  <c r="R39" i="4"/>
  <c r="R62" i="4"/>
  <c r="R194" i="1" s="1"/>
  <c r="BU125" i="4" l="1"/>
  <c r="BT17" i="4"/>
  <c r="BT126" i="4"/>
  <c r="Q46" i="1"/>
  <c r="R72" i="4"/>
  <c r="R173" i="1" s="1"/>
  <c r="R174" i="1" s="1"/>
  <c r="R177" i="1" s="1"/>
  <c r="P72" i="4"/>
  <c r="P173" i="1" s="1"/>
  <c r="P178" i="1" s="1"/>
  <c r="P195" i="1"/>
  <c r="P196" i="1" s="1"/>
  <c r="P197" i="1"/>
  <c r="R195" i="1"/>
  <c r="R196" i="1" s="1"/>
  <c r="R197" i="1"/>
  <c r="P64" i="4"/>
  <c r="R64" i="4"/>
  <c r="Q84" i="5"/>
  <c r="R84" i="5" s="1"/>
  <c r="Q70" i="4"/>
  <c r="Q88" i="5"/>
  <c r="R235" i="5"/>
  <c r="AB220" i="5" s="1"/>
  <c r="Q36" i="5"/>
  <c r="P37" i="5"/>
  <c r="P63" i="5"/>
  <c r="Q57" i="5"/>
  <c r="Q28" i="4"/>
  <c r="T85" i="5"/>
  <c r="Q85" i="5"/>
  <c r="Q105" i="5"/>
  <c r="Q32" i="5"/>
  <c r="Q60" i="5"/>
  <c r="Q62" i="5"/>
  <c r="P235" i="5"/>
  <c r="P38" i="5"/>
  <c r="P94" i="5" s="1"/>
  <c r="Q62" i="4"/>
  <c r="Q194" i="1" s="1"/>
  <c r="Q197" i="1" s="1"/>
  <c r="Q47" i="4"/>
  <c r="P30" i="4"/>
  <c r="P202" i="1" s="1"/>
  <c r="Q39" i="4"/>
  <c r="R30" i="4"/>
  <c r="R202" i="1" s="1"/>
  <c r="Q127" i="4"/>
  <c r="T127" i="4"/>
  <c r="BR125" i="4"/>
  <c r="BQ126" i="4"/>
  <c r="BR126" i="4" s="1"/>
  <c r="BR127" i="4" s="1"/>
  <c r="Q18" i="4"/>
  <c r="R216" i="5"/>
  <c r="R219" i="5" s="1"/>
  <c r="R226" i="5"/>
  <c r="R229" i="5" s="1"/>
  <c r="R232" i="5" s="1"/>
  <c r="P96" i="5"/>
  <c r="R49" i="4"/>
  <c r="P49" i="4"/>
  <c r="Q22" i="5"/>
  <c r="Q24" i="5" s="1"/>
  <c r="Q51" i="5"/>
  <c r="R96" i="5"/>
  <c r="AF21" i="4"/>
  <c r="AG57" i="5" s="1"/>
  <c r="AD351" i="1"/>
  <c r="AB351" i="1"/>
  <c r="Z351" i="1"/>
  <c r="X351" i="1"/>
  <c r="V351" i="1"/>
  <c r="T351" i="1"/>
  <c r="Z216" i="1"/>
  <c r="Z221" i="1" s="1"/>
  <c r="X216" i="1"/>
  <c r="V216" i="1"/>
  <c r="T216" i="1"/>
  <c r="AB216" i="1"/>
  <c r="AD216" i="1"/>
  <c r="AH217" i="1" s="1"/>
  <c r="V297" i="1"/>
  <c r="T297" i="1"/>
  <c r="Z297" i="1"/>
  <c r="X297" i="1"/>
  <c r="AB297" i="1"/>
  <c r="AD297" i="1"/>
  <c r="Z378" i="1"/>
  <c r="X378" i="1"/>
  <c r="AD378" i="1"/>
  <c r="AB378" i="1"/>
  <c r="AD347" i="1"/>
  <c r="R26" i="51" s="1"/>
  <c r="R82" i="51" s="1"/>
  <c r="AB347" i="1"/>
  <c r="P26" i="51" s="1"/>
  <c r="P82" i="51" s="1"/>
  <c r="Z347" i="1"/>
  <c r="N26" i="51" s="1"/>
  <c r="N82" i="51" s="1"/>
  <c r="X347" i="1"/>
  <c r="L26" i="51" s="1"/>
  <c r="L82" i="51" s="1"/>
  <c r="Z294" i="1"/>
  <c r="N21" i="51" s="1"/>
  <c r="N67" i="51" s="1"/>
  <c r="X294" i="1"/>
  <c r="L21" i="51" s="1"/>
  <c r="L67" i="51" s="1"/>
  <c r="AD294" i="1"/>
  <c r="R21" i="51" s="1"/>
  <c r="R67" i="51" s="1"/>
  <c r="AB294" i="1"/>
  <c r="P21" i="51" s="1"/>
  <c r="P67" i="51" s="1"/>
  <c r="AD283" i="1"/>
  <c r="AB283" i="1"/>
  <c r="Z283" i="1"/>
  <c r="X212" i="1"/>
  <c r="L11" i="51" s="1"/>
  <c r="L39" i="51" s="1"/>
  <c r="AB212" i="1"/>
  <c r="P11" i="51" s="1"/>
  <c r="P39" i="51" s="1"/>
  <c r="Z242" i="1"/>
  <c r="X242" i="1"/>
  <c r="AB242" i="1"/>
  <c r="AD242" i="1"/>
  <c r="AD212" i="1"/>
  <c r="R11" i="51" s="1"/>
  <c r="R39" i="51" s="1"/>
  <c r="Z212" i="1"/>
  <c r="N11" i="51" s="1"/>
  <c r="N39" i="51" s="1"/>
  <c r="V63" i="4"/>
  <c r="U63" i="4"/>
  <c r="V61" i="4"/>
  <c r="V60" i="4"/>
  <c r="V59" i="4"/>
  <c r="T59" i="4"/>
  <c r="V58" i="4"/>
  <c r="V57" i="4"/>
  <c r="V56" i="4"/>
  <c r="V46" i="4"/>
  <c r="BN69" i="8" s="1"/>
  <c r="T46" i="4"/>
  <c r="V45" i="4"/>
  <c r="T45" i="4"/>
  <c r="V44" i="4"/>
  <c r="T44" i="4"/>
  <c r="V43" i="4"/>
  <c r="T43" i="4"/>
  <c r="BL66" i="8" s="1"/>
  <c r="V42" i="4"/>
  <c r="T42" i="4"/>
  <c r="V38" i="4"/>
  <c r="T38" i="4"/>
  <c r="V37" i="4"/>
  <c r="T37" i="4"/>
  <c r="V36" i="4"/>
  <c r="T36" i="4"/>
  <c r="BL59" i="8" s="1"/>
  <c r="V35" i="4"/>
  <c r="T35" i="4"/>
  <c r="BL58" i="8" s="1"/>
  <c r="V34" i="4"/>
  <c r="T34" i="4"/>
  <c r="V33" i="4"/>
  <c r="T33" i="4"/>
  <c r="BL56" i="8" s="1"/>
  <c r="V26" i="4"/>
  <c r="T26" i="4"/>
  <c r="V25" i="4"/>
  <c r="T25" i="4"/>
  <c r="V24" i="4"/>
  <c r="T24" i="4"/>
  <c r="V23" i="4"/>
  <c r="T23" i="4"/>
  <c r="BL51" i="8" s="1"/>
  <c r="V22" i="4"/>
  <c r="T22" i="4"/>
  <c r="BL50" i="8" s="1"/>
  <c r="V27" i="4"/>
  <c r="T27" i="4"/>
  <c r="V21" i="4"/>
  <c r="T21" i="4"/>
  <c r="V17" i="4"/>
  <c r="T17" i="4"/>
  <c r="V16" i="4"/>
  <c r="T16" i="4"/>
  <c r="V15" i="4"/>
  <c r="T15" i="4"/>
  <c r="BL45" i="8" s="1"/>
  <c r="V14" i="4"/>
  <c r="T14" i="4"/>
  <c r="BL44" i="8" s="1"/>
  <c r="V13" i="4"/>
  <c r="T13" i="4"/>
  <c r="Z63" i="4"/>
  <c r="Y63" i="4"/>
  <c r="X63" i="4"/>
  <c r="Z61" i="4"/>
  <c r="X61" i="4"/>
  <c r="Z60" i="4"/>
  <c r="X60" i="4"/>
  <c r="Z59" i="4"/>
  <c r="X59" i="4"/>
  <c r="Z58" i="4"/>
  <c r="X58" i="4"/>
  <c r="Z57" i="4"/>
  <c r="Z56" i="4"/>
  <c r="X56" i="4"/>
  <c r="Z46" i="4"/>
  <c r="BR69" i="8" s="1"/>
  <c r="X46" i="4"/>
  <c r="BP69" i="8" s="1"/>
  <c r="Z45" i="4"/>
  <c r="X45" i="4"/>
  <c r="Z44" i="4"/>
  <c r="X44" i="4"/>
  <c r="Z43" i="4"/>
  <c r="X43" i="4"/>
  <c r="Z42" i="4"/>
  <c r="X42" i="4"/>
  <c r="Z38" i="4"/>
  <c r="X38" i="4"/>
  <c r="Z37" i="4"/>
  <c r="X37" i="4"/>
  <c r="Z36" i="4"/>
  <c r="X36" i="4"/>
  <c r="Z35" i="4"/>
  <c r="X35" i="4"/>
  <c r="Z34" i="4"/>
  <c r="X34" i="4"/>
  <c r="Z33" i="4"/>
  <c r="X33" i="4"/>
  <c r="Z26" i="4"/>
  <c r="X26" i="4"/>
  <c r="Z25" i="4"/>
  <c r="X25" i="4"/>
  <c r="Z24" i="4"/>
  <c r="X24" i="4"/>
  <c r="Z23" i="4"/>
  <c r="X23" i="4"/>
  <c r="Z22" i="4"/>
  <c r="X22" i="4"/>
  <c r="Z27" i="4"/>
  <c r="X27" i="4"/>
  <c r="Z21" i="4"/>
  <c r="X21" i="4"/>
  <c r="Z17" i="4"/>
  <c r="X17" i="4"/>
  <c r="Z16" i="4"/>
  <c r="X16" i="4"/>
  <c r="Z15" i="4"/>
  <c r="X15" i="4"/>
  <c r="Z14" i="4"/>
  <c r="X14" i="4"/>
  <c r="Z13" i="4"/>
  <c r="X13" i="4"/>
  <c r="AC63" i="4"/>
  <c r="AB63" i="4"/>
  <c r="AB61" i="4"/>
  <c r="AB60" i="4"/>
  <c r="AB59" i="4"/>
  <c r="AB58" i="4"/>
  <c r="AB57" i="4"/>
  <c r="AB56" i="4"/>
  <c r="AB46" i="4"/>
  <c r="AB45" i="4"/>
  <c r="AB44" i="4"/>
  <c r="AB43" i="4"/>
  <c r="AB42" i="4"/>
  <c r="AB38" i="4"/>
  <c r="AB37" i="4"/>
  <c r="AB36" i="4"/>
  <c r="AB35" i="4"/>
  <c r="AB34" i="4"/>
  <c r="AB33" i="4"/>
  <c r="AB26" i="4"/>
  <c r="AB25" i="4"/>
  <c r="AB24" i="4"/>
  <c r="AB23" i="4"/>
  <c r="AB22" i="4"/>
  <c r="AB27" i="4"/>
  <c r="AB21" i="4"/>
  <c r="AB17" i="4"/>
  <c r="AB16" i="4"/>
  <c r="AB15" i="4"/>
  <c r="AB14" i="4"/>
  <c r="AB13" i="4"/>
  <c r="AD63" i="4"/>
  <c r="AD61" i="4"/>
  <c r="AD60" i="4"/>
  <c r="AD59" i="4"/>
  <c r="AD58" i="4"/>
  <c r="AD57" i="4"/>
  <c r="AD56" i="4"/>
  <c r="AD46" i="4"/>
  <c r="AD45" i="4"/>
  <c r="AD44" i="4"/>
  <c r="AD43" i="4"/>
  <c r="AD42" i="4"/>
  <c r="AD38" i="4"/>
  <c r="AD37" i="4"/>
  <c r="AD36" i="4"/>
  <c r="AD35" i="4"/>
  <c r="AD34" i="4"/>
  <c r="AD33" i="4"/>
  <c r="AD26" i="4"/>
  <c r="AD25" i="4"/>
  <c r="AD24" i="4"/>
  <c r="AD23" i="4"/>
  <c r="AD22" i="4"/>
  <c r="AD27" i="4"/>
  <c r="AD21" i="4"/>
  <c r="BV49" i="8" s="1"/>
  <c r="BX125" i="4" l="1"/>
  <c r="BU17" i="4"/>
  <c r="BU31" i="5" s="1"/>
  <c r="BV125" i="4"/>
  <c r="BV17" i="4" s="1"/>
  <c r="BU126" i="4"/>
  <c r="BV126" i="4" s="1"/>
  <c r="BV127" i="4" s="1"/>
  <c r="BL69" i="8"/>
  <c r="Z108" i="5"/>
  <c r="V108" i="5"/>
  <c r="Z45" i="1"/>
  <c r="V45" i="1"/>
  <c r="T45" i="1"/>
  <c r="R46" i="1"/>
  <c r="AB108" i="5"/>
  <c r="X108" i="5"/>
  <c r="T108" i="5"/>
  <c r="AR214" i="1"/>
  <c r="AV214" i="1" s="1"/>
  <c r="AH298" i="1"/>
  <c r="AH352" i="1"/>
  <c r="R105" i="4"/>
  <c r="V356" i="1"/>
  <c r="X356" i="1"/>
  <c r="T302" i="1"/>
  <c r="T356" i="1"/>
  <c r="Z356" i="1"/>
  <c r="Q72" i="4"/>
  <c r="Q173" i="1" s="1"/>
  <c r="Q174" i="1" s="1"/>
  <c r="Q177" i="1" s="1"/>
  <c r="Q468" i="1"/>
  <c r="J11" i="8"/>
  <c r="J53" i="8" s="1"/>
  <c r="X221" i="1"/>
  <c r="X11" i="1"/>
  <c r="N8" i="8"/>
  <c r="P104" i="4"/>
  <c r="P181" i="1" s="1"/>
  <c r="W233" i="5"/>
  <c r="AF233" i="5"/>
  <c r="P174" i="1"/>
  <c r="P177" i="1" s="1"/>
  <c r="Q199" i="1"/>
  <c r="Q198" i="1"/>
  <c r="Q195" i="1"/>
  <c r="Q196" i="1" s="1"/>
  <c r="P199" i="1"/>
  <c r="P198" i="1"/>
  <c r="P203" i="1"/>
  <c r="R198" i="1"/>
  <c r="R199" i="1"/>
  <c r="R178" i="1"/>
  <c r="AB221" i="1"/>
  <c r="P105" i="4"/>
  <c r="BV52" i="8"/>
  <c r="BL60" i="8"/>
  <c r="BV68" i="8"/>
  <c r="BL49" i="8"/>
  <c r="AD302" i="1"/>
  <c r="BT59" i="8"/>
  <c r="BR49" i="8"/>
  <c r="AB302" i="1"/>
  <c r="BT65" i="8"/>
  <c r="T92" i="4"/>
  <c r="BL43" i="8"/>
  <c r="BL65" i="8"/>
  <c r="X302" i="1"/>
  <c r="BN61" i="8"/>
  <c r="X92" i="4"/>
  <c r="BP43" i="8"/>
  <c r="BT51" i="8"/>
  <c r="BR56" i="8"/>
  <c r="BR65" i="8"/>
  <c r="V92" i="4"/>
  <c r="BN43" i="8"/>
  <c r="BN56" i="8"/>
  <c r="BN65" i="8"/>
  <c r="Z302" i="1"/>
  <c r="BX49" i="8"/>
  <c r="BP65" i="8"/>
  <c r="BV59" i="8"/>
  <c r="BP66" i="8"/>
  <c r="AB356" i="1"/>
  <c r="BP60" i="8"/>
  <c r="BT60" i="8"/>
  <c r="BR60" i="8"/>
  <c r="BT61" i="8"/>
  <c r="BL61" i="8"/>
  <c r="BR61" i="8"/>
  <c r="BV57" i="8"/>
  <c r="BT52" i="8"/>
  <c r="BT69" i="8"/>
  <c r="BR44" i="8"/>
  <c r="BR50" i="8"/>
  <c r="BR57" i="8"/>
  <c r="BR66" i="8"/>
  <c r="BN44" i="8"/>
  <c r="BN50" i="8"/>
  <c r="BN57" i="8"/>
  <c r="BN66" i="8"/>
  <c r="V302" i="1"/>
  <c r="AD356" i="1"/>
  <c r="BP61" i="8"/>
  <c r="BN49" i="8"/>
  <c r="BT50" i="8"/>
  <c r="Z92" i="4"/>
  <c r="BR43" i="8"/>
  <c r="BP44" i="8"/>
  <c r="BL67" i="8"/>
  <c r="AD221" i="1"/>
  <c r="BV58" i="8"/>
  <c r="BP57" i="8"/>
  <c r="BL57" i="8"/>
  <c r="BV60" i="8"/>
  <c r="BP58" i="8"/>
  <c r="BV65" i="8"/>
  <c r="AB92" i="4"/>
  <c r="BT43" i="8"/>
  <c r="BT56" i="8"/>
  <c r="BR45" i="8"/>
  <c r="BR51" i="8"/>
  <c r="BR58" i="8"/>
  <c r="BR67" i="8"/>
  <c r="BN45" i="8"/>
  <c r="BN51" i="8"/>
  <c r="BN58" i="8"/>
  <c r="BN67" i="8"/>
  <c r="BN60" i="8"/>
  <c r="BT49" i="8"/>
  <c r="BP49" i="8"/>
  <c r="BP56" i="8"/>
  <c r="BT67" i="8"/>
  <c r="BT68" i="8"/>
  <c r="BV61" i="8"/>
  <c r="BP45" i="8"/>
  <c r="BV50" i="8"/>
  <c r="BV66" i="8"/>
  <c r="BT44" i="8"/>
  <c r="BT57" i="8"/>
  <c r="BP52" i="8"/>
  <c r="BP59" i="8"/>
  <c r="BP68" i="8"/>
  <c r="BL52" i="8"/>
  <c r="BL68" i="8"/>
  <c r="T221" i="1"/>
  <c r="T11" i="1"/>
  <c r="BV69" i="8"/>
  <c r="BV56" i="8"/>
  <c r="BT66" i="8"/>
  <c r="BP50" i="8"/>
  <c r="BP51" i="8"/>
  <c r="BP67" i="8"/>
  <c r="BV51" i="8"/>
  <c r="BV67" i="8"/>
  <c r="BT45" i="8"/>
  <c r="BT58" i="8"/>
  <c r="BR52" i="8"/>
  <c r="BR59" i="8"/>
  <c r="BR68" i="8"/>
  <c r="BN52" i="8"/>
  <c r="BN59" i="8"/>
  <c r="BN68" i="8"/>
  <c r="V221" i="1"/>
  <c r="AD233" i="5"/>
  <c r="AF220" i="5"/>
  <c r="T233" i="5"/>
  <c r="AC233" i="5"/>
  <c r="Q64" i="4"/>
  <c r="R104" i="4"/>
  <c r="R181" i="1" s="1"/>
  <c r="Z71" i="4"/>
  <c r="Z70" i="4"/>
  <c r="Z468" i="1" s="1"/>
  <c r="V71" i="4"/>
  <c r="V70" i="4"/>
  <c r="V468" i="1" s="1"/>
  <c r="X71" i="4"/>
  <c r="X70" i="4"/>
  <c r="T71" i="4"/>
  <c r="T70" i="4"/>
  <c r="T468" i="1" s="1"/>
  <c r="AC220" i="5"/>
  <c r="X233" i="5"/>
  <c r="Y220" i="5"/>
  <c r="W220" i="5"/>
  <c r="AD220" i="5"/>
  <c r="AA233" i="5"/>
  <c r="S220" i="5"/>
  <c r="V233" i="5"/>
  <c r="Z220" i="5"/>
  <c r="U220" i="5"/>
  <c r="X220" i="5"/>
  <c r="AB233" i="5"/>
  <c r="U233" i="5"/>
  <c r="R220" i="5"/>
  <c r="V220" i="5"/>
  <c r="Z233" i="5"/>
  <c r="S233" i="5"/>
  <c r="T220" i="5"/>
  <c r="AA220" i="5"/>
  <c r="Y233" i="5"/>
  <c r="AE233" i="5"/>
  <c r="AE220" i="5"/>
  <c r="R98" i="5"/>
  <c r="Q64" i="5"/>
  <c r="AR348" i="1"/>
  <c r="Q37" i="5"/>
  <c r="P101" i="5"/>
  <c r="P103" i="5" s="1"/>
  <c r="R233" i="5"/>
  <c r="P51" i="4"/>
  <c r="P93" i="5"/>
  <c r="X310" i="1"/>
  <c r="Z310" i="1"/>
  <c r="V310" i="1"/>
  <c r="T32" i="5"/>
  <c r="T35" i="5"/>
  <c r="AD28" i="4"/>
  <c r="T30" i="5"/>
  <c r="T56" i="5"/>
  <c r="T59" i="5"/>
  <c r="T33" i="5"/>
  <c r="T34" i="5"/>
  <c r="T31" i="5"/>
  <c r="T54" i="5"/>
  <c r="T61" i="5"/>
  <c r="AB71" i="4"/>
  <c r="V363" i="1"/>
  <c r="V361" i="1"/>
  <c r="AD361" i="1"/>
  <c r="AD363" i="1"/>
  <c r="X363" i="1"/>
  <c r="X361" i="1"/>
  <c r="Z361" i="1"/>
  <c r="Z363" i="1"/>
  <c r="T361" i="1"/>
  <c r="T363" i="1"/>
  <c r="AB363" i="1"/>
  <c r="AB361" i="1"/>
  <c r="AD310" i="1"/>
  <c r="Q63" i="5"/>
  <c r="R85" i="5"/>
  <c r="X28" i="4"/>
  <c r="T57" i="5"/>
  <c r="T28" i="4"/>
  <c r="AB28" i="4"/>
  <c r="V28" i="4"/>
  <c r="Z28" i="4"/>
  <c r="Q235" i="5"/>
  <c r="Q38" i="5"/>
  <c r="T36" i="5"/>
  <c r="AD70" i="4"/>
  <c r="AB70" i="4"/>
  <c r="T62" i="5"/>
  <c r="T60" i="5"/>
  <c r="T84" i="5"/>
  <c r="Q49" i="4"/>
  <c r="R51" i="4"/>
  <c r="X105" i="5"/>
  <c r="AB105" i="5"/>
  <c r="Q30" i="4"/>
  <c r="Q202" i="1" s="1"/>
  <c r="Q203" i="1" s="1"/>
  <c r="Q204" i="1" s="1"/>
  <c r="Z105" i="5"/>
  <c r="T105" i="5"/>
  <c r="V105" i="5"/>
  <c r="AD228" i="1"/>
  <c r="X228" i="1"/>
  <c r="X231" i="1" s="1"/>
  <c r="Z228" i="1"/>
  <c r="Z231" i="1" s="1"/>
  <c r="Z11" i="1"/>
  <c r="V11" i="1"/>
  <c r="P98" i="5"/>
  <c r="AB310" i="1"/>
  <c r="AF298" i="1"/>
  <c r="AF352" i="1"/>
  <c r="AB228" i="1"/>
  <c r="AF217" i="1"/>
  <c r="R101" i="5"/>
  <c r="R103" i="5" s="1"/>
  <c r="Q96" i="5"/>
  <c r="X39" i="4"/>
  <c r="V62" i="4"/>
  <c r="V194" i="1" s="1"/>
  <c r="Z47" i="4"/>
  <c r="T47" i="4"/>
  <c r="V39" i="4"/>
  <c r="AB47" i="4"/>
  <c r="AB39" i="4"/>
  <c r="T39" i="4"/>
  <c r="AD62" i="4"/>
  <c r="AD194" i="1" s="1"/>
  <c r="AD195" i="1" s="1"/>
  <c r="AD47" i="4"/>
  <c r="T18" i="4"/>
  <c r="V47" i="4"/>
  <c r="AB18" i="4"/>
  <c r="AB62" i="4"/>
  <c r="AB194" i="1" s="1"/>
  <c r="Z18" i="4"/>
  <c r="Z39" i="4"/>
  <c r="X47" i="4"/>
  <c r="X18" i="4"/>
  <c r="Z62" i="4"/>
  <c r="Z194" i="1" s="1"/>
  <c r="X62" i="4"/>
  <c r="X194" i="1" s="1"/>
  <c r="V18" i="4"/>
  <c r="T62" i="4"/>
  <c r="T194" i="1" s="1"/>
  <c r="AR215" i="1"/>
  <c r="BY125" i="4" l="1"/>
  <c r="BX17" i="4"/>
  <c r="BX31" i="5" s="1"/>
  <c r="BX126" i="4"/>
  <c r="H10" i="8"/>
  <c r="H52" i="8" s="1"/>
  <c r="L11" i="8"/>
  <c r="X238" i="1"/>
  <c r="AH222" i="1"/>
  <c r="V43" i="51" s="1"/>
  <c r="AH357" i="1"/>
  <c r="V86" i="51" s="1"/>
  <c r="N11" i="8"/>
  <c r="N53" i="8" s="1"/>
  <c r="AH303" i="1"/>
  <c r="V71" i="51" s="1"/>
  <c r="H11" i="8"/>
  <c r="H53" i="8" s="1"/>
  <c r="AV348" i="1"/>
  <c r="T366" i="1"/>
  <c r="N16" i="8"/>
  <c r="N42" i="8" s="1"/>
  <c r="X366" i="1"/>
  <c r="V366" i="1"/>
  <c r="L16" i="8"/>
  <c r="Z366" i="1"/>
  <c r="AB366" i="1"/>
  <c r="AD366" i="1"/>
  <c r="L8" i="8"/>
  <c r="Q104" i="4"/>
  <c r="Q181" i="1" s="1"/>
  <c r="Z357" i="1"/>
  <c r="N86" i="51" s="1"/>
  <c r="X357" i="1"/>
  <c r="L86" i="51" s="1"/>
  <c r="AD311" i="1"/>
  <c r="H19" i="8"/>
  <c r="H61" i="8" s="1"/>
  <c r="L19" i="8"/>
  <c r="J19" i="8"/>
  <c r="J61" i="8" s="1"/>
  <c r="N19" i="8"/>
  <c r="V313" i="1"/>
  <c r="H8" i="8"/>
  <c r="T222" i="1"/>
  <c r="J8" i="8"/>
  <c r="J50" i="8" s="1"/>
  <c r="V222" i="1"/>
  <c r="AB229" i="1"/>
  <c r="AB87" i="4"/>
  <c r="AB90" i="4" s="1"/>
  <c r="AB468" i="1"/>
  <c r="AD87" i="4"/>
  <c r="AD90" i="4" s="1"/>
  <c r="AD94" i="4" s="1"/>
  <c r="AD468" i="1"/>
  <c r="AD469" i="1" s="1"/>
  <c r="X87" i="4"/>
  <c r="X90" i="4" s="1"/>
  <c r="X468" i="1"/>
  <c r="AD229" i="1"/>
  <c r="P19" i="8"/>
  <c r="T61" i="8" s="1"/>
  <c r="AB364" i="1"/>
  <c r="AD364" i="1"/>
  <c r="AB313" i="1"/>
  <c r="AB311" i="1"/>
  <c r="J10" i="8"/>
  <c r="X313" i="1"/>
  <c r="Z313" i="1"/>
  <c r="R18" i="8"/>
  <c r="AD313" i="1"/>
  <c r="R11" i="8"/>
  <c r="AD357" i="1"/>
  <c r="R86" i="51" s="1"/>
  <c r="P11" i="8"/>
  <c r="AB357" i="1"/>
  <c r="P86" i="51" s="1"/>
  <c r="AF357" i="1"/>
  <c r="T86" i="51" s="1"/>
  <c r="N10" i="8"/>
  <c r="Z303" i="1"/>
  <c r="N71" i="51" s="1"/>
  <c r="P10" i="8"/>
  <c r="AB303" i="1"/>
  <c r="P71" i="51" s="1"/>
  <c r="AF303" i="1"/>
  <c r="L10" i="8"/>
  <c r="X303" i="1"/>
  <c r="L71" i="51" s="1"/>
  <c r="R10" i="8"/>
  <c r="AD303" i="1"/>
  <c r="R71" i="51" s="1"/>
  <c r="AB231" i="1"/>
  <c r="AD11" i="1"/>
  <c r="AB11" i="1"/>
  <c r="Z222" i="1"/>
  <c r="R8" i="8"/>
  <c r="AD222" i="1"/>
  <c r="R43" i="51" s="1"/>
  <c r="P8" i="8"/>
  <c r="AB222" i="1"/>
  <c r="P43" i="51" s="1"/>
  <c r="AF222" i="1"/>
  <c r="T43" i="51" s="1"/>
  <c r="X222" i="1"/>
  <c r="N18" i="8"/>
  <c r="L18" i="8"/>
  <c r="R19" i="8"/>
  <c r="P18" i="8"/>
  <c r="J18" i="8"/>
  <c r="J60" i="8" s="1"/>
  <c r="Q100" i="5"/>
  <c r="Z197" i="1"/>
  <c r="Z195" i="1"/>
  <c r="BR14" i="8" s="1"/>
  <c r="P52" i="4"/>
  <c r="P53" i="4" s="1"/>
  <c r="P188" i="1"/>
  <c r="P204" i="1"/>
  <c r="R203" i="1"/>
  <c r="R204" i="1" s="1"/>
  <c r="T195" i="1"/>
  <c r="T196" i="1" s="1"/>
  <c r="V197" i="1"/>
  <c r="V195" i="1"/>
  <c r="V196" i="1" s="1"/>
  <c r="R65" i="4"/>
  <c r="R188" i="1"/>
  <c r="T197" i="1"/>
  <c r="X195" i="1"/>
  <c r="BP14" i="8" s="1"/>
  <c r="V33" i="8"/>
  <c r="Q178" i="1"/>
  <c r="BT47" i="8"/>
  <c r="BT46" i="8" s="1"/>
  <c r="BL54" i="8"/>
  <c r="BL53" i="8" s="1"/>
  <c r="BR70" i="8"/>
  <c r="AD231" i="1"/>
  <c r="BP62" i="8"/>
  <c r="BN70" i="8"/>
  <c r="BR62" i="8"/>
  <c r="BL47" i="8"/>
  <c r="BN47" i="8"/>
  <c r="BN46" i="8" s="1"/>
  <c r="BR54" i="8"/>
  <c r="BR53" i="8" s="1"/>
  <c r="BN54" i="8"/>
  <c r="BN53" i="8" s="1"/>
  <c r="BV54" i="8"/>
  <c r="BV53" i="8" s="1"/>
  <c r="BR47" i="8"/>
  <c r="BR46" i="8" s="1"/>
  <c r="BT54" i="8"/>
  <c r="BT53" i="8" s="1"/>
  <c r="BT62" i="8"/>
  <c r="BL70" i="8"/>
  <c r="BV70" i="8"/>
  <c r="BP54" i="8"/>
  <c r="BP53" i="8" s="1"/>
  <c r="BP47" i="8"/>
  <c r="BP46" i="8" s="1"/>
  <c r="BL62" i="8"/>
  <c r="BT70" i="8"/>
  <c r="BP70" i="8"/>
  <c r="BN62" i="8"/>
  <c r="P106" i="5"/>
  <c r="P104" i="5"/>
  <c r="Q105" i="4"/>
  <c r="V72" i="4"/>
  <c r="V87" i="4"/>
  <c r="V90" i="4" s="1"/>
  <c r="Z72" i="4"/>
  <c r="Z87" i="4"/>
  <c r="Z90" i="4" s="1"/>
  <c r="Q94" i="5"/>
  <c r="AD197" i="1"/>
  <c r="T72" i="4"/>
  <c r="X72" i="4"/>
  <c r="AB195" i="1"/>
  <c r="AB372" i="1"/>
  <c r="AB395" i="1" s="1"/>
  <c r="Q101" i="5"/>
  <c r="T372" i="1"/>
  <c r="Z372" i="1"/>
  <c r="X372" i="1"/>
  <c r="V372" i="1"/>
  <c r="P65" i="4"/>
  <c r="AB72" i="4"/>
  <c r="T64" i="4"/>
  <c r="AD372" i="1"/>
  <c r="AD395" i="1" s="1"/>
  <c r="X64" i="4"/>
  <c r="Z64" i="4"/>
  <c r="BR72" i="8" s="1"/>
  <c r="AD64" i="4"/>
  <c r="AB64" i="4"/>
  <c r="V64" i="4"/>
  <c r="BN72" i="8" s="1"/>
  <c r="T63" i="5"/>
  <c r="Q51" i="4"/>
  <c r="R52" i="4"/>
  <c r="R53" i="4" s="1"/>
  <c r="T13" i="1"/>
  <c r="H112" i="51" s="1"/>
  <c r="T118" i="4"/>
  <c r="V13" i="1"/>
  <c r="V118" i="4"/>
  <c r="Z13" i="1"/>
  <c r="Z118" i="4"/>
  <c r="X13" i="1"/>
  <c r="L112" i="51" s="1"/>
  <c r="X118" i="4"/>
  <c r="V30" i="4"/>
  <c r="Z30" i="4"/>
  <c r="T30" i="4"/>
  <c r="AR213" i="1"/>
  <c r="AR119" i="4" s="1"/>
  <c r="X30" i="4"/>
  <c r="AB30" i="4"/>
  <c r="R104" i="5"/>
  <c r="R106" i="5"/>
  <c r="AR350" i="1"/>
  <c r="AR349" i="1"/>
  <c r="X49" i="4"/>
  <c r="Q97" i="5"/>
  <c r="Q98" i="5" s="1"/>
  <c r="Z49" i="4"/>
  <c r="T49" i="4"/>
  <c r="V49" i="4"/>
  <c r="AB49" i="4"/>
  <c r="AZ214" i="1"/>
  <c r="AV215" i="1"/>
  <c r="L53" i="8" l="1"/>
  <c r="L45" i="8"/>
  <c r="BY17" i="4"/>
  <c r="BY31" i="5" s="1"/>
  <c r="BZ31" i="5" s="1"/>
  <c r="BZ125" i="4"/>
  <c r="BZ17" i="4" s="1"/>
  <c r="BY126" i="4"/>
  <c r="BZ126" i="4" s="1"/>
  <c r="BZ127" i="4" s="1"/>
  <c r="N15" i="8"/>
  <c r="N80" i="8" s="1"/>
  <c r="N45" i="8"/>
  <c r="AZ348" i="1"/>
  <c r="R53" i="8"/>
  <c r="T52" i="8"/>
  <c r="R50" i="8"/>
  <c r="P53" i="8"/>
  <c r="AD98" i="4"/>
  <c r="AD131" i="5" s="1"/>
  <c r="AC94" i="4"/>
  <c r="L42" i="8"/>
  <c r="P50" i="8"/>
  <c r="P16" i="8"/>
  <c r="P58" i="8" s="1"/>
  <c r="R16" i="8"/>
  <c r="L15" i="8"/>
  <c r="L80" i="8" s="1"/>
  <c r="J112" i="51"/>
  <c r="L50" i="8"/>
  <c r="N50" i="8"/>
  <c r="J45" i="8"/>
  <c r="H45" i="8"/>
  <c r="AB9" i="8"/>
  <c r="L61" i="8"/>
  <c r="H15" i="8"/>
  <c r="H56" i="8" s="1"/>
  <c r="H50" i="8"/>
  <c r="N61" i="8"/>
  <c r="P61" i="8"/>
  <c r="J15" i="8"/>
  <c r="J80" i="8" s="1"/>
  <c r="J52" i="8"/>
  <c r="Z395" i="1"/>
  <c r="Z394" i="1"/>
  <c r="AB394" i="1"/>
  <c r="T395" i="1"/>
  <c r="T394" i="1"/>
  <c r="AD394" i="1"/>
  <c r="X395" i="1"/>
  <c r="X394" i="1"/>
  <c r="V395" i="1"/>
  <c r="V394" i="1"/>
  <c r="R44" i="8"/>
  <c r="T71" i="51"/>
  <c r="T53" i="8"/>
  <c r="P45" i="8"/>
  <c r="R52" i="8"/>
  <c r="AD118" i="4"/>
  <c r="P52" i="8"/>
  <c r="N52" i="8"/>
  <c r="AB118" i="4"/>
  <c r="AB13" i="1"/>
  <c r="P112" i="51" s="1"/>
  <c r="P113" i="51" s="1"/>
  <c r="P15" i="8"/>
  <c r="L52" i="8"/>
  <c r="R15" i="8"/>
  <c r="AD13" i="1"/>
  <c r="T50" i="8"/>
  <c r="J44" i="8"/>
  <c r="P44" i="8"/>
  <c r="P60" i="8"/>
  <c r="T60" i="8"/>
  <c r="R45" i="8"/>
  <c r="R61" i="8"/>
  <c r="L44" i="8"/>
  <c r="N44" i="8"/>
  <c r="N60" i="8"/>
  <c r="R60" i="8"/>
  <c r="Q103" i="5"/>
  <c r="N112" i="51"/>
  <c r="BN77" i="8"/>
  <c r="BR77" i="8"/>
  <c r="X202" i="1"/>
  <c r="R189" i="1"/>
  <c r="BL16" i="8"/>
  <c r="P189" i="1"/>
  <c r="P191" i="1"/>
  <c r="Q52" i="4"/>
  <c r="Q53" i="4" s="1"/>
  <c r="Q188" i="1"/>
  <c r="T202" i="1"/>
  <c r="BL72" i="8"/>
  <c r="BL77" i="8" s="1"/>
  <c r="BN16" i="8"/>
  <c r="AB202" i="1"/>
  <c r="Z202" i="1"/>
  <c r="V202" i="1"/>
  <c r="BL46" i="8"/>
  <c r="AD102" i="4"/>
  <c r="BV36" i="8" s="1"/>
  <c r="BV72" i="8"/>
  <c r="X102" i="4"/>
  <c r="BP36" i="8" s="1"/>
  <c r="BP72" i="8"/>
  <c r="BP77" i="8" s="1"/>
  <c r="AB102" i="4"/>
  <c r="BT36" i="8" s="1"/>
  <c r="BT72" i="8"/>
  <c r="BT77" i="8" s="1"/>
  <c r="AB103" i="4"/>
  <c r="Z103" i="4"/>
  <c r="X103" i="4"/>
  <c r="AD103" i="4"/>
  <c r="V103" i="4"/>
  <c r="BN35" i="8" s="1"/>
  <c r="V173" i="1"/>
  <c r="V174" i="1" s="1"/>
  <c r="Z173" i="1"/>
  <c r="V102" i="4"/>
  <c r="BN36" i="8" s="1"/>
  <c r="Z102" i="4"/>
  <c r="BR36" i="8" s="1"/>
  <c r="BN14" i="8"/>
  <c r="BL14" i="8"/>
  <c r="AB173" i="1"/>
  <c r="X173" i="1"/>
  <c r="T104" i="4"/>
  <c r="T181" i="1" s="1"/>
  <c r="T105" i="4"/>
  <c r="T173" i="1"/>
  <c r="V105" i="4"/>
  <c r="V104" i="4"/>
  <c r="V181" i="1" s="1"/>
  <c r="AB105" i="4"/>
  <c r="AB104" i="4"/>
  <c r="AB181" i="1" s="1"/>
  <c r="Z105" i="4"/>
  <c r="Z104" i="4"/>
  <c r="Z181" i="1" s="1"/>
  <c r="X105" i="4"/>
  <c r="X104" i="4"/>
  <c r="X181" i="1" s="1"/>
  <c r="Q65" i="4"/>
  <c r="X51" i="4"/>
  <c r="V51" i="4"/>
  <c r="T51" i="4"/>
  <c r="AB51" i="4"/>
  <c r="Z51" i="4"/>
  <c r="AV213" i="1"/>
  <c r="AV119" i="4" s="1"/>
  <c r="AV349" i="1"/>
  <c r="AV350" i="1"/>
  <c r="AR267" i="1"/>
  <c r="AZ215" i="1"/>
  <c r="BD214" i="1"/>
  <c r="B10" i="5"/>
  <c r="B10" i="4"/>
  <c r="AF9" i="8" l="1"/>
  <c r="AF51" i="8" s="1"/>
  <c r="BD348" i="1"/>
  <c r="BV37" i="8"/>
  <c r="R42" i="8"/>
  <c r="R56" i="8"/>
  <c r="P56" i="8"/>
  <c r="AC98" i="4"/>
  <c r="AC131" i="5" s="1"/>
  <c r="P42" i="8"/>
  <c r="T58" i="8"/>
  <c r="R58" i="8"/>
  <c r="BT35" i="8"/>
  <c r="BR35" i="8"/>
  <c r="BV35" i="8"/>
  <c r="BP35" i="8"/>
  <c r="J56" i="8"/>
  <c r="N56" i="8"/>
  <c r="H80" i="8"/>
  <c r="L56" i="8"/>
  <c r="T56" i="8"/>
  <c r="P80" i="8"/>
  <c r="R112" i="51"/>
  <c r="R80" i="8"/>
  <c r="AB17" i="8"/>
  <c r="Q106" i="5"/>
  <c r="Q104" i="5"/>
  <c r="V52" i="4"/>
  <c r="V53" i="4" s="1"/>
  <c r="V188" i="1"/>
  <c r="Q189" i="1"/>
  <c r="Q191" i="1"/>
  <c r="R191" i="1" s="1"/>
  <c r="Z52" i="4"/>
  <c r="Z53" i="4" s="1"/>
  <c r="Z188" i="1"/>
  <c r="T52" i="4"/>
  <c r="T53" i="4" s="1"/>
  <c r="T188" i="1"/>
  <c r="T191" i="1" s="1"/>
  <c r="X65" i="4"/>
  <c r="X188" i="1"/>
  <c r="P190" i="1"/>
  <c r="R190" i="1"/>
  <c r="T203" i="1"/>
  <c r="P192" i="1"/>
  <c r="T174" i="1"/>
  <c r="AB65" i="4"/>
  <c r="AB188" i="1"/>
  <c r="X52" i="4"/>
  <c r="X53" i="4" s="1"/>
  <c r="V65" i="4"/>
  <c r="AR273" i="1"/>
  <c r="AF17" i="8" s="1"/>
  <c r="T65" i="4"/>
  <c r="AB52" i="4"/>
  <c r="AB53" i="4" s="1"/>
  <c r="Z65" i="4"/>
  <c r="AZ213" i="1"/>
  <c r="AZ119" i="4" s="1"/>
  <c r="AZ350" i="1"/>
  <c r="AZ349" i="1"/>
  <c r="AV267" i="1"/>
  <c r="BD215" i="1"/>
  <c r="BH214" i="1"/>
  <c r="AD14" i="4"/>
  <c r="AD87" i="1"/>
  <c r="AB87" i="1"/>
  <c r="Z87" i="1"/>
  <c r="X87" i="1"/>
  <c r="V87" i="1"/>
  <c r="T87" i="1"/>
  <c r="AD377" i="1"/>
  <c r="AB377" i="1"/>
  <c r="Z377" i="1"/>
  <c r="N28" i="51" s="1"/>
  <c r="N92" i="51" s="1"/>
  <c r="X377" i="1"/>
  <c r="L28" i="51" s="1"/>
  <c r="L92" i="51" s="1"/>
  <c r="V377" i="1"/>
  <c r="J28" i="51" s="1"/>
  <c r="J92" i="51" s="1"/>
  <c r="T377" i="1"/>
  <c r="H28" i="51" s="1"/>
  <c r="H92" i="51" s="1"/>
  <c r="T323" i="1"/>
  <c r="H23" i="51" s="1"/>
  <c r="H77" i="51" s="1"/>
  <c r="AD323" i="1"/>
  <c r="R23" i="51" s="1"/>
  <c r="R77" i="51" s="1"/>
  <c r="AB323" i="1"/>
  <c r="P23" i="51" s="1"/>
  <c r="P77" i="51" s="1"/>
  <c r="Z323" i="1"/>
  <c r="N23" i="51" s="1"/>
  <c r="N77" i="51" s="1"/>
  <c r="X323" i="1"/>
  <c r="L23" i="51" s="1"/>
  <c r="L77" i="51" s="1"/>
  <c r="V323" i="1"/>
  <c r="J23" i="51" s="1"/>
  <c r="J77" i="51" s="1"/>
  <c r="T321" i="1"/>
  <c r="AD321" i="1"/>
  <c r="AB321" i="1"/>
  <c r="Z321" i="1"/>
  <c r="X321" i="1"/>
  <c r="V321" i="1"/>
  <c r="AD282" i="1"/>
  <c r="R18" i="51" s="1"/>
  <c r="R62" i="51" s="1"/>
  <c r="AB282" i="1"/>
  <c r="P18" i="51" s="1"/>
  <c r="P62" i="51" s="1"/>
  <c r="Z282" i="1"/>
  <c r="N18" i="51" s="1"/>
  <c r="N62" i="51" s="1"/>
  <c r="X282" i="1"/>
  <c r="L18" i="51" s="1"/>
  <c r="L62" i="51" s="1"/>
  <c r="AD241" i="1"/>
  <c r="R13" i="51" s="1"/>
  <c r="R49" i="51" s="1"/>
  <c r="AB241" i="1"/>
  <c r="P13" i="51" s="1"/>
  <c r="P49" i="51" s="1"/>
  <c r="Z241" i="1"/>
  <c r="N13" i="51" s="1"/>
  <c r="N49" i="51" s="1"/>
  <c r="X241" i="1"/>
  <c r="L13" i="51" s="1"/>
  <c r="L49" i="51" s="1"/>
  <c r="V241" i="1"/>
  <c r="J13" i="51" s="1"/>
  <c r="J49" i="51" s="1"/>
  <c r="T241" i="1"/>
  <c r="H13" i="51" s="1"/>
  <c r="H49" i="51" s="1"/>
  <c r="AD280" i="1"/>
  <c r="AB280" i="1"/>
  <c r="Z280" i="1"/>
  <c r="X280" i="1"/>
  <c r="V280" i="1"/>
  <c r="AD272" i="1"/>
  <c r="AB272" i="1"/>
  <c r="Z272" i="1"/>
  <c r="X272" i="1"/>
  <c r="V272" i="1"/>
  <c r="AD268" i="1"/>
  <c r="R16" i="51" s="1"/>
  <c r="R54" i="51" s="1"/>
  <c r="AB268" i="1"/>
  <c r="P16" i="51" s="1"/>
  <c r="P54" i="51" s="1"/>
  <c r="Z268" i="1"/>
  <c r="N16" i="51" s="1"/>
  <c r="N54" i="51" s="1"/>
  <c r="AD239" i="1"/>
  <c r="AB239" i="1"/>
  <c r="Z239" i="1"/>
  <c r="X239" i="1"/>
  <c r="V239" i="1"/>
  <c r="T239" i="1"/>
  <c r="U281" i="1"/>
  <c r="U51" i="1" s="1"/>
  <c r="U278" i="1"/>
  <c r="U271" i="1"/>
  <c r="U267" i="1"/>
  <c r="U251" i="4"/>
  <c r="U61" i="4" s="1"/>
  <c r="U249" i="4"/>
  <c r="U60" i="4" s="1"/>
  <c r="U247" i="4"/>
  <c r="U59" i="4" s="1"/>
  <c r="U244" i="4"/>
  <c r="U58" i="4" s="1"/>
  <c r="U241" i="4"/>
  <c r="U231" i="4"/>
  <c r="U228" i="4"/>
  <c r="U225" i="4"/>
  <c r="U222" i="4"/>
  <c r="U216" i="4"/>
  <c r="U213" i="4"/>
  <c r="U38" i="4" s="1"/>
  <c r="U210" i="4"/>
  <c r="U207" i="4"/>
  <c r="U204" i="4"/>
  <c r="U201" i="4"/>
  <c r="U198" i="4"/>
  <c r="U194" i="4"/>
  <c r="U191" i="4"/>
  <c r="U156" i="4"/>
  <c r="U165" i="4" s="1"/>
  <c r="U151" i="4"/>
  <c r="U136" i="4"/>
  <c r="U133" i="4"/>
  <c r="U130" i="4"/>
  <c r="U125" i="4"/>
  <c r="U17" i="4" s="1"/>
  <c r="U124" i="4"/>
  <c r="U121" i="4"/>
  <c r="U115" i="4"/>
  <c r="U113" i="4"/>
  <c r="U13" i="4" s="1"/>
  <c r="Y251" i="4"/>
  <c r="Y61" i="4" s="1"/>
  <c r="Y249" i="4"/>
  <c r="Y60" i="4" s="1"/>
  <c r="Y247" i="4"/>
  <c r="Y59" i="4" s="1"/>
  <c r="Y244" i="4"/>
  <c r="Y241" i="4"/>
  <c r="Y231" i="4"/>
  <c r="Y228" i="4"/>
  <c r="Y225" i="4"/>
  <c r="Y222" i="4"/>
  <c r="Y216" i="4"/>
  <c r="Y213" i="4"/>
  <c r="Y38" i="4" s="1"/>
  <c r="Y210" i="4"/>
  <c r="Y207" i="4"/>
  <c r="Y204" i="4"/>
  <c r="Y201" i="4"/>
  <c r="Y198" i="4"/>
  <c r="Y194" i="4"/>
  <c r="Y191" i="4"/>
  <c r="Y156" i="4"/>
  <c r="Y151" i="4"/>
  <c r="Y136" i="4"/>
  <c r="Y133" i="4"/>
  <c r="Y130" i="4"/>
  <c r="Y125" i="4"/>
  <c r="Y17" i="4" s="1"/>
  <c r="Y124" i="4"/>
  <c r="Y121" i="4"/>
  <c r="Y115" i="4"/>
  <c r="Y113" i="4"/>
  <c r="Y13" i="4" s="1"/>
  <c r="AC251" i="4"/>
  <c r="AC247" i="4"/>
  <c r="AC249" i="4"/>
  <c r="AC244" i="4"/>
  <c r="AC241" i="4"/>
  <c r="AC231" i="4"/>
  <c r="AC228" i="4"/>
  <c r="AC225" i="4"/>
  <c r="AC222" i="4"/>
  <c r="AC216" i="4"/>
  <c r="AC213" i="4"/>
  <c r="AC38" i="4" s="1"/>
  <c r="AC210" i="4"/>
  <c r="AC207" i="4"/>
  <c r="AC204" i="4"/>
  <c r="AC201" i="4"/>
  <c r="AC198" i="4"/>
  <c r="AC194" i="4"/>
  <c r="AG195" i="4" s="1"/>
  <c r="AC191" i="4"/>
  <c r="AG192" i="4" s="1"/>
  <c r="AC156" i="4"/>
  <c r="AC24" i="4" s="1"/>
  <c r="AC151" i="4"/>
  <c r="AG152" i="4" s="1"/>
  <c r="AC136" i="4"/>
  <c r="AC133" i="4"/>
  <c r="AG134" i="4" s="1"/>
  <c r="AC130" i="4"/>
  <c r="AG131" i="4" s="1"/>
  <c r="AC125" i="4"/>
  <c r="AC124" i="4"/>
  <c r="AC121" i="4"/>
  <c r="AC115" i="4"/>
  <c r="AC113" i="4"/>
  <c r="AC13" i="4" s="1"/>
  <c r="AF59" i="8" l="1"/>
  <c r="AF43" i="8"/>
  <c r="AJ9" i="8"/>
  <c r="AJ51" i="8" s="1"/>
  <c r="BH348" i="1"/>
  <c r="AC58" i="4"/>
  <c r="AC245" i="4"/>
  <c r="AG245" i="4"/>
  <c r="Y58" i="4"/>
  <c r="Y245" i="4"/>
  <c r="BU37" i="8"/>
  <c r="R113" i="51"/>
  <c r="V113" i="51"/>
  <c r="H33" i="8"/>
  <c r="L33" i="8"/>
  <c r="N33" i="8"/>
  <c r="P33" i="8"/>
  <c r="R33" i="8"/>
  <c r="BM43" i="8"/>
  <c r="U108" i="5"/>
  <c r="BU43" i="8"/>
  <c r="AC108" i="5"/>
  <c r="BQ43" i="8"/>
  <c r="Y108" i="5"/>
  <c r="U52" i="1"/>
  <c r="V51" i="1"/>
  <c r="U55" i="1"/>
  <c r="U282" i="1"/>
  <c r="I18" i="51" s="1"/>
  <c r="I62" i="51" s="1"/>
  <c r="J33" i="8"/>
  <c r="A87" i="1"/>
  <c r="AR271" i="1"/>
  <c r="AB59" i="8"/>
  <c r="AB43" i="8"/>
  <c r="X189" i="1"/>
  <c r="Z189" i="1"/>
  <c r="Q190" i="1"/>
  <c r="R192" i="1"/>
  <c r="T189" i="1"/>
  <c r="Q192" i="1"/>
  <c r="V189" i="1"/>
  <c r="BU61" i="8"/>
  <c r="BU52" i="8"/>
  <c r="BV44" i="8"/>
  <c r="BQ61" i="8"/>
  <c r="BM61" i="8"/>
  <c r="I9" i="8"/>
  <c r="AB189" i="1"/>
  <c r="Y71" i="4"/>
  <c r="U71" i="4"/>
  <c r="U152" i="4"/>
  <c r="AC71" i="4"/>
  <c r="U37" i="4"/>
  <c r="U45" i="4"/>
  <c r="AC37" i="4"/>
  <c r="Y37" i="4"/>
  <c r="AC36" i="4"/>
  <c r="BU59" i="8" s="1"/>
  <c r="U43" i="4"/>
  <c r="U44" i="4"/>
  <c r="Y36" i="4"/>
  <c r="Y45" i="4"/>
  <c r="BQ68" i="8" s="1"/>
  <c r="Y43" i="4"/>
  <c r="Y44" i="4"/>
  <c r="U36" i="4"/>
  <c r="U219" i="4"/>
  <c r="Y33" i="4"/>
  <c r="AC219" i="4"/>
  <c r="U33" i="4"/>
  <c r="Y219" i="4"/>
  <c r="Y152" i="4"/>
  <c r="AC26" i="4"/>
  <c r="AC195" i="4"/>
  <c r="Y26" i="4"/>
  <c r="Y195" i="4"/>
  <c r="U26" i="4"/>
  <c r="U195" i="4"/>
  <c r="AC192" i="4"/>
  <c r="Y25" i="4"/>
  <c r="Y192" i="4"/>
  <c r="U25" i="4"/>
  <c r="AC152" i="4"/>
  <c r="Y21" i="4"/>
  <c r="Y131" i="4"/>
  <c r="AC131" i="4"/>
  <c r="Y27" i="4"/>
  <c r="Y134" i="4"/>
  <c r="U21" i="4"/>
  <c r="U131" i="4"/>
  <c r="AC134" i="4"/>
  <c r="U27" i="4"/>
  <c r="U134" i="4"/>
  <c r="BD213" i="1"/>
  <c r="BD119" i="4" s="1"/>
  <c r="U24" i="4"/>
  <c r="Y24" i="4"/>
  <c r="Y165" i="4"/>
  <c r="AC22" i="4"/>
  <c r="BU50" i="8" s="1"/>
  <c r="AC149" i="4"/>
  <c r="Y22" i="4"/>
  <c r="BQ50" i="8" s="1"/>
  <c r="Y149" i="4"/>
  <c r="U22" i="4"/>
  <c r="U149" i="4"/>
  <c r="AC56" i="4"/>
  <c r="Y56" i="4"/>
  <c r="U56" i="4"/>
  <c r="U46" i="4"/>
  <c r="X232" i="4"/>
  <c r="U232" i="4"/>
  <c r="Y46" i="4"/>
  <c r="BQ69" i="8" s="1"/>
  <c r="Y232" i="4"/>
  <c r="AB232" i="4"/>
  <c r="AC232" i="4"/>
  <c r="AF232" i="4"/>
  <c r="AF132" i="5" s="1"/>
  <c r="X30" i="1"/>
  <c r="Z30" i="1"/>
  <c r="AB30" i="1"/>
  <c r="T30" i="1"/>
  <c r="V30" i="1"/>
  <c r="AD30" i="1"/>
  <c r="AC126" i="4"/>
  <c r="Y16" i="4"/>
  <c r="Y126" i="4"/>
  <c r="U16" i="4"/>
  <c r="U126" i="4"/>
  <c r="X388" i="1"/>
  <c r="X390" i="1" s="1"/>
  <c r="X391" i="1" s="1"/>
  <c r="X387" i="1"/>
  <c r="X385" i="1"/>
  <c r="P28" i="51"/>
  <c r="P92" i="51" s="1"/>
  <c r="Z388" i="1"/>
  <c r="Z390" i="1" s="1"/>
  <c r="AA390" i="1" s="1"/>
  <c r="Z385" i="1"/>
  <c r="R28" i="51"/>
  <c r="R92" i="51" s="1"/>
  <c r="AD388" i="1"/>
  <c r="AD385" i="1"/>
  <c r="AB388" i="1"/>
  <c r="AB390" i="1" s="1"/>
  <c r="AB391" i="1" s="1"/>
  <c r="AB387" i="1"/>
  <c r="AB385" i="1"/>
  <c r="AF333" i="1"/>
  <c r="AF332" i="1"/>
  <c r="AF330" i="1"/>
  <c r="X333" i="1"/>
  <c r="X335" i="1" s="1"/>
  <c r="X336" i="1" s="1"/>
  <c r="X332" i="1"/>
  <c r="Z332" i="1"/>
  <c r="Z333" i="1"/>
  <c r="AV273" i="1"/>
  <c r="AJ17" i="8" s="1"/>
  <c r="AC60" i="4"/>
  <c r="AC57" i="4"/>
  <c r="U57" i="4"/>
  <c r="Y57" i="4"/>
  <c r="AC59" i="4"/>
  <c r="AC61" i="4"/>
  <c r="U23" i="4"/>
  <c r="Y23" i="4"/>
  <c r="AC14" i="4"/>
  <c r="AC45" i="1" s="1"/>
  <c r="U14" i="4"/>
  <c r="Y14" i="4"/>
  <c r="BQ44" i="8" s="1"/>
  <c r="BD349" i="1"/>
  <c r="BD350" i="1"/>
  <c r="AZ267" i="1"/>
  <c r="AC44" i="4"/>
  <c r="U42" i="4"/>
  <c r="AC45" i="4"/>
  <c r="AC42" i="4"/>
  <c r="AC46" i="4"/>
  <c r="AC43" i="4"/>
  <c r="BU66" i="8" s="1"/>
  <c r="Y42" i="4"/>
  <c r="U35" i="4"/>
  <c r="AC34" i="4"/>
  <c r="BU57" i="8" s="1"/>
  <c r="AC35" i="4"/>
  <c r="BU58" i="8" s="1"/>
  <c r="Y34" i="4"/>
  <c r="BQ57" i="8" s="1"/>
  <c r="Y35" i="4"/>
  <c r="U34" i="4"/>
  <c r="AC33" i="4"/>
  <c r="BU56" i="8" s="1"/>
  <c r="AC25" i="4"/>
  <c r="AC23" i="4"/>
  <c r="BU51" i="8" s="1"/>
  <c r="AC27" i="4"/>
  <c r="AC21" i="4"/>
  <c r="AC17" i="4"/>
  <c r="U15" i="4"/>
  <c r="AC15" i="4"/>
  <c r="BU45" i="8" s="1"/>
  <c r="AC16" i="4"/>
  <c r="Y15" i="4"/>
  <c r="BH215" i="1"/>
  <c r="BL214" i="1"/>
  <c r="U280" i="1"/>
  <c r="U272" i="1"/>
  <c r="X253" i="4"/>
  <c r="X255" i="4" s="1"/>
  <c r="X245" i="4"/>
  <c r="AB253" i="4"/>
  <c r="AB255" i="4" s="1"/>
  <c r="AB245" i="4"/>
  <c r="Z253" i="4"/>
  <c r="AD253" i="4"/>
  <c r="AF44" i="4"/>
  <c r="AF42" i="4"/>
  <c r="T45" i="5"/>
  <c r="V79" i="5"/>
  <c r="V51" i="5"/>
  <c r="U102" i="5"/>
  <c r="T79" i="5"/>
  <c r="U78" i="5"/>
  <c r="U77" i="5"/>
  <c r="U75" i="5"/>
  <c r="U74" i="5"/>
  <c r="U72" i="5"/>
  <c r="U71" i="5"/>
  <c r="U69" i="5"/>
  <c r="U68" i="5"/>
  <c r="U50" i="5"/>
  <c r="U49" i="5"/>
  <c r="U48" i="5"/>
  <c r="U47" i="5"/>
  <c r="U46" i="5"/>
  <c r="U44" i="5"/>
  <c r="U43" i="5"/>
  <c r="U42" i="5"/>
  <c r="U41" i="5"/>
  <c r="U23" i="5"/>
  <c r="T22" i="5"/>
  <c r="U21" i="5"/>
  <c r="U19" i="5"/>
  <c r="U18" i="5"/>
  <c r="U17" i="5"/>
  <c r="U16" i="5"/>
  <c r="U15" i="5"/>
  <c r="U14" i="5"/>
  <c r="Y75" i="5"/>
  <c r="Y102" i="5"/>
  <c r="Y78" i="5"/>
  <c r="Y77" i="5"/>
  <c r="Y74" i="5"/>
  <c r="Y72" i="5"/>
  <c r="Y71" i="5"/>
  <c r="Y69" i="5"/>
  <c r="Y68" i="5"/>
  <c r="Y50" i="5"/>
  <c r="Y49" i="5"/>
  <c r="Y48" i="5"/>
  <c r="Y47" i="5"/>
  <c r="Y46" i="5"/>
  <c r="Y45" i="5"/>
  <c r="Y44" i="5"/>
  <c r="Y43" i="5"/>
  <c r="Y42" i="5"/>
  <c r="Y41" i="5"/>
  <c r="Y23" i="5"/>
  <c r="Y21" i="5"/>
  <c r="Y19" i="5"/>
  <c r="Y18" i="5"/>
  <c r="Y17" i="5"/>
  <c r="Y16" i="5"/>
  <c r="Y15" i="5"/>
  <c r="Y14" i="5"/>
  <c r="AC78" i="5"/>
  <c r="AC77" i="5"/>
  <c r="AC74" i="5"/>
  <c r="AC73" i="5"/>
  <c r="AC72" i="5"/>
  <c r="AC71" i="5"/>
  <c r="AC69" i="5"/>
  <c r="AC68" i="5"/>
  <c r="AC67" i="5"/>
  <c r="AC50" i="5"/>
  <c r="AC49" i="5"/>
  <c r="AC48" i="5"/>
  <c r="AC47" i="5"/>
  <c r="AC46" i="5"/>
  <c r="AC45" i="5"/>
  <c r="AC44" i="5"/>
  <c r="AC43" i="5"/>
  <c r="AC42" i="5"/>
  <c r="AC41" i="5"/>
  <c r="AC23" i="5"/>
  <c r="AC21" i="5"/>
  <c r="AC19" i="5"/>
  <c r="AC18" i="5"/>
  <c r="AC17" i="5"/>
  <c r="AC16" i="5"/>
  <c r="AC15" i="5"/>
  <c r="AC14" i="5"/>
  <c r="AN9" i="8" l="1"/>
  <c r="AN51" i="8" s="1"/>
  <c r="AJ43" i="8"/>
  <c r="AJ59" i="8"/>
  <c r="BL348" i="1"/>
  <c r="BM69" i="8"/>
  <c r="U45" i="1"/>
  <c r="X45" i="1"/>
  <c r="AF45" i="1"/>
  <c r="AB45" i="1"/>
  <c r="AB46" i="1" s="1"/>
  <c r="Y45" i="1"/>
  <c r="AR272" i="1"/>
  <c r="AF335" i="1"/>
  <c r="AG333" i="1"/>
  <c r="V55" i="1"/>
  <c r="V52" i="1"/>
  <c r="AV271" i="1"/>
  <c r="AV272" i="1" s="1"/>
  <c r="V190" i="1"/>
  <c r="BN13" i="8"/>
  <c r="BR13" i="8"/>
  <c r="T190" i="1"/>
  <c r="BL13" i="8"/>
  <c r="BP13" i="8"/>
  <c r="J27" i="8"/>
  <c r="N27" i="8"/>
  <c r="H27" i="8"/>
  <c r="L27" i="8"/>
  <c r="BQ59" i="8"/>
  <c r="BU69" i="8"/>
  <c r="BQ49" i="8"/>
  <c r="BM66" i="8"/>
  <c r="BU65" i="8"/>
  <c r="BM44" i="8"/>
  <c r="BU68" i="8"/>
  <c r="BU44" i="8"/>
  <c r="BQ52" i="8"/>
  <c r="BM56" i="8"/>
  <c r="BQ60" i="8"/>
  <c r="BX65" i="8"/>
  <c r="BM65" i="8"/>
  <c r="BQ51" i="8"/>
  <c r="BM52" i="8"/>
  <c r="BU60" i="8"/>
  <c r="BQ58" i="8"/>
  <c r="BM51" i="8"/>
  <c r="BM49" i="8"/>
  <c r="BQ45" i="8"/>
  <c r="BX67" i="8"/>
  <c r="BM68" i="8"/>
  <c r="BM60" i="8"/>
  <c r="BM59" i="8"/>
  <c r="BQ67" i="8"/>
  <c r="BM57" i="8"/>
  <c r="BU67" i="8"/>
  <c r="BQ56" i="8"/>
  <c r="BM50" i="8"/>
  <c r="BQ66" i="8"/>
  <c r="BM45" i="8"/>
  <c r="BM58" i="8"/>
  <c r="BQ65" i="8"/>
  <c r="BU49" i="8"/>
  <c r="BM67" i="8"/>
  <c r="U70" i="4"/>
  <c r="Y70" i="4"/>
  <c r="R27" i="8"/>
  <c r="P27" i="8"/>
  <c r="Y86" i="5"/>
  <c r="Z86" i="5" s="1"/>
  <c r="T24" i="5"/>
  <c r="AC59" i="5"/>
  <c r="Y36" i="5"/>
  <c r="Y54" i="5"/>
  <c r="Y62" i="5"/>
  <c r="AC35" i="5"/>
  <c r="AC33" i="5"/>
  <c r="AC34" i="5"/>
  <c r="AC61" i="5"/>
  <c r="AC238" i="4"/>
  <c r="AE238" i="4" s="1"/>
  <c r="Y178" i="5"/>
  <c r="U178" i="5"/>
  <c r="AC30" i="5"/>
  <c r="AC36" i="5"/>
  <c r="Y32" i="5"/>
  <c r="AC54" i="5"/>
  <c r="AC178" i="5"/>
  <c r="AC86" i="5"/>
  <c r="AD86" i="5" s="1"/>
  <c r="U86" i="5"/>
  <c r="V86" i="5" s="1"/>
  <c r="T88" i="5"/>
  <c r="U45" i="5"/>
  <c r="AC56" i="5"/>
  <c r="AZ273" i="1"/>
  <c r="T90" i="5"/>
  <c r="T91" i="5" s="1"/>
  <c r="T83" i="5" s="1"/>
  <c r="AC85" i="5"/>
  <c r="AB90" i="5"/>
  <c r="AD90" i="5"/>
  <c r="AD91" i="5" s="1"/>
  <c r="Z90" i="5"/>
  <c r="Z91" i="5" s="1"/>
  <c r="V90" i="5"/>
  <c r="V91" i="5" s="1"/>
  <c r="X90" i="5"/>
  <c r="Y28" i="4"/>
  <c r="U59" i="5"/>
  <c r="X59" i="5"/>
  <c r="U28" i="4"/>
  <c r="Y59" i="5"/>
  <c r="AB59" i="5"/>
  <c r="AC57" i="5"/>
  <c r="AC28" i="4"/>
  <c r="AC84" i="5"/>
  <c r="AC70" i="4"/>
  <c r="AR254" i="4"/>
  <c r="Y60" i="5"/>
  <c r="AB35" i="5"/>
  <c r="Y35" i="5"/>
  <c r="U56" i="5"/>
  <c r="X56" i="5"/>
  <c r="U85" i="5"/>
  <c r="V85" i="5" s="1"/>
  <c r="X85" i="5"/>
  <c r="X60" i="5"/>
  <c r="U60" i="5"/>
  <c r="U61" i="5"/>
  <c r="X61" i="5"/>
  <c r="AB85" i="5"/>
  <c r="Y85" i="5"/>
  <c r="AB61" i="5"/>
  <c r="Y61" i="5"/>
  <c r="AB57" i="5"/>
  <c r="Y57" i="5"/>
  <c r="U31" i="5"/>
  <c r="X31" i="5"/>
  <c r="U57" i="5"/>
  <c r="X57" i="5"/>
  <c r="U33" i="5"/>
  <c r="X33" i="5"/>
  <c r="U34" i="5"/>
  <c r="X34" i="5"/>
  <c r="U105" i="5"/>
  <c r="U32" i="5"/>
  <c r="X32" i="5"/>
  <c r="X84" i="5"/>
  <c r="U84" i="5"/>
  <c r="V84" i="5" s="1"/>
  <c r="U30" i="5"/>
  <c r="X30" i="5"/>
  <c r="AB31" i="5"/>
  <c r="Y31" i="5"/>
  <c r="AB33" i="5"/>
  <c r="Y33" i="5"/>
  <c r="X62" i="5"/>
  <c r="U62" i="5"/>
  <c r="AB30" i="5"/>
  <c r="Y30" i="5"/>
  <c r="AB56" i="5"/>
  <c r="Y56" i="5"/>
  <c r="U54" i="5"/>
  <c r="X54" i="5"/>
  <c r="AB34" i="5"/>
  <c r="Y34" i="5"/>
  <c r="U36" i="5"/>
  <c r="X36" i="5"/>
  <c r="AB84" i="5"/>
  <c r="Y84" i="5"/>
  <c r="U35" i="5"/>
  <c r="X35" i="5"/>
  <c r="AB36" i="5"/>
  <c r="AB60" i="5"/>
  <c r="AB62" i="5"/>
  <c r="AC60" i="5"/>
  <c r="Y62" i="4"/>
  <c r="Y194" i="1" s="1"/>
  <c r="U47" i="4"/>
  <c r="U62" i="4"/>
  <c r="U194" i="1" s="1"/>
  <c r="AC62" i="5"/>
  <c r="Y127" i="4"/>
  <c r="AB127" i="4"/>
  <c r="AB54" i="5"/>
  <c r="AC31" i="5"/>
  <c r="AF31" i="5"/>
  <c r="AH31" i="5" s="1"/>
  <c r="Y105" i="5"/>
  <c r="AB32" i="5"/>
  <c r="AC32" i="5"/>
  <c r="AF32" i="5"/>
  <c r="U127" i="4"/>
  <c r="X127" i="4"/>
  <c r="AC127" i="4"/>
  <c r="AF127" i="4"/>
  <c r="BH213" i="1"/>
  <c r="BH119" i="4" s="1"/>
  <c r="AF30" i="5"/>
  <c r="AH30" i="5" s="1"/>
  <c r="AF57" i="5"/>
  <c r="AH57" i="5" s="1"/>
  <c r="AF84" i="5"/>
  <c r="AH84" i="5" s="1"/>
  <c r="AC105" i="5"/>
  <c r="Y47" i="4"/>
  <c r="Y390" i="1"/>
  <c r="Z391" i="1"/>
  <c r="AC388" i="1"/>
  <c r="AD390" i="1"/>
  <c r="AE390" i="1" s="1"/>
  <c r="Y388" i="1"/>
  <c r="AF388" i="1"/>
  <c r="AF387" i="1"/>
  <c r="AF385" i="1"/>
  <c r="Z335" i="1"/>
  <c r="AA335" i="1" s="1"/>
  <c r="Y333" i="1"/>
  <c r="AB336" i="1"/>
  <c r="AC62" i="4"/>
  <c r="AC194" i="1" s="1"/>
  <c r="Y18" i="4"/>
  <c r="U18" i="4"/>
  <c r="BH350" i="1"/>
  <c r="BH349" i="1"/>
  <c r="T51" i="5"/>
  <c r="BD267" i="1"/>
  <c r="U39" i="4"/>
  <c r="Y79" i="5"/>
  <c r="AC47" i="4"/>
  <c r="AC22" i="5"/>
  <c r="Y39" i="4"/>
  <c r="AC51" i="5"/>
  <c r="AC79" i="5"/>
  <c r="Y22" i="5"/>
  <c r="AC39" i="4"/>
  <c r="Y51" i="5"/>
  <c r="AC18" i="4"/>
  <c r="BU47" i="8" s="1"/>
  <c r="AF25" i="4"/>
  <c r="AF36" i="4"/>
  <c r="AF37" i="4"/>
  <c r="BX60" i="8" s="1"/>
  <c r="BP214" i="1"/>
  <c r="BL215" i="1"/>
  <c r="AD255" i="4"/>
  <c r="AC253" i="4"/>
  <c r="Z255" i="4"/>
  <c r="Y253" i="4"/>
  <c r="Y255" i="4" s="1"/>
  <c r="U22" i="5"/>
  <c r="U79" i="5"/>
  <c r="BT214" i="1" l="1"/>
  <c r="BX214" i="1" s="1"/>
  <c r="AN17" i="8"/>
  <c r="BP348" i="1"/>
  <c r="AF390" i="1"/>
  <c r="AG388" i="1"/>
  <c r="AF26" i="5"/>
  <c r="AH26" i="5" s="1"/>
  <c r="AH32" i="5"/>
  <c r="AF336" i="1"/>
  <c r="AG335" i="1"/>
  <c r="AG336" i="1" s="1"/>
  <c r="AG59" i="5"/>
  <c r="AR9" i="8"/>
  <c r="AR51" i="8" s="1"/>
  <c r="Y72" i="4"/>
  <c r="Y173" i="1" s="1"/>
  <c r="Y468" i="1"/>
  <c r="U72" i="4"/>
  <c r="U173" i="1" s="1"/>
  <c r="U174" i="1" s="1"/>
  <c r="U468" i="1"/>
  <c r="AC72" i="4"/>
  <c r="AC173" i="1" s="1"/>
  <c r="AC468" i="1"/>
  <c r="AC469" i="1" s="1"/>
  <c r="AZ271" i="1"/>
  <c r="AZ272" i="1" s="1"/>
  <c r="U195" i="1"/>
  <c r="U196" i="1" s="1"/>
  <c r="X197" i="1"/>
  <c r="U197" i="1"/>
  <c r="Y197" i="1"/>
  <c r="BL15" i="8"/>
  <c r="BN15" i="8"/>
  <c r="BQ70" i="8"/>
  <c r="BM70" i="8"/>
  <c r="BQ54" i="8"/>
  <c r="BQ53" i="8" s="1"/>
  <c r="BU62" i="8"/>
  <c r="BU70" i="8"/>
  <c r="BQ47" i="8"/>
  <c r="BQ46" i="8" s="1"/>
  <c r="BU54" i="8"/>
  <c r="BU53" i="8" s="1"/>
  <c r="BM47" i="8"/>
  <c r="BM46" i="8" s="1"/>
  <c r="BX59" i="8"/>
  <c r="BM62" i="8"/>
  <c r="BM54" i="8"/>
  <c r="BM53" i="8" s="1"/>
  <c r="BQ62" i="8"/>
  <c r="BU46" i="8"/>
  <c r="AC197" i="1"/>
  <c r="AB197" i="1"/>
  <c r="AD36" i="5"/>
  <c r="AD34" i="5"/>
  <c r="T235" i="5"/>
  <c r="U51" i="5"/>
  <c r="AD61" i="5"/>
  <c r="AD54" i="5"/>
  <c r="T38" i="5"/>
  <c r="AD59" i="5"/>
  <c r="AD56" i="5"/>
  <c r="AD35" i="5"/>
  <c r="AD30" i="5"/>
  <c r="AD33" i="5"/>
  <c r="U24" i="5"/>
  <c r="AC64" i="5"/>
  <c r="Y64" i="5"/>
  <c r="Y88" i="5"/>
  <c r="U88" i="5"/>
  <c r="AD31" i="5"/>
  <c r="Z84" i="5"/>
  <c r="AC88" i="5"/>
  <c r="Y24" i="5"/>
  <c r="AD62" i="5"/>
  <c r="AD85" i="5"/>
  <c r="Z85" i="5"/>
  <c r="Y64" i="4"/>
  <c r="BQ72" i="8" s="1"/>
  <c r="AB91" i="5"/>
  <c r="AB83" i="5" s="1"/>
  <c r="X91" i="5"/>
  <c r="X83" i="5" s="1"/>
  <c r="AC64" i="4"/>
  <c r="BU72" i="8" s="1"/>
  <c r="U64" i="4"/>
  <c r="BM72" i="8" s="1"/>
  <c r="AD57" i="5"/>
  <c r="AD84" i="5"/>
  <c r="AD60" i="5"/>
  <c r="AD32" i="5"/>
  <c r="AF59" i="5"/>
  <c r="U49" i="4"/>
  <c r="T96" i="5"/>
  <c r="T64" i="5"/>
  <c r="AS254" i="4"/>
  <c r="AR63" i="4"/>
  <c r="U63" i="5"/>
  <c r="X63" i="5"/>
  <c r="Y63" i="5"/>
  <c r="AB63" i="5"/>
  <c r="AC63" i="5"/>
  <c r="Y30" i="4"/>
  <c r="Y49" i="4"/>
  <c r="U30" i="4"/>
  <c r="U202" i="1" s="1"/>
  <c r="BL213" i="1"/>
  <c r="BL119" i="4" s="1"/>
  <c r="AC30" i="4"/>
  <c r="AF35" i="5"/>
  <c r="AC390" i="1"/>
  <c r="AD391" i="1"/>
  <c r="Y335" i="1"/>
  <c r="Z336" i="1"/>
  <c r="BD273" i="1"/>
  <c r="BL349" i="1"/>
  <c r="BL350" i="1"/>
  <c r="BH267" i="1"/>
  <c r="Y96" i="5"/>
  <c r="AC49" i="4"/>
  <c r="BP215" i="1"/>
  <c r="BT348" i="1" l="1"/>
  <c r="BT215" i="1"/>
  <c r="AN43" i="8"/>
  <c r="AN59" i="8"/>
  <c r="V46" i="1"/>
  <c r="AH59" i="5"/>
  <c r="AF391" i="1"/>
  <c r="AG390" i="1"/>
  <c r="AG391" i="1" s="1"/>
  <c r="AV9" i="8"/>
  <c r="AV51" i="8" s="1"/>
  <c r="BD271" i="1"/>
  <c r="BD272" i="1" s="1"/>
  <c r="AR17" i="8"/>
  <c r="X203" i="1"/>
  <c r="U203" i="1"/>
  <c r="AC202" i="1"/>
  <c r="Y202" i="1"/>
  <c r="BU77" i="8"/>
  <c r="BQ77" i="8"/>
  <c r="BM77" i="8"/>
  <c r="BM16" i="8"/>
  <c r="BM14" i="8"/>
  <c r="U105" i="4"/>
  <c r="U104" i="4"/>
  <c r="U181" i="1" s="1"/>
  <c r="AC105" i="4"/>
  <c r="AC104" i="4"/>
  <c r="AC181" i="1" s="1"/>
  <c r="Y104" i="4"/>
  <c r="Y181" i="1" s="1"/>
  <c r="Y105" i="4"/>
  <c r="U64" i="5"/>
  <c r="U96" i="5"/>
  <c r="U97" i="5" s="1"/>
  <c r="T94" i="5"/>
  <c r="U235" i="5"/>
  <c r="Y235" i="5"/>
  <c r="U38" i="5"/>
  <c r="Y38" i="5"/>
  <c r="Y94" i="5" s="1"/>
  <c r="AD63" i="5"/>
  <c r="Y101" i="5"/>
  <c r="U51" i="4"/>
  <c r="T101" i="5"/>
  <c r="T98" i="5"/>
  <c r="AT254" i="4"/>
  <c r="AS63" i="4"/>
  <c r="Y51" i="4"/>
  <c r="AC51" i="4"/>
  <c r="BP213" i="1"/>
  <c r="BT213" i="1" s="1"/>
  <c r="BH273" i="1"/>
  <c r="Y97" i="5"/>
  <c r="BP349" i="1"/>
  <c r="BP350" i="1"/>
  <c r="BT350" i="1" s="1"/>
  <c r="BL267" i="1"/>
  <c r="BX350" i="1" l="1"/>
  <c r="BT349" i="1"/>
  <c r="BX348" i="1"/>
  <c r="BX213" i="1"/>
  <c r="BT119" i="4"/>
  <c r="BX215" i="1"/>
  <c r="BP119" i="4"/>
  <c r="Z46" i="1"/>
  <c r="AZ9" i="8"/>
  <c r="AZ51" i="8" s="1"/>
  <c r="AR43" i="8"/>
  <c r="AR59" i="8"/>
  <c r="BH271" i="1"/>
  <c r="BH272" i="1" s="1"/>
  <c r="AV17" i="8"/>
  <c r="AB203" i="1"/>
  <c r="Y203" i="1"/>
  <c r="Z203" i="1" s="1"/>
  <c r="Y65" i="4"/>
  <c r="Y188" i="1"/>
  <c r="U52" i="4"/>
  <c r="U53" i="4" s="1"/>
  <c r="U188" i="1"/>
  <c r="AC203" i="1"/>
  <c r="V203" i="1"/>
  <c r="AC65" i="4"/>
  <c r="AC188" i="1"/>
  <c r="U94" i="5"/>
  <c r="U101" i="5"/>
  <c r="U65" i="4"/>
  <c r="Y98" i="5"/>
  <c r="T103" i="5"/>
  <c r="U98" i="5"/>
  <c r="AV254" i="4"/>
  <c r="AT63" i="4"/>
  <c r="Y52" i="4"/>
  <c r="Y53" i="4" s="1"/>
  <c r="AC52" i="4"/>
  <c r="AC53" i="4" s="1"/>
  <c r="BL273" i="1"/>
  <c r="BP267" i="1"/>
  <c r="BT267" i="1" s="1"/>
  <c r="BX119" i="4" l="1"/>
  <c r="BX267" i="1"/>
  <c r="BT273" i="1"/>
  <c r="BX349" i="1"/>
  <c r="BD9" i="8"/>
  <c r="BD51" i="8" s="1"/>
  <c r="BL271" i="1"/>
  <c r="BL272" i="1" s="1"/>
  <c r="AZ17" i="8"/>
  <c r="AV59" i="8"/>
  <c r="AV43" i="8"/>
  <c r="X191" i="1"/>
  <c r="U189" i="1"/>
  <c r="U191" i="1"/>
  <c r="AB191" i="1"/>
  <c r="Y191" i="1"/>
  <c r="AD203" i="1"/>
  <c r="AC191" i="1"/>
  <c r="T106" i="5"/>
  <c r="U100" i="5"/>
  <c r="T104" i="5"/>
  <c r="BP273" i="1"/>
  <c r="AW254" i="4"/>
  <c r="AV63" i="4"/>
  <c r="AN59" i="5"/>
  <c r="AP59" i="5" s="1"/>
  <c r="BT271" i="1" l="1"/>
  <c r="BT272" i="1" s="1"/>
  <c r="BX273" i="1"/>
  <c r="BP271" i="1"/>
  <c r="BP272" i="1" s="1"/>
  <c r="BD17" i="8"/>
  <c r="AZ43" i="8"/>
  <c r="AZ59" i="8"/>
  <c r="U190" i="1"/>
  <c r="BM13" i="8"/>
  <c r="Z191" i="1"/>
  <c r="V191" i="1"/>
  <c r="AD191" i="1"/>
  <c r="U103" i="5"/>
  <c r="AX254" i="4"/>
  <c r="AW63" i="4"/>
  <c r="AR25" i="4"/>
  <c r="BX271" i="1" l="1"/>
  <c r="BX272" i="1" s="1"/>
  <c r="BD59" i="8"/>
  <c r="BD43" i="8"/>
  <c r="BM15" i="8"/>
  <c r="U104" i="5"/>
  <c r="U106" i="5"/>
  <c r="AR59" i="5"/>
  <c r="AZ254" i="4"/>
  <c r="AX63" i="4"/>
  <c r="AS25" i="4"/>
  <c r="AS59" i="5" l="1"/>
  <c r="AT59" i="5" s="1"/>
  <c r="AR247" i="4"/>
  <c r="AR251" i="4"/>
  <c r="BA254" i="4"/>
  <c r="AZ63" i="4"/>
  <c r="AR249" i="4"/>
  <c r="AT25" i="4"/>
  <c r="AV25" i="4"/>
  <c r="AV59" i="5" l="1"/>
  <c r="AS249" i="4"/>
  <c r="AR60" i="4"/>
  <c r="BB254" i="4"/>
  <c r="BA63" i="4"/>
  <c r="AS251" i="4"/>
  <c r="AR61" i="4"/>
  <c r="AS247" i="4"/>
  <c r="AR59" i="4"/>
  <c r="AW25" i="4"/>
  <c r="AW59" i="5" l="1"/>
  <c r="AX59" i="5" s="1"/>
  <c r="AT247" i="4"/>
  <c r="AS59" i="4"/>
  <c r="AT251" i="4"/>
  <c r="AS61" i="4"/>
  <c r="BD254" i="4"/>
  <c r="BB63" i="4"/>
  <c r="AT249" i="4"/>
  <c r="AS60" i="4"/>
  <c r="AZ25" i="4"/>
  <c r="AX25" i="4"/>
  <c r="AZ59" i="5" l="1"/>
  <c r="AV249" i="4"/>
  <c r="AT60" i="4"/>
  <c r="BE254" i="4"/>
  <c r="BD63" i="4"/>
  <c r="AV251" i="4"/>
  <c r="AT61" i="4"/>
  <c r="AV247" i="4"/>
  <c r="AT59" i="4"/>
  <c r="BA25" i="4"/>
  <c r="X79" i="5"/>
  <c r="AC24" i="5"/>
  <c r="U86" i="1"/>
  <c r="U85" i="1"/>
  <c r="U84" i="1"/>
  <c r="U83" i="1"/>
  <c r="U82" i="1"/>
  <c r="U81" i="1"/>
  <c r="U80" i="1"/>
  <c r="U79" i="1"/>
  <c r="U78" i="1"/>
  <c r="U77" i="1"/>
  <c r="Y86" i="1"/>
  <c r="Y85" i="1"/>
  <c r="Y84" i="1"/>
  <c r="Y83" i="1"/>
  <c r="Y82" i="1"/>
  <c r="Y81" i="1"/>
  <c r="Y80" i="1"/>
  <c r="Y79" i="1"/>
  <c r="Y78" i="1"/>
  <c r="Y77" i="1"/>
  <c r="AC86" i="1"/>
  <c r="AC85" i="1"/>
  <c r="AC84" i="1"/>
  <c r="AC83" i="1"/>
  <c r="AC82" i="1"/>
  <c r="AC81" i="1"/>
  <c r="AC80" i="1"/>
  <c r="AC79" i="1"/>
  <c r="AC78" i="1"/>
  <c r="AC77" i="1"/>
  <c r="AC37" i="1"/>
  <c r="Y37" i="1"/>
  <c r="U37" i="1"/>
  <c r="V16" i="1"/>
  <c r="T16" i="1"/>
  <c r="Z16" i="1"/>
  <c r="X16" i="1"/>
  <c r="AB16" i="1"/>
  <c r="AD16" i="1"/>
  <c r="T404" i="1"/>
  <c r="U400" i="1"/>
  <c r="Y403" i="1"/>
  <c r="Y400" i="1"/>
  <c r="X404" i="1"/>
  <c r="V404" i="1"/>
  <c r="Z404" i="1"/>
  <c r="AC21" i="1"/>
  <c r="M13" i="8" l="1"/>
  <c r="Q30" i="8"/>
  <c r="Q22" i="8"/>
  <c r="Q63" i="8" s="1"/>
  <c r="Z405" i="1"/>
  <c r="N21" i="8"/>
  <c r="V405" i="1"/>
  <c r="J21" i="8"/>
  <c r="X405" i="1"/>
  <c r="L21" i="8"/>
  <c r="T405" i="1"/>
  <c r="H21" i="8"/>
  <c r="I13" i="8"/>
  <c r="I30" i="8"/>
  <c r="M30" i="8"/>
  <c r="X88" i="5"/>
  <c r="BA59" i="5"/>
  <c r="BB59" i="5" s="1"/>
  <c r="AC96" i="5"/>
  <c r="AC183" i="1" s="1"/>
  <c r="AC26" i="5"/>
  <c r="V20" i="1"/>
  <c r="AW247" i="4"/>
  <c r="AV59" i="4"/>
  <c r="AW251" i="4"/>
  <c r="AV61" i="4"/>
  <c r="BF254" i="4"/>
  <c r="BE63" i="4"/>
  <c r="AW249" i="4"/>
  <c r="AV60" i="4"/>
  <c r="X20" i="1"/>
  <c r="AC235" i="5"/>
  <c r="AC38" i="5"/>
  <c r="AC94" i="5" s="1"/>
  <c r="AB18" i="1"/>
  <c r="AB20" i="1"/>
  <c r="Z18" i="1"/>
  <c r="Z20" i="1"/>
  <c r="AD18" i="1"/>
  <c r="AD20" i="1"/>
  <c r="T18" i="1"/>
  <c r="T20" i="1"/>
  <c r="BD25" i="4"/>
  <c r="BB25" i="4"/>
  <c r="Y87" i="1"/>
  <c r="AC87" i="1"/>
  <c r="U87" i="1"/>
  <c r="Y404" i="1"/>
  <c r="U404" i="1"/>
  <c r="X18" i="1"/>
  <c r="V18" i="1"/>
  <c r="I33" i="8" l="1"/>
  <c r="U405" i="1"/>
  <c r="I21" i="8"/>
  <c r="Y405" i="1"/>
  <c r="M21" i="8"/>
  <c r="Q33" i="8"/>
  <c r="M33" i="8"/>
  <c r="BD59" i="5"/>
  <c r="V22" i="1"/>
  <c r="J115" i="51" s="1"/>
  <c r="Z22" i="1"/>
  <c r="AD22" i="1"/>
  <c r="AX249" i="4"/>
  <c r="AW60" i="4"/>
  <c r="BH254" i="4"/>
  <c r="BF63" i="4"/>
  <c r="AX251" i="4"/>
  <c r="AW61" i="4"/>
  <c r="AX247" i="4"/>
  <c r="AW59" i="4"/>
  <c r="T22" i="1"/>
  <c r="X22" i="1"/>
  <c r="AB22" i="1"/>
  <c r="BE25" i="4"/>
  <c r="H23" i="8" l="1"/>
  <c r="H47" i="8" s="1"/>
  <c r="H115" i="51"/>
  <c r="N115" i="51"/>
  <c r="N23" i="8"/>
  <c r="N86" i="8" s="1"/>
  <c r="L115" i="51"/>
  <c r="L23" i="8"/>
  <c r="P115" i="51"/>
  <c r="P117" i="51" s="1"/>
  <c r="P23" i="8"/>
  <c r="P86" i="8" s="1"/>
  <c r="R115" i="51"/>
  <c r="V116" i="51" s="1"/>
  <c r="R23" i="8"/>
  <c r="R86" i="8" s="1"/>
  <c r="T74" i="4"/>
  <c r="Z74" i="4"/>
  <c r="Z77" i="4" s="1"/>
  <c r="AB74" i="4"/>
  <c r="AB77" i="4" s="1"/>
  <c r="AD74" i="4"/>
  <c r="AD77" i="4" s="1"/>
  <c r="V74" i="4"/>
  <c r="V77" i="4" s="1"/>
  <c r="J23" i="8"/>
  <c r="X74" i="4"/>
  <c r="X77" i="4" s="1"/>
  <c r="BE59" i="5"/>
  <c r="BF59" i="5" s="1"/>
  <c r="Z23" i="1"/>
  <c r="AD23" i="1"/>
  <c r="V23" i="1"/>
  <c r="AZ247" i="4"/>
  <c r="AX59" i="4"/>
  <c r="AZ251" i="4"/>
  <c r="AX61" i="4"/>
  <c r="BI254" i="4"/>
  <c r="BH63" i="4"/>
  <c r="AZ249" i="4"/>
  <c r="AX60" i="4"/>
  <c r="AB23" i="1"/>
  <c r="T23" i="1"/>
  <c r="X23" i="1"/>
  <c r="BH25" i="4"/>
  <c r="BF25" i="4"/>
  <c r="Z79" i="5"/>
  <c r="Z51" i="5"/>
  <c r="V22" i="5"/>
  <c r="X51" i="5"/>
  <c r="X22" i="5"/>
  <c r="Z22" i="5"/>
  <c r="AB79" i="5"/>
  <c r="AD79" i="5"/>
  <c r="AB51" i="5"/>
  <c r="AD51" i="5"/>
  <c r="AB22" i="5"/>
  <c r="AD22" i="5"/>
  <c r="AC211" i="1"/>
  <c r="AG212" i="1" s="1"/>
  <c r="U11" i="51" s="1"/>
  <c r="U39" i="51" s="1"/>
  <c r="AC213" i="1"/>
  <c r="AC214" i="1"/>
  <c r="AC215" i="1"/>
  <c r="Y281" i="1"/>
  <c r="Y51" i="1" s="1"/>
  <c r="Y278" i="1"/>
  <c r="X273" i="1"/>
  <c r="Y271" i="1"/>
  <c r="Y267" i="1"/>
  <c r="AC281" i="1"/>
  <c r="AG283" i="1" s="1"/>
  <c r="AC278" i="1"/>
  <c r="AC271" i="1"/>
  <c r="AC267" i="1"/>
  <c r="AB273" i="1"/>
  <c r="X307" i="1"/>
  <c r="U376" i="1"/>
  <c r="U359" i="1"/>
  <c r="U350" i="1"/>
  <c r="U349" i="1"/>
  <c r="U348" i="1"/>
  <c r="Y376" i="1"/>
  <c r="Y359" i="1"/>
  <c r="Y350" i="1"/>
  <c r="Y349" i="1"/>
  <c r="Y348" i="1"/>
  <c r="AC376" i="1"/>
  <c r="AG378" i="1" s="1"/>
  <c r="AC359" i="1"/>
  <c r="AC350" i="1"/>
  <c r="AC349" i="1"/>
  <c r="AC348" i="1"/>
  <c r="U322" i="1"/>
  <c r="U319" i="1"/>
  <c r="U305" i="1"/>
  <c r="U296" i="1"/>
  <c r="U295" i="1"/>
  <c r="U293" i="1"/>
  <c r="Y322" i="1"/>
  <c r="Y319" i="1"/>
  <c r="Y305" i="1"/>
  <c r="Y306" i="1" s="1"/>
  <c r="Z307" i="1"/>
  <c r="Y296" i="1"/>
  <c r="Y295" i="1"/>
  <c r="Y293" i="1"/>
  <c r="AC322" i="1"/>
  <c r="AC319" i="1"/>
  <c r="AC305" i="1"/>
  <c r="AC306" i="1" s="1"/>
  <c r="AC296" i="1"/>
  <c r="AC295" i="1"/>
  <c r="AC293" i="1"/>
  <c r="AB307" i="1"/>
  <c r="V273" i="1"/>
  <c r="Z273" i="1"/>
  <c r="AD273" i="1"/>
  <c r="U240" i="1"/>
  <c r="U237" i="1"/>
  <c r="U224" i="1"/>
  <c r="V226" i="1"/>
  <c r="T226" i="1"/>
  <c r="U215" i="1"/>
  <c r="U214" i="1"/>
  <c r="U213" i="1"/>
  <c r="U211" i="1"/>
  <c r="AC240" i="1"/>
  <c r="AG242" i="1" s="1"/>
  <c r="AC237" i="1"/>
  <c r="AC224" i="1"/>
  <c r="AC225" i="1" s="1"/>
  <c r="Y224" i="1"/>
  <c r="Y240" i="1"/>
  <c r="Y237" i="1"/>
  <c r="Y215" i="1"/>
  <c r="Y214" i="1"/>
  <c r="Y213" i="1"/>
  <c r="Y211" i="1"/>
  <c r="AG268" i="1" l="1"/>
  <c r="U16" i="51" s="1"/>
  <c r="U54" i="51" s="1"/>
  <c r="Y44" i="1"/>
  <c r="AC44" i="1"/>
  <c r="AC46" i="1" s="1"/>
  <c r="U44" i="1"/>
  <c r="J17" i="8"/>
  <c r="J43" i="8" s="1"/>
  <c r="R17" i="8"/>
  <c r="N17" i="8"/>
  <c r="N43" i="8" s="1"/>
  <c r="J47" i="8"/>
  <c r="N47" i="8"/>
  <c r="AG294" i="1"/>
  <c r="U21" i="51" s="1"/>
  <c r="U67" i="51" s="1"/>
  <c r="BT31" i="8"/>
  <c r="BP31" i="8"/>
  <c r="BN31" i="8"/>
  <c r="BR31" i="8"/>
  <c r="BL31" i="8"/>
  <c r="BV31" i="8"/>
  <c r="H66" i="8"/>
  <c r="H64" i="8"/>
  <c r="AC51" i="1"/>
  <c r="U257" i="1"/>
  <c r="Y42" i="1"/>
  <c r="U212" i="1"/>
  <c r="I11" i="51" s="1"/>
  <c r="I39" i="51" s="1"/>
  <c r="U42" i="1"/>
  <c r="AC42" i="1"/>
  <c r="AC375" i="1"/>
  <c r="Y360" i="1"/>
  <c r="Y375" i="1"/>
  <c r="U360" i="1"/>
  <c r="Y246" i="1"/>
  <c r="AC251" i="1" s="1"/>
  <c r="U375" i="1"/>
  <c r="AC257" i="1"/>
  <c r="AC360" i="1"/>
  <c r="M9" i="8"/>
  <c r="M51" i="8" s="1"/>
  <c r="P116" i="51"/>
  <c r="P47" i="8"/>
  <c r="P64" i="8"/>
  <c r="R64" i="8"/>
  <c r="R47" i="8"/>
  <c r="L64" i="8"/>
  <c r="L47" i="8"/>
  <c r="L17" i="8"/>
  <c r="L43" i="8" s="1"/>
  <c r="P17" i="8"/>
  <c r="P81" i="8" s="1"/>
  <c r="J66" i="8"/>
  <c r="N64" i="8"/>
  <c r="J64" i="8"/>
  <c r="T77" i="4"/>
  <c r="Q9" i="8"/>
  <c r="X78" i="4"/>
  <c r="AD78" i="4"/>
  <c r="Z78" i="4"/>
  <c r="V78" i="4"/>
  <c r="AB78" i="4"/>
  <c r="U306" i="1"/>
  <c r="U225" i="1"/>
  <c r="Y225" i="1"/>
  <c r="R66" i="8"/>
  <c r="N66" i="8"/>
  <c r="L66" i="8"/>
  <c r="P66" i="8"/>
  <c r="Y268" i="1"/>
  <c r="M16" i="51" s="1"/>
  <c r="M54" i="51" s="1"/>
  <c r="AB24" i="5"/>
  <c r="AB88" i="5"/>
  <c r="BH59" i="5"/>
  <c r="Z24" i="5"/>
  <c r="AB64" i="5"/>
  <c r="X24" i="5"/>
  <c r="AD24" i="5"/>
  <c r="X64" i="5"/>
  <c r="BA249" i="4"/>
  <c r="AZ60" i="4"/>
  <c r="BJ254" i="4"/>
  <c r="BI63" i="4"/>
  <c r="BA251" i="4"/>
  <c r="AZ61" i="4"/>
  <c r="BA247" i="4"/>
  <c r="AZ59" i="4"/>
  <c r="AC382" i="1"/>
  <c r="AC391" i="1"/>
  <c r="U382" i="1"/>
  <c r="U391" i="1"/>
  <c r="Y382" i="1"/>
  <c r="Y391" i="1"/>
  <c r="AC327" i="1"/>
  <c r="AC336" i="1"/>
  <c r="Y327" i="1"/>
  <c r="Y336" i="1"/>
  <c r="U327" i="1"/>
  <c r="U336" i="1"/>
  <c r="U246" i="1"/>
  <c r="Y249" i="1" s="1"/>
  <c r="AC246" i="1"/>
  <c r="Z96" i="5"/>
  <c r="U119" i="4"/>
  <c r="Y119" i="4"/>
  <c r="AC119" i="4"/>
  <c r="AD274" i="1"/>
  <c r="R17" i="51" s="1"/>
  <c r="R58" i="51" s="1"/>
  <c r="Y283" i="1"/>
  <c r="Z274" i="1"/>
  <c r="N17" i="51" s="1"/>
  <c r="N58" i="51" s="1"/>
  <c r="AC297" i="1"/>
  <c r="AG298" i="1" s="1"/>
  <c r="X96" i="5"/>
  <c r="V24" i="5"/>
  <c r="V96" i="5"/>
  <c r="BI25" i="4"/>
  <c r="AC351" i="1"/>
  <c r="AG352" i="1" s="1"/>
  <c r="U297" i="1"/>
  <c r="AC283" i="1"/>
  <c r="Y212" i="1"/>
  <c r="M11" i="51" s="1"/>
  <c r="M39" i="51" s="1"/>
  <c r="Y216" i="1"/>
  <c r="Y297" i="1"/>
  <c r="U216" i="1"/>
  <c r="U221" i="1" s="1"/>
  <c r="AC216" i="1"/>
  <c r="Y378" i="1"/>
  <c r="AC378" i="1"/>
  <c r="U351" i="1"/>
  <c r="Y347" i="1"/>
  <c r="M26" i="51" s="1"/>
  <c r="M82" i="51" s="1"/>
  <c r="Y351" i="1"/>
  <c r="AD307" i="1"/>
  <c r="AC294" i="1"/>
  <c r="Q21" i="51" s="1"/>
  <c r="Q67" i="51" s="1"/>
  <c r="Y294" i="1"/>
  <c r="M21" i="51" s="1"/>
  <c r="M67" i="51" s="1"/>
  <c r="AC347" i="1"/>
  <c r="Q26" i="51" s="1"/>
  <c r="Q82" i="51" s="1"/>
  <c r="X274" i="1"/>
  <c r="L17" i="51" s="1"/>
  <c r="L58" i="51" s="1"/>
  <c r="X277" i="1"/>
  <c r="X286" i="1" s="1"/>
  <c r="AB274" i="1"/>
  <c r="P17" i="51" s="1"/>
  <c r="P58" i="51" s="1"/>
  <c r="AB277" i="1"/>
  <c r="AB286" i="1" s="1"/>
  <c r="AC212" i="1"/>
  <c r="Q11" i="51" s="1"/>
  <c r="Q39" i="51" s="1"/>
  <c r="Y242" i="1"/>
  <c r="AC242" i="1"/>
  <c r="AC377" i="1"/>
  <c r="Y377" i="1"/>
  <c r="M28" i="51" s="1"/>
  <c r="M92" i="51" s="1"/>
  <c r="U377" i="1"/>
  <c r="I28" i="51" s="1"/>
  <c r="I92" i="51" s="1"/>
  <c r="Y323" i="1"/>
  <c r="M23" i="51" s="1"/>
  <c r="M77" i="51" s="1"/>
  <c r="AD352" i="1"/>
  <c r="AB352" i="1"/>
  <c r="X352" i="1"/>
  <c r="Z352" i="1"/>
  <c r="U321" i="1"/>
  <c r="U323" i="1"/>
  <c r="I23" i="51" s="1"/>
  <c r="I77" i="51" s="1"/>
  <c r="AC323" i="1"/>
  <c r="Q23" i="51" s="1"/>
  <c r="Q77" i="51" s="1"/>
  <c r="Y321" i="1"/>
  <c r="AC321" i="1"/>
  <c r="T310" i="1"/>
  <c r="T307" i="1"/>
  <c r="V307" i="1"/>
  <c r="X318" i="1"/>
  <c r="X339" i="1" s="1"/>
  <c r="X298" i="1"/>
  <c r="Y282" i="1"/>
  <c r="M18" i="51" s="1"/>
  <c r="M62" i="51" s="1"/>
  <c r="AB318" i="1"/>
  <c r="AB339" i="1" s="1"/>
  <c r="AB298" i="1"/>
  <c r="Z298" i="1"/>
  <c r="AC282" i="1"/>
  <c r="Q18" i="51" s="1"/>
  <c r="Q62" i="51" s="1"/>
  <c r="AD298" i="1"/>
  <c r="Y241" i="1"/>
  <c r="M13" i="51" s="1"/>
  <c r="M49" i="51" s="1"/>
  <c r="U241" i="1"/>
  <c r="I13" i="51" s="1"/>
  <c r="I49" i="51" s="1"/>
  <c r="AC241" i="1"/>
  <c r="Q13" i="51" s="1"/>
  <c r="Q49" i="51" s="1"/>
  <c r="AC280" i="1"/>
  <c r="Y280" i="1"/>
  <c r="U273" i="1"/>
  <c r="V274" i="1"/>
  <c r="J17" i="51" s="1"/>
  <c r="J58" i="51" s="1"/>
  <c r="AC268" i="1"/>
  <c r="Q16" i="51" s="1"/>
  <c r="Q54" i="51" s="1"/>
  <c r="AC272" i="1"/>
  <c r="Y272" i="1"/>
  <c r="AB226" i="1"/>
  <c r="AB217" i="1"/>
  <c r="AC16" i="1"/>
  <c r="AD217" i="1"/>
  <c r="AD226" i="1"/>
  <c r="U16" i="1"/>
  <c r="Z226" i="1"/>
  <c r="Z217" i="1"/>
  <c r="X226" i="1"/>
  <c r="X217" i="1"/>
  <c r="Y239" i="1"/>
  <c r="AC239" i="1"/>
  <c r="U239" i="1"/>
  <c r="Y16" i="1"/>
  <c r="AC273" i="1"/>
  <c r="X236" i="1"/>
  <c r="X258" i="1" s="1"/>
  <c r="T228" i="1"/>
  <c r="T231" i="1" s="1"/>
  <c r="V228" i="1"/>
  <c r="V231" i="1" s="1"/>
  <c r="R12" i="51"/>
  <c r="R45" i="51" s="1"/>
  <c r="Y273" i="1"/>
  <c r="Z229" i="1"/>
  <c r="N12" i="51" s="1"/>
  <c r="N45" i="51" s="1"/>
  <c r="R81" i="8" l="1"/>
  <c r="R43" i="8"/>
  <c r="N81" i="8"/>
  <c r="R59" i="8"/>
  <c r="N59" i="8"/>
  <c r="I17" i="8"/>
  <c r="I43" i="8" s="1"/>
  <c r="J16" i="8"/>
  <c r="J81" i="8" s="1"/>
  <c r="H16" i="8"/>
  <c r="H42" i="8" s="1"/>
  <c r="L81" i="8"/>
  <c r="AG251" i="1"/>
  <c r="AG249" i="1"/>
  <c r="AC221" i="1"/>
  <c r="AG217" i="1"/>
  <c r="AG330" i="1"/>
  <c r="AG332" i="1"/>
  <c r="AD51" i="1"/>
  <c r="AC249" i="1"/>
  <c r="BT32" i="8"/>
  <c r="BR32" i="8"/>
  <c r="BP32" i="8"/>
  <c r="BN32" i="8"/>
  <c r="BV32" i="8"/>
  <c r="AC302" i="1"/>
  <c r="Y356" i="1"/>
  <c r="U356" i="1"/>
  <c r="AC356" i="1"/>
  <c r="I8" i="8"/>
  <c r="I50" i="8" s="1"/>
  <c r="U222" i="1"/>
  <c r="H18" i="8"/>
  <c r="H60" i="8" s="1"/>
  <c r="T313" i="1"/>
  <c r="Y221" i="1"/>
  <c r="Y11" i="1"/>
  <c r="P43" i="8"/>
  <c r="P59" i="8"/>
  <c r="T59" i="8"/>
  <c r="T78" i="4"/>
  <c r="Q17" i="8"/>
  <c r="Q43" i="8" s="1"/>
  <c r="M17" i="8"/>
  <c r="U302" i="1"/>
  <c r="U9" i="8"/>
  <c r="Y302" i="1"/>
  <c r="AB235" i="5"/>
  <c r="T318" i="1"/>
  <c r="T339" i="1" s="1"/>
  <c r="AB38" i="5"/>
  <c r="AB94" i="5" s="1"/>
  <c r="U310" i="1"/>
  <c r="Q51" i="8"/>
  <c r="AD96" i="5"/>
  <c r="Y310" i="1"/>
  <c r="Y9" i="8"/>
  <c r="AD235" i="5"/>
  <c r="AB96" i="5"/>
  <c r="AC363" i="1"/>
  <c r="AC310" i="1"/>
  <c r="U11" i="1"/>
  <c r="X235" i="5"/>
  <c r="BI59" i="5"/>
  <c r="BJ59" i="5" s="1"/>
  <c r="Z235" i="5"/>
  <c r="V235" i="5"/>
  <c r="Z98" i="5"/>
  <c r="X38" i="5"/>
  <c r="X94" i="5" s="1"/>
  <c r="AB26" i="5"/>
  <c r="AD26" i="5" s="1"/>
  <c r="AC361" i="1"/>
  <c r="U363" i="1"/>
  <c r="Y363" i="1"/>
  <c r="U361" i="1"/>
  <c r="Y361" i="1"/>
  <c r="BB247" i="4"/>
  <c r="BA59" i="4"/>
  <c r="BL254" i="4"/>
  <c r="BJ63" i="4"/>
  <c r="BB251" i="4"/>
  <c r="BA61" i="4"/>
  <c r="BB249" i="4"/>
  <c r="BA60" i="4"/>
  <c r="X25" i="1"/>
  <c r="U30" i="1"/>
  <c r="AC18" i="1"/>
  <c r="AC30" i="1"/>
  <c r="Y30" i="1"/>
  <c r="Y18" i="1"/>
  <c r="U226" i="1"/>
  <c r="Y228" i="1"/>
  <c r="AC228" i="1"/>
  <c r="AC330" i="1"/>
  <c r="AC332" i="1"/>
  <c r="Y330" i="1"/>
  <c r="Y332" i="1"/>
  <c r="Y387" i="1"/>
  <c r="Y385" i="1"/>
  <c r="Q28" i="51"/>
  <c r="Q92" i="51" s="1"/>
  <c r="Z101" i="5"/>
  <c r="AC307" i="1"/>
  <c r="T236" i="1"/>
  <c r="T258" i="1" s="1"/>
  <c r="V98" i="5"/>
  <c r="V101" i="5"/>
  <c r="X97" i="5"/>
  <c r="X101" i="5"/>
  <c r="BJ25" i="4"/>
  <c r="BL25" i="4"/>
  <c r="Y307" i="1"/>
  <c r="AS215" i="1"/>
  <c r="AS214" i="1"/>
  <c r="U274" i="1"/>
  <c r="I17" i="51" s="1"/>
  <c r="I58" i="51" s="1"/>
  <c r="U277" i="1"/>
  <c r="AC274" i="1"/>
  <c r="Q17" i="51" s="1"/>
  <c r="Q58" i="51" s="1"/>
  <c r="AC277" i="1"/>
  <c r="AC286" i="1" s="1"/>
  <c r="P12" i="51"/>
  <c r="P45" i="51" s="1"/>
  <c r="AB236" i="1"/>
  <c r="Y274" i="1"/>
  <c r="M17" i="51" s="1"/>
  <c r="M58" i="51" s="1"/>
  <c r="Y277" i="1"/>
  <c r="Z364" i="1"/>
  <c r="N27" i="51" s="1"/>
  <c r="N88" i="51" s="1"/>
  <c r="T364" i="1"/>
  <c r="H27" i="51" s="1"/>
  <c r="H88" i="51" s="1"/>
  <c r="R27" i="51"/>
  <c r="R88" i="51" s="1"/>
  <c r="P27" i="51"/>
  <c r="P88" i="51" s="1"/>
  <c r="X364" i="1"/>
  <c r="L27" i="51" s="1"/>
  <c r="L88" i="51" s="1"/>
  <c r="V364" i="1"/>
  <c r="J27" i="51" s="1"/>
  <c r="J88" i="51" s="1"/>
  <c r="Y352" i="1"/>
  <c r="AC352" i="1"/>
  <c r="U307" i="1"/>
  <c r="T311" i="1"/>
  <c r="H22" i="51" s="1"/>
  <c r="H73" i="51" s="1"/>
  <c r="Z311" i="1"/>
  <c r="N22" i="51" s="1"/>
  <c r="N73" i="51" s="1"/>
  <c r="R22" i="51"/>
  <c r="R73" i="51" s="1"/>
  <c r="X311" i="1"/>
  <c r="L22" i="51" s="1"/>
  <c r="L73" i="51" s="1"/>
  <c r="V311" i="1"/>
  <c r="J22" i="51" s="1"/>
  <c r="J73" i="51" s="1"/>
  <c r="P22" i="51"/>
  <c r="P73" i="51" s="1"/>
  <c r="Y298" i="1"/>
  <c r="AC298" i="1"/>
  <c r="Y217" i="1"/>
  <c r="AC217" i="1"/>
  <c r="V229" i="1"/>
  <c r="J12" i="51" s="1"/>
  <c r="J45" i="51" s="1"/>
  <c r="X229" i="1"/>
  <c r="L12" i="51" s="1"/>
  <c r="L45" i="51" s="1"/>
  <c r="Y226" i="1"/>
  <c r="T229" i="1"/>
  <c r="H12" i="51" s="1"/>
  <c r="H45" i="51" s="1"/>
  <c r="AC226" i="1"/>
  <c r="U18" i="1"/>
  <c r="U228" i="1"/>
  <c r="U231" i="1" s="1"/>
  <c r="M11" i="8" l="1"/>
  <c r="I11" i="8"/>
  <c r="I53" i="8" s="1"/>
  <c r="AG222" i="1"/>
  <c r="U43" i="51" s="1"/>
  <c r="L58" i="8"/>
  <c r="U51" i="8"/>
  <c r="J42" i="8"/>
  <c r="J58" i="8"/>
  <c r="H58" i="8"/>
  <c r="N58" i="8"/>
  <c r="Y366" i="1"/>
  <c r="U366" i="1"/>
  <c r="I16" i="8"/>
  <c r="I42" i="8" s="1"/>
  <c r="AC366" i="1"/>
  <c r="AC229" i="1"/>
  <c r="Q12" i="51" s="1"/>
  <c r="Q45" i="51" s="1"/>
  <c r="Q8" i="8"/>
  <c r="Q11" i="8"/>
  <c r="AG357" i="1"/>
  <c r="U86" i="51" s="1"/>
  <c r="Q10" i="8"/>
  <c r="AG303" i="1"/>
  <c r="U71" i="51" s="1"/>
  <c r="AD183" i="1"/>
  <c r="AB98" i="5"/>
  <c r="AB183" i="1"/>
  <c r="M8" i="8"/>
  <c r="BL32" i="8"/>
  <c r="AC11" i="1"/>
  <c r="AC357" i="1"/>
  <c r="Q86" i="51" s="1"/>
  <c r="Y357" i="1"/>
  <c r="M86" i="51" s="1"/>
  <c r="I19" i="8"/>
  <c r="I61" i="8" s="1"/>
  <c r="M19" i="8"/>
  <c r="M45" i="8" s="1"/>
  <c r="Q19" i="8"/>
  <c r="AC364" i="1"/>
  <c r="Q27" i="51" s="1"/>
  <c r="Q88" i="51" s="1"/>
  <c r="L60" i="8"/>
  <c r="H44" i="8"/>
  <c r="AC313" i="1"/>
  <c r="AC311" i="1"/>
  <c r="Q22" i="51" s="1"/>
  <c r="Q73" i="51" s="1"/>
  <c r="I10" i="8"/>
  <c r="I15" i="8" s="1"/>
  <c r="Y313" i="1"/>
  <c r="I18" i="8"/>
  <c r="U313" i="1"/>
  <c r="M10" i="8"/>
  <c r="Y303" i="1"/>
  <c r="M71" i="51" s="1"/>
  <c r="AC303" i="1"/>
  <c r="Q71" i="51" s="1"/>
  <c r="AC222" i="1"/>
  <c r="Q43" i="51" s="1"/>
  <c r="Y222" i="1"/>
  <c r="AB25" i="1"/>
  <c r="AB258" i="1"/>
  <c r="V277" i="1"/>
  <c r="V286" i="1" s="1"/>
  <c r="U286" i="1"/>
  <c r="Z277" i="1"/>
  <c r="Z286" i="1" s="1"/>
  <c r="Y286" i="1"/>
  <c r="AC231" i="1"/>
  <c r="Q59" i="8"/>
  <c r="U17" i="8"/>
  <c r="U43" i="8" s="1"/>
  <c r="M43" i="8"/>
  <c r="M59" i="8"/>
  <c r="Y51" i="8"/>
  <c r="M18" i="8"/>
  <c r="Q18" i="8"/>
  <c r="M27" i="8"/>
  <c r="I27" i="8"/>
  <c r="V9" i="8"/>
  <c r="Y236" i="1"/>
  <c r="Z236" i="1" s="1"/>
  <c r="Z258" i="1" s="1"/>
  <c r="Y231" i="1"/>
  <c r="Y318" i="1"/>
  <c r="Z318" i="1" s="1"/>
  <c r="Z339" i="1" s="1"/>
  <c r="L24" i="8"/>
  <c r="X179" i="1"/>
  <c r="T25" i="1"/>
  <c r="AC318" i="1"/>
  <c r="AB101" i="5"/>
  <c r="AB103" i="5" s="1"/>
  <c r="AC372" i="1"/>
  <c r="AC394" i="1" s="1"/>
  <c r="Y372" i="1"/>
  <c r="U318" i="1"/>
  <c r="V318" i="1" s="1"/>
  <c r="V339" i="1" s="1"/>
  <c r="U372" i="1"/>
  <c r="U311" i="1"/>
  <c r="I22" i="51" s="1"/>
  <c r="I73" i="51" s="1"/>
  <c r="AD101" i="5"/>
  <c r="Q27" i="8"/>
  <c r="X103" i="5"/>
  <c r="X104" i="5" s="1"/>
  <c r="X98" i="5"/>
  <c r="BL59" i="5"/>
  <c r="V103" i="5"/>
  <c r="Z103" i="5"/>
  <c r="Z104" i="5" s="1"/>
  <c r="U364" i="1"/>
  <c r="I27" i="51" s="1"/>
  <c r="I88" i="51" s="1"/>
  <c r="Y90" i="5"/>
  <c r="Y91" i="5" s="1"/>
  <c r="Y83" i="5" s="1"/>
  <c r="Z83" i="5" s="1"/>
  <c r="U90" i="5"/>
  <c r="U91" i="5" s="1"/>
  <c r="U83" i="5" s="1"/>
  <c r="V83" i="5" s="1"/>
  <c r="AC90" i="5"/>
  <c r="AC91" i="5" s="1"/>
  <c r="AC83" i="5" s="1"/>
  <c r="AD83" i="5" s="1"/>
  <c r="X28" i="1"/>
  <c r="L119" i="51" s="1"/>
  <c r="BD251" i="4"/>
  <c r="BB61" i="4"/>
  <c r="BD249" i="4"/>
  <c r="BB60" i="4"/>
  <c r="BM254" i="4"/>
  <c r="BL63" i="4"/>
  <c r="BD247" i="4"/>
  <c r="BB59" i="4"/>
  <c r="Y13" i="1"/>
  <c r="Y118" i="4"/>
  <c r="U13" i="1"/>
  <c r="U118" i="4"/>
  <c r="U20" i="1"/>
  <c r="Y20" i="1"/>
  <c r="U236" i="1"/>
  <c r="BM25" i="4"/>
  <c r="AW214" i="1"/>
  <c r="AT214" i="1"/>
  <c r="AW215" i="1"/>
  <c r="AT215" i="1"/>
  <c r="AD277" i="1"/>
  <c r="AD286" i="1" s="1"/>
  <c r="AC236" i="1"/>
  <c r="Y364" i="1"/>
  <c r="M27" i="51" s="1"/>
  <c r="M88" i="51" s="1"/>
  <c r="Y311" i="1"/>
  <c r="M22" i="51" s="1"/>
  <c r="M73" i="51" s="1"/>
  <c r="U229" i="1"/>
  <c r="I12" i="51" s="1"/>
  <c r="I45" i="51" s="1"/>
  <c r="Y229" i="1"/>
  <c r="M12" i="51" s="1"/>
  <c r="M45" i="51" s="1"/>
  <c r="M53" i="8" l="1"/>
  <c r="AC9" i="8"/>
  <c r="AC51" i="8" s="1"/>
  <c r="AB179" i="1"/>
  <c r="Q53" i="8"/>
  <c r="V51" i="8"/>
  <c r="I58" i="8"/>
  <c r="M16" i="8"/>
  <c r="M42" i="8" s="1"/>
  <c r="Y17" i="8"/>
  <c r="Q16" i="8"/>
  <c r="Q42" i="8" s="1"/>
  <c r="Q50" i="8"/>
  <c r="Q45" i="8"/>
  <c r="Q15" i="8"/>
  <c r="AB184" i="1"/>
  <c r="AC184" i="1"/>
  <c r="M50" i="8"/>
  <c r="I112" i="51"/>
  <c r="Z67" i="51"/>
  <c r="M15" i="8"/>
  <c r="M56" i="8" s="1"/>
  <c r="Y258" i="1"/>
  <c r="V236" i="1"/>
  <c r="V258" i="1" s="1"/>
  <c r="U258" i="1"/>
  <c r="AC118" i="4"/>
  <c r="AC13" i="1"/>
  <c r="AC20" i="1"/>
  <c r="AS349" i="1"/>
  <c r="M61" i="8"/>
  <c r="I45" i="8"/>
  <c r="AS296" i="1"/>
  <c r="I52" i="8"/>
  <c r="AS295" i="1"/>
  <c r="AS348" i="1"/>
  <c r="I44" i="8"/>
  <c r="M44" i="8"/>
  <c r="Q61" i="8"/>
  <c r="Y395" i="1"/>
  <c r="Y394" i="1"/>
  <c r="U395" i="1"/>
  <c r="U394" i="1"/>
  <c r="AC395" i="1"/>
  <c r="Q52" i="8"/>
  <c r="M52" i="8"/>
  <c r="AC339" i="1"/>
  <c r="U339" i="1"/>
  <c r="Y339" i="1"/>
  <c r="AB28" i="1"/>
  <c r="P119" i="51" s="1"/>
  <c r="P120" i="51" s="1"/>
  <c r="I60" i="8"/>
  <c r="U16" i="8"/>
  <c r="U59" i="8"/>
  <c r="P24" i="8"/>
  <c r="AC258" i="1"/>
  <c r="Q44" i="8"/>
  <c r="Q60" i="8"/>
  <c r="V17" i="8"/>
  <c r="M60" i="8"/>
  <c r="Z9" i="8"/>
  <c r="M112" i="51"/>
  <c r="Z25" i="1"/>
  <c r="X32" i="1"/>
  <c r="AD318" i="1"/>
  <c r="AD339" i="1" s="1"/>
  <c r="T179" i="1"/>
  <c r="U11" i="8"/>
  <c r="Z54" i="51"/>
  <c r="U10" i="8"/>
  <c r="U8" i="8"/>
  <c r="I56" i="8"/>
  <c r="I80" i="8"/>
  <c r="H24" i="8"/>
  <c r="T28" i="1"/>
  <c r="AS350" i="1"/>
  <c r="AS267" i="1"/>
  <c r="AG9" i="8" s="1"/>
  <c r="AG51" i="8" s="1"/>
  <c r="Y100" i="5"/>
  <c r="V106" i="5"/>
  <c r="V104" i="5"/>
  <c r="AB106" i="5"/>
  <c r="AB104" i="5"/>
  <c r="Z106" i="5"/>
  <c r="AD103" i="5"/>
  <c r="L25" i="8"/>
  <c r="BM59" i="5"/>
  <c r="BN59" i="5" s="1"/>
  <c r="X106" i="5"/>
  <c r="X34" i="1"/>
  <c r="BE247" i="4"/>
  <c r="BD59" i="4"/>
  <c r="BN254" i="4"/>
  <c r="BM63" i="4"/>
  <c r="BE249" i="4"/>
  <c r="BD60" i="4"/>
  <c r="BE251" i="4"/>
  <c r="BD61" i="4"/>
  <c r="U22" i="1"/>
  <c r="Y22" i="1"/>
  <c r="M23" i="8" s="1"/>
  <c r="AS213" i="1"/>
  <c r="BP25" i="4"/>
  <c r="BN25" i="4"/>
  <c r="AD236" i="1"/>
  <c r="AD258" i="1" s="1"/>
  <c r="BA214" i="1"/>
  <c r="AX214" i="1"/>
  <c r="BA215" i="1"/>
  <c r="AX215" i="1"/>
  <c r="Z82" i="51"/>
  <c r="Z39" i="51"/>
  <c r="AW348" i="1" l="1"/>
  <c r="AT348" i="1"/>
  <c r="Y43" i="8"/>
  <c r="U50" i="8"/>
  <c r="V43" i="8"/>
  <c r="U52" i="8"/>
  <c r="U53" i="8"/>
  <c r="Z51" i="8"/>
  <c r="Y59" i="8"/>
  <c r="M81" i="8"/>
  <c r="Q58" i="8"/>
  <c r="M58" i="8"/>
  <c r="AH100" i="5"/>
  <c r="AH103" i="5" s="1"/>
  <c r="AF100" i="5"/>
  <c r="AD184" i="1"/>
  <c r="AB185" i="1"/>
  <c r="T32" i="1"/>
  <c r="H119" i="51"/>
  <c r="I23" i="8"/>
  <c r="I64" i="8" s="1"/>
  <c r="I115" i="51"/>
  <c r="V25" i="1"/>
  <c r="M80" i="8"/>
  <c r="Q56" i="8"/>
  <c r="AC22" i="1"/>
  <c r="Q23" i="8" s="1"/>
  <c r="Q86" i="8" s="1"/>
  <c r="Q80" i="8"/>
  <c r="AB52" i="1"/>
  <c r="AB54" i="1"/>
  <c r="AB55" i="1"/>
  <c r="X35" i="1"/>
  <c r="AS119" i="4"/>
  <c r="AT295" i="1"/>
  <c r="AW349" i="1"/>
  <c r="AT349" i="1"/>
  <c r="Q112" i="51"/>
  <c r="AT296" i="1"/>
  <c r="AW296" i="1"/>
  <c r="AW295" i="1"/>
  <c r="AD9" i="8"/>
  <c r="Z59" i="8"/>
  <c r="AB32" i="1"/>
  <c r="P25" i="8"/>
  <c r="AB34" i="1"/>
  <c r="V59" i="8"/>
  <c r="U42" i="8"/>
  <c r="AC17" i="8"/>
  <c r="M47" i="8"/>
  <c r="M115" i="51"/>
  <c r="X68" i="1"/>
  <c r="L122" i="51"/>
  <c r="Y74" i="4"/>
  <c r="U74" i="4"/>
  <c r="Z28" i="1"/>
  <c r="X31" i="1"/>
  <c r="AD25" i="1"/>
  <c r="Z179" i="1"/>
  <c r="N24" i="8"/>
  <c r="Y25" i="1"/>
  <c r="H25" i="8"/>
  <c r="H67" i="8" s="1"/>
  <c r="V8" i="8"/>
  <c r="V11" i="8"/>
  <c r="V10" i="8"/>
  <c r="AS273" i="1"/>
  <c r="AG17" i="8" s="1"/>
  <c r="AT267" i="1"/>
  <c r="AW267" i="1"/>
  <c r="T34" i="1"/>
  <c r="H122" i="51" s="1"/>
  <c r="AW350" i="1"/>
  <c r="AT350" i="1"/>
  <c r="Y103" i="5"/>
  <c r="AD104" i="5"/>
  <c r="Z58" i="51"/>
  <c r="L28" i="8"/>
  <c r="BP59" i="5"/>
  <c r="X38" i="1"/>
  <c r="X39" i="1"/>
  <c r="AW213" i="1"/>
  <c r="BP254" i="4"/>
  <c r="BN63" i="4"/>
  <c r="BF251" i="4"/>
  <c r="BE61" i="4"/>
  <c r="BF249" i="4"/>
  <c r="BE60" i="4"/>
  <c r="BF247" i="4"/>
  <c r="BE59" i="4"/>
  <c r="Y23" i="1"/>
  <c r="U23" i="1"/>
  <c r="AT213" i="1"/>
  <c r="BQ25" i="4"/>
  <c r="BT59" i="5" s="1"/>
  <c r="BV59" i="5" s="1"/>
  <c r="BE215" i="1"/>
  <c r="BB215" i="1"/>
  <c r="BE214" i="1"/>
  <c r="BB214" i="1"/>
  <c r="AK9" i="8" l="1"/>
  <c r="AK51" i="8" s="1"/>
  <c r="AH9" i="8"/>
  <c r="AH51" i="8" s="1"/>
  <c r="AG43" i="8"/>
  <c r="AG59" i="8"/>
  <c r="C7" i="61"/>
  <c r="BA348" i="1"/>
  <c r="AX348" i="1"/>
  <c r="AJ100" i="5"/>
  <c r="AJ103" i="5" s="1"/>
  <c r="AL100" i="5"/>
  <c r="AL103" i="5" s="1"/>
  <c r="AP100" i="5" s="1"/>
  <c r="AP103" i="5" s="1"/>
  <c r="AP104" i="5" s="1"/>
  <c r="V52" i="8"/>
  <c r="V50" i="8"/>
  <c r="AD51" i="8"/>
  <c r="P67" i="8"/>
  <c r="V53" i="8"/>
  <c r="AF103" i="5"/>
  <c r="AH104" i="5"/>
  <c r="Q47" i="8"/>
  <c r="Q81" i="8"/>
  <c r="Q113" i="51"/>
  <c r="V28" i="1"/>
  <c r="J119" i="51" s="1"/>
  <c r="M64" i="8"/>
  <c r="BM31" i="8"/>
  <c r="BQ31" i="8"/>
  <c r="AD185" i="1"/>
  <c r="U25" i="1"/>
  <c r="V179" i="1"/>
  <c r="J24" i="8"/>
  <c r="I66" i="8"/>
  <c r="I47" i="8"/>
  <c r="T31" i="1"/>
  <c r="T69" i="1" s="1"/>
  <c r="AC23" i="1"/>
  <c r="Q64" i="8"/>
  <c r="AC74" i="4"/>
  <c r="AC77" i="4" s="1"/>
  <c r="Q115" i="51"/>
  <c r="AB35" i="1"/>
  <c r="AF54" i="1"/>
  <c r="T35" i="1"/>
  <c r="X54" i="1"/>
  <c r="X52" i="1"/>
  <c r="AW119" i="4"/>
  <c r="T56" i="1"/>
  <c r="AB56" i="1"/>
  <c r="T68" i="1"/>
  <c r="AB39" i="1"/>
  <c r="AX349" i="1"/>
  <c r="BA349" i="1"/>
  <c r="AX296" i="1"/>
  <c r="BA296" i="1"/>
  <c r="AT119" i="4"/>
  <c r="AX295" i="1"/>
  <c r="BA295" i="1"/>
  <c r="Z43" i="8"/>
  <c r="AB38" i="1"/>
  <c r="X69" i="1"/>
  <c r="X71" i="1" s="1"/>
  <c r="X81" i="4"/>
  <c r="AB68" i="1"/>
  <c r="AB31" i="1"/>
  <c r="P122" i="51"/>
  <c r="P123" i="51" s="1"/>
  <c r="P28" i="8"/>
  <c r="U19" i="8"/>
  <c r="U45" i="8" s="1"/>
  <c r="U18" i="8"/>
  <c r="U44" i="8" s="1"/>
  <c r="AS271" i="1"/>
  <c r="AD17" i="8"/>
  <c r="V16" i="8"/>
  <c r="AC59" i="8"/>
  <c r="AC43" i="8"/>
  <c r="BA267" i="1"/>
  <c r="AC25" i="1"/>
  <c r="N25" i="8"/>
  <c r="N119" i="51"/>
  <c r="U77" i="4"/>
  <c r="Y77" i="4"/>
  <c r="R24" i="8"/>
  <c r="Z32" i="1"/>
  <c r="Z31" i="1" s="1"/>
  <c r="Z34" i="1"/>
  <c r="AD55" i="1" s="1"/>
  <c r="AD28" i="1"/>
  <c r="L67" i="8"/>
  <c r="AD179" i="1"/>
  <c r="M24" i="8"/>
  <c r="Y28" i="1"/>
  <c r="Y179" i="1"/>
  <c r="AX267" i="1"/>
  <c r="AL9" i="8" s="1"/>
  <c r="AT273" i="1"/>
  <c r="AW273" i="1"/>
  <c r="AK17" i="8" s="1"/>
  <c r="AT268" i="1"/>
  <c r="AH16" i="51" s="1"/>
  <c r="AH54" i="51" s="1"/>
  <c r="V15" i="8"/>
  <c r="T39" i="1"/>
  <c r="H28" i="8"/>
  <c r="H68" i="8" s="1"/>
  <c r="T38" i="1"/>
  <c r="Q66" i="8"/>
  <c r="M66" i="8"/>
  <c r="X148" i="1"/>
  <c r="X146" i="1"/>
  <c r="Y104" i="5"/>
  <c r="AX350" i="1"/>
  <c r="BA350" i="1"/>
  <c r="Y106" i="5"/>
  <c r="L31" i="8"/>
  <c r="BP40" i="8"/>
  <c r="X89" i="1"/>
  <c r="X154" i="1"/>
  <c r="BQ59" i="5"/>
  <c r="BR59" i="5" s="1"/>
  <c r="BA213" i="1"/>
  <c r="AX213" i="1"/>
  <c r="BH251" i="4"/>
  <c r="BF61" i="4"/>
  <c r="BH247" i="4"/>
  <c r="BF59" i="4"/>
  <c r="BH249" i="4"/>
  <c r="BF60" i="4"/>
  <c r="BQ254" i="4"/>
  <c r="BP63" i="4"/>
  <c r="BR25" i="4"/>
  <c r="BI215" i="1"/>
  <c r="BF215" i="1"/>
  <c r="BI214" i="1"/>
  <c r="BF214" i="1"/>
  <c r="AL51" i="8" l="1"/>
  <c r="E7" i="61"/>
  <c r="AH17" i="8"/>
  <c r="AO9" i="8"/>
  <c r="AO51" i="8" s="1"/>
  <c r="AK43" i="8"/>
  <c r="AK59" i="8"/>
  <c r="U28" i="1"/>
  <c r="U34" i="1" s="1"/>
  <c r="I122" i="51" s="1"/>
  <c r="BE348" i="1"/>
  <c r="BB348" i="1"/>
  <c r="AL104" i="5"/>
  <c r="AN100" i="5"/>
  <c r="AN103" i="5" s="1"/>
  <c r="AJ104" i="5"/>
  <c r="AK100" i="5"/>
  <c r="AK103" i="5" s="1"/>
  <c r="AK104" i="5" s="1"/>
  <c r="AB146" i="1"/>
  <c r="P68" i="8"/>
  <c r="V56" i="8"/>
  <c r="V42" i="8"/>
  <c r="A25" i="4" a="1"/>
  <c r="A25" i="4" s="1"/>
  <c r="X157" i="1"/>
  <c r="L38" i="8"/>
  <c r="AF104" i="5"/>
  <c r="AG100" i="5"/>
  <c r="AG103" i="5" s="1"/>
  <c r="AG104" i="5" s="1"/>
  <c r="AF106" i="5"/>
  <c r="AS272" i="1"/>
  <c r="V34" i="1"/>
  <c r="J28" i="8" s="1"/>
  <c r="V32" i="1"/>
  <c r="J25" i="8"/>
  <c r="J67" i="8" s="1"/>
  <c r="L36" i="8"/>
  <c r="U179" i="1"/>
  <c r="I24" i="8"/>
  <c r="BU31" i="8"/>
  <c r="T81" i="4"/>
  <c r="I119" i="51"/>
  <c r="AB154" i="1"/>
  <c r="P31" i="8"/>
  <c r="Z35" i="1"/>
  <c r="AD54" i="1"/>
  <c r="AD52" i="1"/>
  <c r="AB148" i="1"/>
  <c r="AB159" i="1" s="1"/>
  <c r="AB89" i="1"/>
  <c r="BA119" i="4"/>
  <c r="Z39" i="1"/>
  <c r="T71" i="1"/>
  <c r="BB349" i="1"/>
  <c r="BB296" i="1"/>
  <c r="BE349" i="1"/>
  <c r="BT40" i="8"/>
  <c r="BB295" i="1"/>
  <c r="BE296" i="1"/>
  <c r="AX119" i="4"/>
  <c r="BE295" i="1"/>
  <c r="AB69" i="1"/>
  <c r="AB71" i="1" s="1"/>
  <c r="AB81" i="4"/>
  <c r="Z69" i="1"/>
  <c r="Z81" i="4"/>
  <c r="V19" i="8"/>
  <c r="V18" i="8"/>
  <c r="Z38" i="1"/>
  <c r="BE267" i="1"/>
  <c r="BA273" i="1"/>
  <c r="BB267" i="1"/>
  <c r="Q24" i="8"/>
  <c r="AC179" i="1"/>
  <c r="AC28" i="1"/>
  <c r="Q119" i="51" s="1"/>
  <c r="AT271" i="1"/>
  <c r="AD43" i="8"/>
  <c r="AD59" i="8"/>
  <c r="AW271" i="1"/>
  <c r="AW272" i="1" s="1"/>
  <c r="X80" i="4"/>
  <c r="X72" i="1"/>
  <c r="M119" i="51"/>
  <c r="R119" i="51"/>
  <c r="R120" i="51" s="1"/>
  <c r="N28" i="8"/>
  <c r="N122" i="51"/>
  <c r="Y78" i="4"/>
  <c r="U78" i="4"/>
  <c r="AC78" i="4"/>
  <c r="AD34" i="1"/>
  <c r="AH54" i="1" s="1"/>
  <c r="AD32" i="1"/>
  <c r="L82" i="8"/>
  <c r="R25" i="8"/>
  <c r="Z68" i="1"/>
  <c r="Y32" i="1"/>
  <c r="M25" i="8"/>
  <c r="Y34" i="1"/>
  <c r="AX273" i="1"/>
  <c r="AL17" i="8" s="1"/>
  <c r="T154" i="1"/>
  <c r="T89" i="1"/>
  <c r="AX268" i="1"/>
  <c r="AL16" i="51" s="1"/>
  <c r="AL54" i="51" s="1"/>
  <c r="AT274" i="1"/>
  <c r="AH17" i="51" s="1"/>
  <c r="AH58" i="51" s="1"/>
  <c r="H31" i="8"/>
  <c r="T148" i="1"/>
  <c r="T146" i="1"/>
  <c r="L68" i="8"/>
  <c r="X159" i="1"/>
  <c r="X147" i="1"/>
  <c r="X145" i="1"/>
  <c r="L37" i="8" s="1"/>
  <c r="BB350" i="1"/>
  <c r="BE350" i="1"/>
  <c r="X29" i="5"/>
  <c r="X37" i="5" s="1"/>
  <c r="L34" i="8"/>
  <c r="L83" i="8" s="1"/>
  <c r="X237" i="4"/>
  <c r="X240" i="4" s="1"/>
  <c r="X242" i="4" s="1"/>
  <c r="BB213" i="1"/>
  <c r="BE213" i="1"/>
  <c r="BI249" i="4"/>
  <c r="BH60" i="4"/>
  <c r="BR254" i="4"/>
  <c r="BT254" i="4" s="1"/>
  <c r="BQ63" i="4"/>
  <c r="BI247" i="4"/>
  <c r="BH59" i="4"/>
  <c r="BI251" i="4"/>
  <c r="BH61" i="4"/>
  <c r="BM214" i="1"/>
  <c r="BJ214" i="1"/>
  <c r="BM215" i="1"/>
  <c r="BJ215" i="1"/>
  <c r="BU254" i="4" l="1"/>
  <c r="BT63" i="4"/>
  <c r="AO17" i="8"/>
  <c r="AO43" i="8" s="1"/>
  <c r="AN104" i="5"/>
  <c r="AO100" i="5"/>
  <c r="AO103" i="5" s="1"/>
  <c r="AO104" i="5" s="1"/>
  <c r="BR63" i="4"/>
  <c r="U32" i="1"/>
  <c r="AP9" i="8"/>
  <c r="AL43" i="8"/>
  <c r="AL59" i="8"/>
  <c r="AO59" i="8"/>
  <c r="I25" i="8"/>
  <c r="I67" i="8" s="1"/>
  <c r="AH59" i="8"/>
  <c r="AH43" i="8"/>
  <c r="T157" i="1"/>
  <c r="AS9" i="8"/>
  <c r="AS51" i="8" s="1"/>
  <c r="AB157" i="1"/>
  <c r="BI348" i="1"/>
  <c r="BF348" i="1"/>
  <c r="P38" i="8"/>
  <c r="P73" i="8" s="1"/>
  <c r="V45" i="8"/>
  <c r="P69" i="8"/>
  <c r="V44" i="8"/>
  <c r="R67" i="8"/>
  <c r="V39" i="1"/>
  <c r="V154" i="1" s="1"/>
  <c r="V38" i="1"/>
  <c r="BN40" i="8" s="1"/>
  <c r="BA271" i="1"/>
  <c r="BA272" i="1" s="1"/>
  <c r="AT272" i="1"/>
  <c r="V31" i="1"/>
  <c r="V69" i="1" s="1"/>
  <c r="V56" i="1"/>
  <c r="N67" i="8"/>
  <c r="J122" i="51"/>
  <c r="V68" i="1"/>
  <c r="V35" i="1"/>
  <c r="H36" i="8"/>
  <c r="P36" i="8"/>
  <c r="AB147" i="1"/>
  <c r="P34" i="8"/>
  <c r="AB145" i="1"/>
  <c r="AB156" i="1" s="1"/>
  <c r="Z148" i="1"/>
  <c r="P82" i="8"/>
  <c r="T72" i="1"/>
  <c r="AB237" i="4"/>
  <c r="AB239" i="4" s="1"/>
  <c r="Z89" i="1"/>
  <c r="Z145" i="1" s="1"/>
  <c r="N37" i="8" s="1"/>
  <c r="AB29" i="5"/>
  <c r="AB37" i="5" s="1"/>
  <c r="Z146" i="1"/>
  <c r="N31" i="8"/>
  <c r="N82" i="8" s="1"/>
  <c r="AD35" i="1"/>
  <c r="BE119" i="4"/>
  <c r="T80" i="4"/>
  <c r="Z154" i="1"/>
  <c r="AC54" i="1"/>
  <c r="AC52" i="1"/>
  <c r="U35" i="1"/>
  <c r="Y52" i="1"/>
  <c r="BF349" i="1"/>
  <c r="AC55" i="1"/>
  <c r="Y35" i="1"/>
  <c r="I28" i="8"/>
  <c r="I68" i="8" s="1"/>
  <c r="U56" i="1"/>
  <c r="BI349" i="1"/>
  <c r="BJ349" i="1" s="1"/>
  <c r="AD56" i="1"/>
  <c r="R28" i="8"/>
  <c r="BI295" i="1"/>
  <c r="BB119" i="4"/>
  <c r="BF296" i="1"/>
  <c r="BI296" i="1"/>
  <c r="BF295" i="1"/>
  <c r="BM32" i="8"/>
  <c r="BU32" i="8"/>
  <c r="BQ32" i="8"/>
  <c r="AB80" i="4"/>
  <c r="Z71" i="1"/>
  <c r="AB72" i="1"/>
  <c r="BE273" i="1"/>
  <c r="X83" i="4"/>
  <c r="X74" i="1" s="1"/>
  <c r="BR40" i="8"/>
  <c r="BI267" i="1"/>
  <c r="BF267" i="1"/>
  <c r="AC32" i="1"/>
  <c r="Q120" i="51"/>
  <c r="BB273" i="1"/>
  <c r="BB268" i="1"/>
  <c r="AP16" i="51" s="1"/>
  <c r="AP54" i="51" s="1"/>
  <c r="Q25" i="8"/>
  <c r="AC34" i="1"/>
  <c r="AG54" i="1" s="1"/>
  <c r="AX274" i="1"/>
  <c r="AL17" i="51" s="1"/>
  <c r="AL58" i="51" s="1"/>
  <c r="AD38" i="1"/>
  <c r="BV40" i="8" s="1"/>
  <c r="AD31" i="1"/>
  <c r="AD39" i="1"/>
  <c r="N68" i="8"/>
  <c r="M122" i="51"/>
  <c r="AD68" i="1"/>
  <c r="R122" i="51"/>
  <c r="T145" i="1"/>
  <c r="H69" i="8"/>
  <c r="H82" i="8"/>
  <c r="Y31" i="1"/>
  <c r="J68" i="8"/>
  <c r="M28" i="8"/>
  <c r="Y38" i="1"/>
  <c r="BQ40" i="8" s="1"/>
  <c r="Y39" i="1"/>
  <c r="U68" i="1"/>
  <c r="Y68" i="1"/>
  <c r="T167" i="1"/>
  <c r="AX271" i="1"/>
  <c r="T237" i="4"/>
  <c r="U237" i="4" s="1"/>
  <c r="U240" i="4" s="1"/>
  <c r="U242" i="4" s="1"/>
  <c r="H34" i="8"/>
  <c r="H70" i="8" s="1"/>
  <c r="T147" i="1"/>
  <c r="T158" i="1" s="1"/>
  <c r="T29" i="5"/>
  <c r="T37" i="5" s="1"/>
  <c r="U38" i="1"/>
  <c r="U39" i="1"/>
  <c r="L69" i="8"/>
  <c r="H38" i="8"/>
  <c r="H73" i="8" s="1"/>
  <c r="T159" i="1"/>
  <c r="T168" i="1"/>
  <c r="X158" i="1"/>
  <c r="X156" i="1"/>
  <c r="BI350" i="1"/>
  <c r="BF350" i="1"/>
  <c r="BF213" i="1"/>
  <c r="BI213" i="1"/>
  <c r="BJ251" i="4"/>
  <c r="BI61" i="4"/>
  <c r="BJ247" i="4"/>
  <c r="BI59" i="4"/>
  <c r="BJ249" i="4"/>
  <c r="BI60" i="4"/>
  <c r="BQ214" i="1"/>
  <c r="BN214" i="1"/>
  <c r="BQ215" i="1"/>
  <c r="BU215" i="1" s="1"/>
  <c r="BN215" i="1"/>
  <c r="BU214" i="1" l="1"/>
  <c r="BY215" i="1"/>
  <c r="BZ215" i="1" s="1"/>
  <c r="BV215" i="1"/>
  <c r="BV254" i="4"/>
  <c r="BU63" i="4"/>
  <c r="M67" i="8"/>
  <c r="U31" i="1"/>
  <c r="U69" i="1" s="1"/>
  <c r="U71" i="1" s="1"/>
  <c r="AP17" i="8"/>
  <c r="AP59" i="8" s="1"/>
  <c r="BR215" i="1"/>
  <c r="AP51" i="8"/>
  <c r="AT9" i="8"/>
  <c r="AT51" i="8" s="1"/>
  <c r="AW9" i="8"/>
  <c r="AW51" i="8" s="1"/>
  <c r="BM348" i="1"/>
  <c r="BJ348" i="1"/>
  <c r="V167" i="1"/>
  <c r="AD199" i="1"/>
  <c r="AB40" i="1"/>
  <c r="Q67" i="8"/>
  <c r="R68" i="8"/>
  <c r="P83" i="8"/>
  <c r="J31" i="8"/>
  <c r="J69" i="8" s="1"/>
  <c r="V89" i="1"/>
  <c r="V145" i="1" s="1"/>
  <c r="J37" i="8" s="1"/>
  <c r="J72" i="8" s="1"/>
  <c r="J36" i="8"/>
  <c r="V146" i="1"/>
  <c r="V148" i="1"/>
  <c r="BR214" i="1"/>
  <c r="BI119" i="4"/>
  <c r="V81" i="4"/>
  <c r="V71" i="1"/>
  <c r="BB274" i="1"/>
  <c r="AP17" i="51" s="1"/>
  <c r="AP58" i="51" s="1"/>
  <c r="BF273" i="1"/>
  <c r="Z157" i="1"/>
  <c r="N38" i="8"/>
  <c r="Z147" i="1"/>
  <c r="Z158" i="1" s="1"/>
  <c r="Z237" i="4"/>
  <c r="Z240" i="4" s="1"/>
  <c r="Z242" i="4" s="1"/>
  <c r="N34" i="8"/>
  <c r="N83" i="8" s="1"/>
  <c r="P37" i="8"/>
  <c r="P72" i="8" s="1"/>
  <c r="N36" i="8"/>
  <c r="AB158" i="1"/>
  <c r="P70" i="8"/>
  <c r="Z159" i="1"/>
  <c r="M68" i="8"/>
  <c r="T83" i="4"/>
  <c r="T74" i="1" s="1"/>
  <c r="BM349" i="1"/>
  <c r="AC56" i="1"/>
  <c r="AC35" i="1"/>
  <c r="BJ295" i="1"/>
  <c r="Q122" i="51"/>
  <c r="BF119" i="4"/>
  <c r="BM295" i="1"/>
  <c r="Z72" i="1"/>
  <c r="AB83" i="4"/>
  <c r="AB74" i="1" s="1"/>
  <c r="BM296" i="1"/>
  <c r="Z80" i="4"/>
  <c r="BJ296" i="1"/>
  <c r="AS17" i="8"/>
  <c r="AS43" i="8" s="1"/>
  <c r="BE271" i="1"/>
  <c r="BE272" i="1" s="1"/>
  <c r="Y69" i="1"/>
  <c r="Y71" i="1" s="1"/>
  <c r="Y81" i="4"/>
  <c r="AD69" i="1"/>
  <c r="AD71" i="1" s="1"/>
  <c r="AD80" i="4" s="1"/>
  <c r="AD81" i="4"/>
  <c r="X175" i="1"/>
  <c r="BM267" i="1"/>
  <c r="AC39" i="1"/>
  <c r="BI273" i="1"/>
  <c r="BJ267" i="1"/>
  <c r="BF268" i="1"/>
  <c r="AT16" i="51" s="1"/>
  <c r="AT54" i="51" s="1"/>
  <c r="Q28" i="8"/>
  <c r="AC31" i="1"/>
  <c r="BB271" i="1"/>
  <c r="BB272" i="1" s="1"/>
  <c r="AC38" i="1"/>
  <c r="BU40" i="8" s="1"/>
  <c r="R31" i="8"/>
  <c r="AD192" i="1"/>
  <c r="AD146" i="1"/>
  <c r="AC68" i="1"/>
  <c r="H37" i="8"/>
  <c r="H72" i="8" s="1"/>
  <c r="AD154" i="1"/>
  <c r="AD89" i="1"/>
  <c r="AD148" i="1"/>
  <c r="T156" i="1"/>
  <c r="H83" i="8"/>
  <c r="Y148" i="1"/>
  <c r="Y89" i="1"/>
  <c r="Y154" i="1"/>
  <c r="Y146" i="1"/>
  <c r="M31" i="8"/>
  <c r="BL9" i="8"/>
  <c r="T240" i="4"/>
  <c r="T242" i="4" s="1"/>
  <c r="AX272" i="1"/>
  <c r="W237" i="4"/>
  <c r="U154" i="1"/>
  <c r="U146" i="1"/>
  <c r="U148" i="1"/>
  <c r="U159" i="1" s="1"/>
  <c r="I31" i="8"/>
  <c r="U89" i="1"/>
  <c r="BM350" i="1"/>
  <c r="BJ350" i="1"/>
  <c r="L73" i="8"/>
  <c r="BM213" i="1"/>
  <c r="BJ213" i="1"/>
  <c r="Z156" i="1"/>
  <c r="BL249" i="4"/>
  <c r="BJ60" i="4"/>
  <c r="BL247" i="4"/>
  <c r="BJ59" i="4"/>
  <c r="BL251" i="4"/>
  <c r="BJ61" i="4"/>
  <c r="W240" i="4"/>
  <c r="BX254" i="4" l="1"/>
  <c r="BV63" i="4"/>
  <c r="AP43" i="8"/>
  <c r="BV214" i="1"/>
  <c r="BY214" i="1"/>
  <c r="U81" i="4"/>
  <c r="BM119" i="4"/>
  <c r="BA9" i="8"/>
  <c r="BA51" i="8" s="1"/>
  <c r="AX9" i="8"/>
  <c r="AX51" i="8" s="1"/>
  <c r="V157" i="1"/>
  <c r="BN9" i="8"/>
  <c r="BQ348" i="1"/>
  <c r="BU348" i="1" s="1"/>
  <c r="BN348" i="1"/>
  <c r="V80" i="4"/>
  <c r="V168" i="1"/>
  <c r="AC146" i="1"/>
  <c r="AC40" i="1"/>
  <c r="AD40" i="1" s="1"/>
  <c r="J82" i="8"/>
  <c r="N69" i="8"/>
  <c r="R69" i="8"/>
  <c r="Q68" i="8"/>
  <c r="J34" i="8"/>
  <c r="J70" i="8" s="1"/>
  <c r="V147" i="1"/>
  <c r="J38" i="8"/>
  <c r="J73" i="8" s="1"/>
  <c r="V159" i="1"/>
  <c r="V72" i="1"/>
  <c r="AT17" i="8"/>
  <c r="AT59" i="8" s="1"/>
  <c r="BF271" i="1"/>
  <c r="BF272" i="1" s="1"/>
  <c r="BF274" i="1"/>
  <c r="AT17" i="51" s="1"/>
  <c r="AT58" i="51" s="1"/>
  <c r="BJ273" i="1"/>
  <c r="BJ271" i="1" s="1"/>
  <c r="BJ272" i="1" s="1"/>
  <c r="AD157" i="1"/>
  <c r="R38" i="8"/>
  <c r="M38" i="8"/>
  <c r="U167" i="1"/>
  <c r="BM9" i="8" s="1"/>
  <c r="I36" i="8"/>
  <c r="R36" i="8"/>
  <c r="M36" i="8"/>
  <c r="M34" i="8"/>
  <c r="M83" i="8" s="1"/>
  <c r="BV28" i="8"/>
  <c r="T175" i="1"/>
  <c r="T176" i="1" s="1"/>
  <c r="T84" i="4"/>
  <c r="BQ349" i="1"/>
  <c r="BU349" i="1" s="1"/>
  <c r="BJ119" i="4"/>
  <c r="BN349" i="1"/>
  <c r="AB175" i="1"/>
  <c r="AB180" i="1" s="1"/>
  <c r="BN296" i="1"/>
  <c r="BQ296" i="1"/>
  <c r="BU296" i="1" s="1"/>
  <c r="BN295" i="1"/>
  <c r="BQ295" i="1"/>
  <c r="Z83" i="4"/>
  <c r="Z74" i="1" s="1"/>
  <c r="U72" i="1"/>
  <c r="U80" i="4"/>
  <c r="AS59" i="8"/>
  <c r="AC69" i="1"/>
  <c r="AC71" i="1" s="1"/>
  <c r="AC81" i="4"/>
  <c r="BQ267" i="1"/>
  <c r="BU267" i="1" s="1"/>
  <c r="BM273" i="1"/>
  <c r="X180" i="1"/>
  <c r="BN267" i="1"/>
  <c r="AC199" i="1"/>
  <c r="Q31" i="8"/>
  <c r="AC154" i="1"/>
  <c r="AC148" i="1"/>
  <c r="AC192" i="1"/>
  <c r="AC89" i="1"/>
  <c r="BI271" i="1"/>
  <c r="BI272" i="1" s="1"/>
  <c r="BJ268" i="1"/>
  <c r="AX16" i="51" s="1"/>
  <c r="AX54" i="51" s="1"/>
  <c r="AW17" i="8"/>
  <c r="AW59" i="8" s="1"/>
  <c r="AD72" i="1"/>
  <c r="AD204" i="1"/>
  <c r="R34" i="8"/>
  <c r="Y237" i="4"/>
  <c r="Y240" i="4" s="1"/>
  <c r="Y242" i="4" s="1"/>
  <c r="AD237" i="4"/>
  <c r="AD145" i="1"/>
  <c r="AD29" i="5"/>
  <c r="AD37" i="5" s="1"/>
  <c r="AD198" i="1"/>
  <c r="AD147" i="1"/>
  <c r="AD158" i="1" s="1"/>
  <c r="AD83" i="4"/>
  <c r="AD74" i="1" s="1"/>
  <c r="AD159" i="1"/>
  <c r="R82" i="8"/>
  <c r="N72" i="8"/>
  <c r="Y157" i="1"/>
  <c r="V156" i="1"/>
  <c r="M82" i="8"/>
  <c r="I69" i="8"/>
  <c r="I82" i="8"/>
  <c r="Y80" i="4"/>
  <c r="Y72" i="1"/>
  <c r="Y159" i="1"/>
  <c r="Y145" i="1"/>
  <c r="M37" i="8" s="1"/>
  <c r="Y147" i="1"/>
  <c r="Y29" i="5"/>
  <c r="Y37" i="5" s="1"/>
  <c r="U157" i="1"/>
  <c r="I38" i="8"/>
  <c r="I73" i="8" s="1"/>
  <c r="U168" i="1"/>
  <c r="M69" i="8"/>
  <c r="U145" i="1"/>
  <c r="I37" i="8" s="1"/>
  <c r="I72" i="8" s="1"/>
  <c r="U147" i="1"/>
  <c r="U158" i="1" s="1"/>
  <c r="U29" i="5"/>
  <c r="U37" i="5" s="1"/>
  <c r="I34" i="8"/>
  <c r="I70" i="8" s="1"/>
  <c r="BQ350" i="1"/>
  <c r="BU350" i="1" s="1"/>
  <c r="BN350" i="1"/>
  <c r="BN213" i="1"/>
  <c r="BQ213" i="1"/>
  <c r="BU213" i="1" s="1"/>
  <c r="BM251" i="4"/>
  <c r="BL61" i="4"/>
  <c r="BM247" i="4"/>
  <c r="BL59" i="4"/>
  <c r="BM249" i="4"/>
  <c r="BL60" i="4"/>
  <c r="BU295" i="1" l="1"/>
  <c r="BY348" i="1"/>
  <c r="BZ348" i="1" s="1"/>
  <c r="BV348" i="1"/>
  <c r="BY296" i="1"/>
  <c r="BZ296" i="1" s="1"/>
  <c r="BV296" i="1"/>
  <c r="BY350" i="1"/>
  <c r="BZ350" i="1" s="1"/>
  <c r="BV350" i="1"/>
  <c r="BZ214" i="1"/>
  <c r="BY267" i="1"/>
  <c r="BU273" i="1"/>
  <c r="BV267" i="1"/>
  <c r="BY213" i="1"/>
  <c r="BU119" i="4"/>
  <c r="BV213" i="1"/>
  <c r="BV349" i="1"/>
  <c r="BY349" i="1"/>
  <c r="BZ349" i="1" s="1"/>
  <c r="BX63" i="4"/>
  <c r="BY254" i="4"/>
  <c r="BR296" i="1"/>
  <c r="BQ119" i="4"/>
  <c r="BE9" i="8"/>
  <c r="BE51" i="8" s="1"/>
  <c r="BB9" i="8"/>
  <c r="BB51" i="8" s="1"/>
  <c r="Q38" i="8"/>
  <c r="V83" i="4"/>
  <c r="V74" i="1" s="1"/>
  <c r="BR348" i="1"/>
  <c r="AC157" i="1"/>
  <c r="V158" i="1"/>
  <c r="N73" i="8"/>
  <c r="N70" i="8"/>
  <c r="J83" i="8"/>
  <c r="R70" i="8"/>
  <c r="Q69" i="8"/>
  <c r="R73" i="8"/>
  <c r="AT43" i="8"/>
  <c r="BR295" i="1"/>
  <c r="BJ274" i="1"/>
  <c r="AX17" i="51" s="1"/>
  <c r="AX58" i="51" s="1"/>
  <c r="AX17" i="8"/>
  <c r="BN273" i="1"/>
  <c r="BN274" i="1" s="1"/>
  <c r="BB17" i="51" s="1"/>
  <c r="BB58" i="51" s="1"/>
  <c r="T178" i="1"/>
  <c r="T177" i="1"/>
  <c r="BL12" i="8" s="1"/>
  <c r="BN119" i="4"/>
  <c r="Q36" i="8"/>
  <c r="Q34" i="8"/>
  <c r="T180" i="1"/>
  <c r="BU28" i="8"/>
  <c r="BR349" i="1"/>
  <c r="U83" i="4"/>
  <c r="U74" i="1" s="1"/>
  <c r="Z175" i="1"/>
  <c r="Z180" i="1" s="1"/>
  <c r="BR267" i="1"/>
  <c r="AC159" i="1"/>
  <c r="BQ273" i="1"/>
  <c r="Q82" i="8"/>
  <c r="BR350" i="1"/>
  <c r="BM271" i="1"/>
  <c r="BM272" i="1" s="1"/>
  <c r="BA17" i="8"/>
  <c r="BA43" i="8" s="1"/>
  <c r="BN268" i="1"/>
  <c r="BB16" i="51" s="1"/>
  <c r="BB54" i="51" s="1"/>
  <c r="AD239" i="4"/>
  <c r="AC239" i="4" s="1"/>
  <c r="AE239" i="4" s="1"/>
  <c r="AC145" i="1"/>
  <c r="Q37" i="8" s="1"/>
  <c r="Q72" i="8" s="1"/>
  <c r="AC147" i="1"/>
  <c r="AC204" i="1"/>
  <c r="AC237" i="4"/>
  <c r="AE237" i="4" s="1"/>
  <c r="AC29" i="5"/>
  <c r="AC37" i="5" s="1"/>
  <c r="AC198" i="1"/>
  <c r="AW43" i="8"/>
  <c r="AC72" i="1"/>
  <c r="AC80" i="4"/>
  <c r="AA237" i="4"/>
  <c r="AD156" i="1"/>
  <c r="R37" i="8"/>
  <c r="R72" i="8" s="1"/>
  <c r="R83" i="8"/>
  <c r="AD175" i="1"/>
  <c r="Y156" i="1"/>
  <c r="Y158" i="1"/>
  <c r="I83" i="8"/>
  <c r="Y83" i="4"/>
  <c r="Y74" i="1" s="1"/>
  <c r="U156" i="1"/>
  <c r="M73" i="8"/>
  <c r="M72" i="8"/>
  <c r="M70" i="8"/>
  <c r="BR213" i="1"/>
  <c r="Q73" i="8"/>
  <c r="BN249" i="4"/>
  <c r="BM60" i="4"/>
  <c r="BN247" i="4"/>
  <c r="BM59" i="4"/>
  <c r="BN251" i="4"/>
  <c r="BM61" i="4"/>
  <c r="AA240" i="4"/>
  <c r="BU271" i="1" l="1"/>
  <c r="BU272" i="1" s="1"/>
  <c r="BV273" i="1"/>
  <c r="BY273" i="1"/>
  <c r="BZ267" i="1"/>
  <c r="BZ268" i="1" s="1"/>
  <c r="BN16" i="51" s="1"/>
  <c r="BN54" i="51" s="1"/>
  <c r="BZ254" i="4"/>
  <c r="BZ63" i="4" s="1"/>
  <c r="BY63" i="4"/>
  <c r="BV119" i="4"/>
  <c r="BY119" i="4"/>
  <c r="BZ213" i="1"/>
  <c r="BZ119" i="4" s="1"/>
  <c r="BY295" i="1"/>
  <c r="BV295" i="1"/>
  <c r="BV268" i="1"/>
  <c r="BJ16" i="51" s="1"/>
  <c r="BJ54" i="51" s="1"/>
  <c r="BR119" i="4"/>
  <c r="V175" i="1"/>
  <c r="BF9" i="8"/>
  <c r="BF51" i="8" s="1"/>
  <c r="Q70" i="8"/>
  <c r="BN271" i="1"/>
  <c r="BN272" i="1" s="1"/>
  <c r="BB17" i="8"/>
  <c r="AX59" i="8"/>
  <c r="AX43" i="8"/>
  <c r="BQ271" i="1"/>
  <c r="BQ272" i="1" s="1"/>
  <c r="Q83" i="8"/>
  <c r="BR273" i="1"/>
  <c r="X84" i="4"/>
  <c r="V84" i="4"/>
  <c r="U84" i="4"/>
  <c r="U175" i="1"/>
  <c r="U176" i="1" s="1"/>
  <c r="BR268" i="1"/>
  <c r="BF16" i="51" s="1"/>
  <c r="BF54" i="51" s="1"/>
  <c r="BE17" i="8"/>
  <c r="BE59" i="8" s="1"/>
  <c r="AC158" i="1"/>
  <c r="BA59" i="8"/>
  <c r="AC156" i="1"/>
  <c r="AC240" i="4"/>
  <c r="AC242" i="4" s="1"/>
  <c r="AC83" i="4"/>
  <c r="AC74" i="1" s="1"/>
  <c r="AD180" i="1"/>
  <c r="Y84" i="4"/>
  <c r="Z84" i="4"/>
  <c r="AB84" i="4"/>
  <c r="Y175" i="1"/>
  <c r="AB176" i="1" s="1"/>
  <c r="BP251" i="4"/>
  <c r="BN61" i="4"/>
  <c r="BP247" i="4"/>
  <c r="BN59" i="4"/>
  <c r="BP249" i="4"/>
  <c r="BN60" i="4"/>
  <c r="BZ295" i="1" l="1"/>
  <c r="BY271" i="1"/>
  <c r="BZ273" i="1"/>
  <c r="BV274" i="1"/>
  <c r="BJ17" i="51" s="1"/>
  <c r="BJ58" i="51" s="1"/>
  <c r="BV271" i="1"/>
  <c r="BV272" i="1" s="1"/>
  <c r="V180" i="1"/>
  <c r="BB59" i="8"/>
  <c r="BB43" i="8"/>
  <c r="BR271" i="1"/>
  <c r="BR272" i="1" s="1"/>
  <c r="X176" i="1"/>
  <c r="X178" i="1" s="1"/>
  <c r="BR274" i="1"/>
  <c r="BF17" i="51" s="1"/>
  <c r="BF58" i="51" s="1"/>
  <c r="BF17" i="8"/>
  <c r="BF59" i="8" s="1"/>
  <c r="BE43" i="8"/>
  <c r="U180" i="1"/>
  <c r="AE240" i="4"/>
  <c r="AD84" i="4"/>
  <c r="AD96" i="4" s="1"/>
  <c r="AC84" i="4"/>
  <c r="AC175" i="1"/>
  <c r="AC176" i="1" s="1"/>
  <c r="AD176" i="1" s="1"/>
  <c r="Y176" i="1"/>
  <c r="Y180" i="1"/>
  <c r="AB178" i="1"/>
  <c r="V176" i="1"/>
  <c r="U177" i="1"/>
  <c r="U178" i="1"/>
  <c r="BQ249" i="4"/>
  <c r="BP60" i="4"/>
  <c r="BQ247" i="4"/>
  <c r="BP59" i="4"/>
  <c r="BQ251" i="4"/>
  <c r="BP61" i="4"/>
  <c r="BZ274" i="1" l="1"/>
  <c r="BN17" i="51" s="1"/>
  <c r="BN58" i="51" s="1"/>
  <c r="BZ271" i="1"/>
  <c r="BZ272" i="1" s="1"/>
  <c r="BY272" i="1"/>
  <c r="BF43" i="8"/>
  <c r="AC180" i="1"/>
  <c r="AC178" i="1"/>
  <c r="Z176" i="1"/>
  <c r="Z178" i="1" s="1"/>
  <c r="Y178" i="1"/>
  <c r="BM12" i="8"/>
  <c r="V177" i="1"/>
  <c r="V178" i="1"/>
  <c r="BR251" i="4"/>
  <c r="BT251" i="4" s="1"/>
  <c r="BQ61" i="4"/>
  <c r="BR247" i="4"/>
  <c r="BT247" i="4" s="1"/>
  <c r="BQ59" i="4"/>
  <c r="BR249" i="4"/>
  <c r="BT249" i="4" s="1"/>
  <c r="BQ60" i="4"/>
  <c r="BU251" i="4" l="1"/>
  <c r="BT61" i="4"/>
  <c r="BU249" i="4"/>
  <c r="BT60" i="4"/>
  <c r="BT59" i="4"/>
  <c r="BU247" i="4"/>
  <c r="BR60" i="4"/>
  <c r="BR59" i="4"/>
  <c r="BR61" i="4"/>
  <c r="BN12" i="8"/>
  <c r="BV247" i="4" l="1"/>
  <c r="BU59" i="4"/>
  <c r="BV249" i="4"/>
  <c r="BU60" i="4"/>
  <c r="BU61" i="4"/>
  <c r="BV251" i="4"/>
  <c r="BX251" i="4" l="1"/>
  <c r="BV61" i="4"/>
  <c r="BX249" i="4"/>
  <c r="BV60" i="4"/>
  <c r="BX247" i="4"/>
  <c r="BV59" i="4"/>
  <c r="AF26" i="4"/>
  <c r="BY247" i="4" l="1"/>
  <c r="BX59" i="4"/>
  <c r="BY249" i="4"/>
  <c r="BX60" i="4"/>
  <c r="BX61" i="4"/>
  <c r="BY251" i="4"/>
  <c r="AF60" i="5"/>
  <c r="BZ251" i="4" l="1"/>
  <c r="BZ61" i="4" s="1"/>
  <c r="BY61" i="4"/>
  <c r="BY60" i="4"/>
  <c r="BZ249" i="4"/>
  <c r="BZ60" i="4" s="1"/>
  <c r="BZ247" i="4"/>
  <c r="BZ59" i="4" s="1"/>
  <c r="BY59" i="4"/>
  <c r="AR194" i="4" l="1"/>
  <c r="AS194" i="4" l="1"/>
  <c r="AR26" i="4"/>
  <c r="AS26" i="4" l="1"/>
  <c r="AT194" i="4"/>
  <c r="AT195" i="4" s="1"/>
  <c r="AV194" i="4"/>
  <c r="AT26" i="4" l="1"/>
  <c r="AV26" i="4"/>
  <c r="AW194" i="4"/>
  <c r="AW26" i="4" l="1"/>
  <c r="AX194" i="4"/>
  <c r="AX195" i="4" s="1"/>
  <c r="AZ194" i="4"/>
  <c r="AZ26" i="4" l="1"/>
  <c r="BA194" i="4"/>
  <c r="AX26" i="4"/>
  <c r="BA26" i="4" l="1"/>
  <c r="BD194" i="4"/>
  <c r="BB194" i="4"/>
  <c r="BB195" i="4" s="1"/>
  <c r="BB26" i="4" l="1"/>
  <c r="BD26" i="4"/>
  <c r="BE194" i="4"/>
  <c r="BE26" i="4" l="1"/>
  <c r="BH194" i="4"/>
  <c r="BF194" i="4"/>
  <c r="BF195" i="4" s="1"/>
  <c r="BF26" i="4" l="1"/>
  <c r="BH26" i="4"/>
  <c r="BI194" i="4"/>
  <c r="BI26" i="4" l="1"/>
  <c r="BL194" i="4"/>
  <c r="BJ194" i="4"/>
  <c r="BJ195" i="4" s="1"/>
  <c r="BJ26" i="4" l="1"/>
  <c r="BL26" i="4"/>
  <c r="BM194" i="4"/>
  <c r="BM26" i="4" l="1"/>
  <c r="BN194" i="4"/>
  <c r="BN195" i="4" s="1"/>
  <c r="BP194" i="4"/>
  <c r="BN26" i="4" l="1"/>
  <c r="BP26" i="4"/>
  <c r="BQ194" i="4"/>
  <c r="BT194" i="4" s="1"/>
  <c r="BU194" i="4" l="1"/>
  <c r="BT26" i="4"/>
  <c r="BQ26" i="4"/>
  <c r="BR194" i="4"/>
  <c r="BR195" i="4" s="1"/>
  <c r="BX194" i="4" l="1"/>
  <c r="BV194" i="4"/>
  <c r="BU26" i="4"/>
  <c r="BR26" i="4"/>
  <c r="BV195" i="4" l="1"/>
  <c r="BV26" i="4"/>
  <c r="BY194" i="4"/>
  <c r="BX26" i="4"/>
  <c r="AF45" i="4"/>
  <c r="BZ194" i="4" l="1"/>
  <c r="BY26" i="4"/>
  <c r="BX68" i="8"/>
  <c r="AF62" i="5"/>
  <c r="BZ195" i="4" l="1"/>
  <c r="BZ26" i="4"/>
  <c r="A26" i="4" s="1" a="1"/>
  <c r="A26" i="4" s="1"/>
  <c r="AF27" i="4" l="1"/>
  <c r="AF24" i="4"/>
  <c r="BX52" i="8" l="1"/>
  <c r="AF33" i="4"/>
  <c r="BX56" i="8" l="1"/>
  <c r="AF33" i="5"/>
  <c r="AJ84" i="5"/>
  <c r="CB69" i="8" l="1"/>
  <c r="AH132" i="5"/>
  <c r="BZ69" i="8" l="1"/>
  <c r="Y6" i="1" l="1"/>
  <c r="X6" i="1"/>
  <c r="X141" i="1" s="1"/>
  <c r="AB6" i="1" l="1"/>
  <c r="X172" i="1"/>
  <c r="X174" i="1" s="1"/>
  <c r="X177" i="1" s="1"/>
  <c r="AC6" i="1"/>
  <c r="Z6" i="1"/>
  <c r="BP12" i="8" l="1"/>
  <c r="Z172" i="1"/>
  <c r="Z174" i="1" s="1"/>
  <c r="Z177" i="1" s="1"/>
  <c r="AB141" i="1"/>
  <c r="Y127" i="1"/>
  <c r="AD6" i="1"/>
  <c r="AD141" i="1" s="1"/>
  <c r="X127" i="1"/>
  <c r="AF6" i="1"/>
  <c r="AG6" i="1"/>
  <c r="AK6" i="1" l="1"/>
  <c r="AB172" i="1"/>
  <c r="AB174" i="1" s="1"/>
  <c r="AB177" i="1" s="1"/>
  <c r="BT12" i="8" s="1"/>
  <c r="AB186" i="1"/>
  <c r="X196" i="1"/>
  <c r="BP16" i="8" s="1"/>
  <c r="X190" i="1"/>
  <c r="AB127" i="1"/>
  <c r="AB164" i="1" s="1"/>
  <c r="Z127" i="1"/>
  <c r="Y168" i="1"/>
  <c r="X168" i="1"/>
  <c r="Y167" i="1"/>
  <c r="Y165" i="1"/>
  <c r="Y166" i="1"/>
  <c r="Y163" i="1"/>
  <c r="Y164" i="1"/>
  <c r="X167" i="1"/>
  <c r="X164" i="1"/>
  <c r="X165" i="1"/>
  <c r="X166" i="1"/>
  <c r="X163" i="1"/>
  <c r="Y99" i="1"/>
  <c r="AF9" i="5"/>
  <c r="AJ6" i="1"/>
  <c r="AJ5" i="1" s="1"/>
  <c r="X99" i="1"/>
  <c r="Y131" i="1"/>
  <c r="Z141" i="1"/>
  <c r="AC131" i="1"/>
  <c r="AC127" i="1"/>
  <c r="AF127" i="1"/>
  <c r="AH6" i="1"/>
  <c r="BP11" i="8" l="1"/>
  <c r="BQ11" i="8"/>
  <c r="AL6" i="1"/>
  <c r="AK5" i="1"/>
  <c r="AL5" i="1" s="1"/>
  <c r="AL4" i="1" s="1"/>
  <c r="AL269" i="1" s="1"/>
  <c r="AH127" i="1"/>
  <c r="AH172" i="1"/>
  <c r="AG127" i="1"/>
  <c r="AG172" i="1"/>
  <c r="BU20" i="8"/>
  <c r="AC185" i="1"/>
  <c r="AD172" i="1"/>
  <c r="AD186" i="1"/>
  <c r="AB165" i="1"/>
  <c r="AB166" i="1"/>
  <c r="BT10" i="8" s="1"/>
  <c r="BP15" i="8"/>
  <c r="BQ20" i="8"/>
  <c r="Y195" i="1"/>
  <c r="Y196" i="1" s="1"/>
  <c r="Y189" i="1"/>
  <c r="AB168" i="1"/>
  <c r="Z99" i="1"/>
  <c r="BR18" i="8" s="1"/>
  <c r="Z196" i="1"/>
  <c r="Z190" i="1"/>
  <c r="AB99" i="1"/>
  <c r="Z165" i="1"/>
  <c r="Z164" i="1"/>
  <c r="Z166" i="1"/>
  <c r="BR10" i="8" s="1"/>
  <c r="AB167" i="1"/>
  <c r="Z167" i="1"/>
  <c r="AB163" i="1"/>
  <c r="BP18" i="8"/>
  <c r="BQ10" i="8"/>
  <c r="BP9" i="8"/>
  <c r="BQ18" i="8"/>
  <c r="BP10" i="8"/>
  <c r="BQ9" i="8"/>
  <c r="AC172" i="1"/>
  <c r="AC174" i="1" s="1"/>
  <c r="AC177" i="1" s="1"/>
  <c r="AC195" i="1"/>
  <c r="AC189" i="1"/>
  <c r="Z163" i="1"/>
  <c r="Y172" i="1"/>
  <c r="Y174" i="1" s="1"/>
  <c r="Y177" i="1" s="1"/>
  <c r="AB196" i="1"/>
  <c r="AB190" i="1"/>
  <c r="Z168" i="1"/>
  <c r="AC168" i="1"/>
  <c r="AF166" i="1"/>
  <c r="AF163" i="1"/>
  <c r="AF164" i="1"/>
  <c r="AC163" i="1"/>
  <c r="AC164" i="1"/>
  <c r="AC165" i="1"/>
  <c r="AC167" i="1"/>
  <c r="AC166" i="1"/>
  <c r="Y141" i="1"/>
  <c r="AC141" i="1"/>
  <c r="AF165" i="1"/>
  <c r="AN6" i="1"/>
  <c r="AR6" i="1" s="1"/>
  <c r="AV6" i="1" s="1"/>
  <c r="AZ6" i="1" s="1"/>
  <c r="BD6" i="1" s="1"/>
  <c r="BH6" i="1" s="1"/>
  <c r="BL6" i="1" s="1"/>
  <c r="BP6" i="1" s="1"/>
  <c r="BT6" i="1" s="1"/>
  <c r="AC99" i="1"/>
  <c r="AF99" i="1"/>
  <c r="AD127" i="1"/>
  <c r="AD196" i="1" s="1"/>
  <c r="AO6" i="1"/>
  <c r="BT9" i="5" l="1"/>
  <c r="BX6" i="1"/>
  <c r="BT9" i="4"/>
  <c r="BT5" i="1"/>
  <c r="AO127" i="1"/>
  <c r="AO172" i="1"/>
  <c r="BX11" i="8"/>
  <c r="BR11" i="8"/>
  <c r="BT11" i="8"/>
  <c r="BU11" i="8"/>
  <c r="AK127" i="1"/>
  <c r="AK172" i="1"/>
  <c r="AL172" i="1"/>
  <c r="AL127" i="1"/>
  <c r="AG165" i="1"/>
  <c r="AG164" i="1"/>
  <c r="AG163" i="1"/>
  <c r="BY11" i="8" s="1"/>
  <c r="AG99" i="1"/>
  <c r="AH165" i="1"/>
  <c r="AH163" i="1"/>
  <c r="BZ11" i="8" s="1"/>
  <c r="AH164" i="1"/>
  <c r="AH99" i="1"/>
  <c r="AC186" i="1"/>
  <c r="BQ14" i="8"/>
  <c r="BR15" i="8"/>
  <c r="BQ13" i="8"/>
  <c r="Y190" i="1"/>
  <c r="BR9" i="8"/>
  <c r="BX10" i="8"/>
  <c r="BU10" i="8"/>
  <c r="BR16" i="8"/>
  <c r="BU12" i="8"/>
  <c r="AC190" i="1"/>
  <c r="AC196" i="1"/>
  <c r="AD168" i="1"/>
  <c r="AD167" i="1"/>
  <c r="AD164" i="1"/>
  <c r="AD165" i="1"/>
  <c r="AD163" i="1"/>
  <c r="AD166" i="1"/>
  <c r="AJ4" i="1"/>
  <c r="AJ269" i="1" s="1"/>
  <c r="AD99" i="1"/>
  <c r="AS6" i="1"/>
  <c r="AP6" i="1"/>
  <c r="BX9" i="4" l="1"/>
  <c r="BX5" i="1"/>
  <c r="BX9" i="5"/>
  <c r="BT8" i="4"/>
  <c r="BT8" i="5"/>
  <c r="AP127" i="1"/>
  <c r="AP172" i="1"/>
  <c r="AO163" i="1"/>
  <c r="AO164" i="1"/>
  <c r="AO165" i="1"/>
  <c r="AO99" i="1"/>
  <c r="BV11" i="8"/>
  <c r="AL164" i="1"/>
  <c r="AL165" i="1"/>
  <c r="AL163" i="1"/>
  <c r="CD11" i="8" s="1"/>
  <c r="AL99" i="1"/>
  <c r="AL168" i="1"/>
  <c r="AL166" i="1"/>
  <c r="AL167" i="1"/>
  <c r="AK165" i="1"/>
  <c r="AK163" i="1"/>
  <c r="CC11" i="8" s="1"/>
  <c r="AK99" i="1"/>
  <c r="AK164" i="1"/>
  <c r="AR127" i="1"/>
  <c r="AS127" i="1" s="1"/>
  <c r="BQ15" i="8"/>
  <c r="BV10" i="8"/>
  <c r="BQ16" i="8"/>
  <c r="AW6" i="1"/>
  <c r="AT6" i="1"/>
  <c r="BX8" i="5" l="1"/>
  <c r="BX8" i="4"/>
  <c r="AP163" i="1"/>
  <c r="AP165" i="1"/>
  <c r="AP164" i="1"/>
  <c r="AP99" i="1"/>
  <c r="AV127" i="1"/>
  <c r="AW127" i="1" s="1"/>
  <c r="AT127" i="1"/>
  <c r="BA6" i="1"/>
  <c r="AX6" i="1"/>
  <c r="AZ127" i="1" l="1"/>
  <c r="BA127" i="1" s="1"/>
  <c r="AX127" i="1"/>
  <c r="BE6" i="1"/>
  <c r="BB6" i="1"/>
  <c r="BB127" i="1" l="1"/>
  <c r="BD127" i="1"/>
  <c r="BE127" i="1" s="1"/>
  <c r="BF6" i="1"/>
  <c r="BI6" i="1"/>
  <c r="BH127" i="1" l="1"/>
  <c r="BI127" i="1" s="1"/>
  <c r="BF127" i="1"/>
  <c r="BM6" i="1"/>
  <c r="BJ6" i="1"/>
  <c r="BJ127" i="1" l="1"/>
  <c r="BL127" i="1"/>
  <c r="BM127" i="1" s="1"/>
  <c r="BN6" i="1"/>
  <c r="BQ6" i="1"/>
  <c r="BU6" i="1" s="1"/>
  <c r="BV6" i="1" l="1"/>
  <c r="BU9" i="5"/>
  <c r="BY6" i="1"/>
  <c r="BU9" i="4"/>
  <c r="BU5" i="1"/>
  <c r="BR6" i="1"/>
  <c r="BN127" i="1"/>
  <c r="BP127" i="1"/>
  <c r="BQ127" i="1" s="1"/>
  <c r="BT127" i="1" s="1"/>
  <c r="BU8" i="4" l="1"/>
  <c r="BU8" i="5"/>
  <c r="BV5" i="1"/>
  <c r="BT113" i="1"/>
  <c r="BU127" i="1"/>
  <c r="BT108" i="1"/>
  <c r="BZ6" i="1"/>
  <c r="BY9" i="4"/>
  <c r="BY5" i="1"/>
  <c r="BY9" i="5"/>
  <c r="BV9" i="5"/>
  <c r="BV9" i="4"/>
  <c r="BR127" i="1"/>
  <c r="BY8" i="5" l="1"/>
  <c r="BY8" i="4"/>
  <c r="BZ5" i="1"/>
  <c r="BX127" i="1"/>
  <c r="BU108" i="1"/>
  <c r="BU113" i="1"/>
  <c r="BV127" i="1"/>
  <c r="BV113" i="1" s="1"/>
  <c r="BV4" i="1"/>
  <c r="BV8" i="5"/>
  <c r="BV8" i="4"/>
  <c r="BT4" i="1"/>
  <c r="BZ9" i="5"/>
  <c r="BZ9" i="4"/>
  <c r="BU4" i="1"/>
  <c r="BT7" i="4" l="1"/>
  <c r="BT153" i="4" s="1"/>
  <c r="BT7" i="5"/>
  <c r="BV7" i="4"/>
  <c r="BV7" i="5"/>
  <c r="BX113" i="1"/>
  <c r="BY127" i="1"/>
  <c r="BX108" i="1"/>
  <c r="BZ4" i="1"/>
  <c r="BZ8" i="5"/>
  <c r="BZ8" i="4"/>
  <c r="BX4" i="1"/>
  <c r="BU7" i="4"/>
  <c r="BU153" i="4" s="1"/>
  <c r="BU7" i="5"/>
  <c r="BY4" i="1"/>
  <c r="BZ7" i="5" l="1"/>
  <c r="BZ7" i="4"/>
  <c r="BY108" i="1"/>
  <c r="BZ127" i="1"/>
  <c r="BZ113" i="1" s="1"/>
  <c r="BY113" i="1"/>
  <c r="BX7" i="5"/>
  <c r="BX7" i="4"/>
  <c r="BX153" i="4" s="1"/>
  <c r="BY7" i="5"/>
  <c r="BY7" i="4"/>
  <c r="BY153" i="4" s="1"/>
  <c r="BY75" i="4" s="1"/>
  <c r="BU75" i="4"/>
  <c r="BT75" i="4"/>
  <c r="BV153" i="4"/>
  <c r="BX75" i="4" l="1"/>
  <c r="BZ153" i="4"/>
  <c r="BV75" i="4"/>
  <c r="BZ75" i="4" l="1"/>
  <c r="D5" i="1" l="1"/>
  <c r="E5" i="1"/>
  <c r="T5" i="1"/>
  <c r="U5" i="1"/>
  <c r="X5" i="1"/>
  <c r="Y5" i="1"/>
  <c r="Y8" i="4" s="1"/>
  <c r="AB5" i="1"/>
  <c r="AB8" i="4" s="1"/>
  <c r="AF5" i="1"/>
  <c r="AF8" i="5" s="1"/>
  <c r="AG5" i="1"/>
  <c r="AG8" i="4" s="1"/>
  <c r="AK8" i="4"/>
  <c r="F6" i="1"/>
  <c r="V9" i="5"/>
  <c r="AL9" i="4"/>
  <c r="AO9" i="4"/>
  <c r="AR128" i="1"/>
  <c r="AS128" i="1"/>
  <c r="AV128" i="1"/>
  <c r="AW128" i="1"/>
  <c r="AZ128" i="1"/>
  <c r="BA128" i="1"/>
  <c r="BD128" i="1"/>
  <c r="BE128" i="1"/>
  <c r="BH128" i="1"/>
  <c r="BI128" i="1"/>
  <c r="BL128" i="1"/>
  <c r="BM128" i="1"/>
  <c r="BP128" i="1"/>
  <c r="BQ128" i="1"/>
  <c r="T9" i="5"/>
  <c r="U9" i="5"/>
  <c r="X9" i="5"/>
  <c r="Y9" i="5"/>
  <c r="AB9" i="5"/>
  <c r="AC9" i="5"/>
  <c r="AG9" i="5"/>
  <c r="AJ9" i="5"/>
  <c r="AK9" i="5"/>
  <c r="T10" i="5"/>
  <c r="U10" i="5"/>
  <c r="V10" i="5"/>
  <c r="X10" i="5"/>
  <c r="Y10" i="5"/>
  <c r="Z10" i="5"/>
  <c r="AB10" i="5"/>
  <c r="AC10" i="5"/>
  <c r="AD10" i="5"/>
  <c r="AG10" i="5"/>
  <c r="AH10" i="5"/>
  <c r="AJ10" i="5"/>
  <c r="AK10" i="5"/>
  <c r="AL10" i="5"/>
  <c r="AN10" i="5"/>
  <c r="AO10" i="5"/>
  <c r="AP10" i="5"/>
  <c r="AR10" i="5"/>
  <c r="AS10" i="5"/>
  <c r="AT10" i="5"/>
  <c r="AV10" i="5"/>
  <c r="AW10" i="5"/>
  <c r="AX10" i="5"/>
  <c r="AZ10" i="5"/>
  <c r="BA10" i="5"/>
  <c r="BB10" i="5"/>
  <c r="BD10" i="5"/>
  <c r="BE10" i="5"/>
  <c r="BF10" i="5"/>
  <c r="BH10" i="5"/>
  <c r="BI10" i="5"/>
  <c r="BJ10" i="5"/>
  <c r="BL10" i="5"/>
  <c r="BM10" i="5"/>
  <c r="BN10" i="5"/>
  <c r="BP10" i="5"/>
  <c r="BQ10" i="5"/>
  <c r="BR10" i="5"/>
  <c r="T9" i="4"/>
  <c r="U9" i="4"/>
  <c r="X9" i="4"/>
  <c r="Y9" i="4"/>
  <c r="AB9" i="4"/>
  <c r="AC9" i="4"/>
  <c r="AF9" i="4"/>
  <c r="AG9" i="4"/>
  <c r="AJ9" i="4"/>
  <c r="AK9" i="4"/>
  <c r="T10" i="4"/>
  <c r="U10" i="4"/>
  <c r="V10" i="4"/>
  <c r="X10" i="4"/>
  <c r="Y10" i="4"/>
  <c r="Z10" i="4"/>
  <c r="AB10" i="4"/>
  <c r="AC10" i="4"/>
  <c r="AD10" i="4"/>
  <c r="AF10" i="4"/>
  <c r="AG10" i="4"/>
  <c r="AH10" i="4"/>
  <c r="AJ10" i="4"/>
  <c r="AK10" i="4"/>
  <c r="AL10" i="4"/>
  <c r="AN10" i="4"/>
  <c r="AO10" i="4"/>
  <c r="AP10" i="4"/>
  <c r="AR10" i="4"/>
  <c r="AS10" i="4"/>
  <c r="AT10" i="4"/>
  <c r="AV10" i="4"/>
  <c r="AW10" i="4"/>
  <c r="AX10" i="4"/>
  <c r="AZ10" i="4"/>
  <c r="BA10" i="4"/>
  <c r="BB10" i="4"/>
  <c r="BD10" i="4"/>
  <c r="BE10" i="4"/>
  <c r="BF10" i="4"/>
  <c r="BH10" i="4"/>
  <c r="BI10" i="4"/>
  <c r="BJ10" i="4"/>
  <c r="BL10" i="4"/>
  <c r="BM10" i="4"/>
  <c r="BN10" i="4"/>
  <c r="BP10" i="4"/>
  <c r="BQ10" i="4"/>
  <c r="BR10" i="4"/>
  <c r="V253" i="4"/>
  <c r="H7" i="8"/>
  <c r="BL7" i="8" s="1"/>
  <c r="I7" i="8"/>
  <c r="BM7" i="8" s="1"/>
  <c r="J7" i="8"/>
  <c r="L7" i="8"/>
  <c r="BP7" i="8" s="1"/>
  <c r="M7" i="8"/>
  <c r="BQ7" i="8" s="1"/>
  <c r="N7" i="8"/>
  <c r="P7" i="8"/>
  <c r="Q7" i="8"/>
  <c r="R7" i="8"/>
  <c r="T7" i="8"/>
  <c r="U7" i="8"/>
  <c r="V7" i="8"/>
  <c r="CB7" i="8"/>
  <c r="CC7" i="8"/>
  <c r="CD7" i="8"/>
  <c r="BJ8" i="8"/>
  <c r="BZ7" i="8" l="1"/>
  <c r="V41" i="8"/>
  <c r="BU7" i="8"/>
  <c r="Q41" i="8"/>
  <c r="BY7" i="8"/>
  <c r="U41" i="8"/>
  <c r="BT7" i="8"/>
  <c r="P41" i="8"/>
  <c r="BN7" i="8"/>
  <c r="J41" i="8"/>
  <c r="J49" i="8" s="1"/>
  <c r="BX7" i="8"/>
  <c r="T41" i="8"/>
  <c r="BR7" i="8"/>
  <c r="N41" i="8"/>
  <c r="N49" i="8" s="1"/>
  <c r="BV7" i="8"/>
  <c r="R41" i="8"/>
  <c r="F172" i="1"/>
  <c r="F9" i="5"/>
  <c r="F9" i="4"/>
  <c r="E8" i="5"/>
  <c r="E8" i="4"/>
  <c r="D8" i="4"/>
  <c r="D8" i="5"/>
  <c r="V255" i="4"/>
  <c r="U253" i="4"/>
  <c r="U255" i="4" s="1"/>
  <c r="BR128" i="1"/>
  <c r="BJ128" i="1"/>
  <c r="BB128" i="1"/>
  <c r="AT128" i="1"/>
  <c r="BN128" i="1"/>
  <c r="BF128" i="1"/>
  <c r="AX128" i="1"/>
  <c r="Z245" i="4"/>
  <c r="V9" i="4"/>
  <c r="V5" i="1"/>
  <c r="V8" i="5" s="1"/>
  <c r="U8" i="4"/>
  <c r="AD9" i="5"/>
  <c r="AK8" i="5"/>
  <c r="F5" i="1"/>
  <c r="AB8" i="5"/>
  <c r="Y8" i="5"/>
  <c r="AD9" i="4"/>
  <c r="AL9" i="5"/>
  <c r="AN5" i="1"/>
  <c r="AF8" i="4"/>
  <c r="AN9" i="5"/>
  <c r="AR9" i="5"/>
  <c r="U8" i="5"/>
  <c r="AK4" i="1"/>
  <c r="AK132" i="1" s="1"/>
  <c r="AJ8" i="5"/>
  <c r="AJ8" i="4"/>
  <c r="AS9" i="5"/>
  <c r="AO9" i="5"/>
  <c r="AO5" i="1"/>
  <c r="AH5" i="1"/>
  <c r="AG8" i="5"/>
  <c r="V245" i="4"/>
  <c r="Z9" i="5"/>
  <c r="Z9" i="4"/>
  <c r="X8" i="4"/>
  <c r="X8" i="5"/>
  <c r="Z5" i="1"/>
  <c r="X4" i="1" s="1"/>
  <c r="AH9" i="4"/>
  <c r="AH9" i="5"/>
  <c r="AC8" i="5"/>
  <c r="AC8" i="4"/>
  <c r="T8" i="5"/>
  <c r="T8" i="4"/>
  <c r="AN9" i="4"/>
  <c r="R49" i="8" l="1"/>
  <c r="T49" i="8"/>
  <c r="P49" i="8"/>
  <c r="Q49" i="8"/>
  <c r="U49" i="8"/>
  <c r="V49" i="8"/>
  <c r="X469" i="1"/>
  <c r="X46" i="1"/>
  <c r="F174" i="1"/>
  <c r="X199" i="1"/>
  <c r="X192" i="1"/>
  <c r="X198" i="1"/>
  <c r="X204" i="1"/>
  <c r="BP29" i="8" s="1"/>
  <c r="F127" i="1"/>
  <c r="E131" i="1"/>
  <c r="F141" i="1"/>
  <c r="F99" i="1"/>
  <c r="F8" i="5"/>
  <c r="F8" i="4"/>
  <c r="T4" i="1"/>
  <c r="T46" i="1" s="1"/>
  <c r="U4" i="1"/>
  <c r="U46" i="1" s="1"/>
  <c r="V8" i="4"/>
  <c r="V4" i="1"/>
  <c r="F4" i="1"/>
  <c r="D4" i="1"/>
  <c r="E4" i="1"/>
  <c r="AS9" i="4"/>
  <c r="AN8" i="5"/>
  <c r="AP5" i="1"/>
  <c r="AN4" i="1" s="1"/>
  <c r="AN8" i="4"/>
  <c r="AS5" i="1"/>
  <c r="AR9" i="4"/>
  <c r="AR5" i="1"/>
  <c r="AR8" i="4" s="1"/>
  <c r="AO8" i="4"/>
  <c r="AO8" i="5"/>
  <c r="AP9" i="4"/>
  <c r="AP9" i="5"/>
  <c r="AJ7" i="4"/>
  <c r="AJ154" i="4" s="1"/>
  <c r="AJ7" i="5"/>
  <c r="AH8" i="5"/>
  <c r="AF4" i="1"/>
  <c r="AH4" i="1"/>
  <c r="AH269" i="1" s="1"/>
  <c r="AG4" i="1"/>
  <c r="AH8" i="4"/>
  <c r="AL8" i="4"/>
  <c r="AL8" i="5"/>
  <c r="X7" i="5"/>
  <c r="X7" i="4"/>
  <c r="X154" i="4" s="1"/>
  <c r="Z8" i="4"/>
  <c r="Z8" i="5"/>
  <c r="Z4" i="1"/>
  <c r="Z469" i="1" s="1"/>
  <c r="Y4" i="1"/>
  <c r="AB4" i="1"/>
  <c r="AD8" i="4"/>
  <c r="AD8" i="5"/>
  <c r="AN269" i="1" l="1"/>
  <c r="AB469" i="1"/>
  <c r="AB269" i="1"/>
  <c r="AF46" i="1"/>
  <c r="AF269" i="1"/>
  <c r="Y469" i="1"/>
  <c r="AB470" i="1" s="1"/>
  <c r="Y46" i="1"/>
  <c r="AG132" i="1"/>
  <c r="AG133" i="1"/>
  <c r="BP28" i="8"/>
  <c r="F177" i="1"/>
  <c r="AC470" i="1"/>
  <c r="AF7" i="5"/>
  <c r="BP27" i="8"/>
  <c r="E199" i="1"/>
  <c r="E192" i="1"/>
  <c r="E198" i="1"/>
  <c r="E204" i="1"/>
  <c r="V199" i="1"/>
  <c r="V192" i="1"/>
  <c r="V204" i="1"/>
  <c r="BN29" i="8" s="1"/>
  <c r="V198" i="1"/>
  <c r="T199" i="1"/>
  <c r="T192" i="1"/>
  <c r="T204" i="1"/>
  <c r="BL29" i="8" s="1"/>
  <c r="T198" i="1"/>
  <c r="F165" i="1"/>
  <c r="F196" i="1"/>
  <c r="F190" i="1"/>
  <c r="D204" i="1"/>
  <c r="D198" i="1"/>
  <c r="D199" i="1"/>
  <c r="D192" i="1"/>
  <c r="Z199" i="1"/>
  <c r="Z192" i="1"/>
  <c r="Z198" i="1"/>
  <c r="BR27" i="8" s="1"/>
  <c r="Z204" i="1"/>
  <c r="BR29" i="8" s="1"/>
  <c r="BP26" i="8"/>
  <c r="AB199" i="1"/>
  <c r="AB198" i="1"/>
  <c r="AB204" i="1"/>
  <c r="Y199" i="1"/>
  <c r="Y192" i="1"/>
  <c r="Y198" i="1"/>
  <c r="Y204" i="1"/>
  <c r="BQ29" i="8" s="1"/>
  <c r="F192" i="1"/>
  <c r="F199" i="1"/>
  <c r="F198" i="1"/>
  <c r="F204" i="1"/>
  <c r="U199" i="1"/>
  <c r="U192" i="1"/>
  <c r="U204" i="1"/>
  <c r="BM29" i="8" s="1"/>
  <c r="U198" i="1"/>
  <c r="E195" i="1"/>
  <c r="E189" i="1"/>
  <c r="F166" i="1"/>
  <c r="F167" i="1"/>
  <c r="E172" i="1"/>
  <c r="AB192" i="1"/>
  <c r="F163" i="1"/>
  <c r="F164" i="1"/>
  <c r="F168" i="1"/>
  <c r="E141" i="1"/>
  <c r="X202" i="4"/>
  <c r="X226" i="4"/>
  <c r="X208" i="4"/>
  <c r="X205" i="4"/>
  <c r="X223" i="4"/>
  <c r="X229" i="4"/>
  <c r="X211" i="4"/>
  <c r="X199" i="4"/>
  <c r="X217" i="4"/>
  <c r="X220" i="4"/>
  <c r="X122" i="4"/>
  <c r="X116" i="4"/>
  <c r="E7" i="5"/>
  <c r="E7" i="4"/>
  <c r="E154" i="4" s="1"/>
  <c r="D7" i="5"/>
  <c r="D7" i="4"/>
  <c r="D154" i="4" s="1"/>
  <c r="F7" i="4"/>
  <c r="F7" i="5"/>
  <c r="AN7" i="5"/>
  <c r="AF58" i="4"/>
  <c r="T7" i="5"/>
  <c r="T7" i="4"/>
  <c r="T154" i="4" s="1"/>
  <c r="U7" i="4"/>
  <c r="U154" i="4" s="1"/>
  <c r="V7" i="5"/>
  <c r="V7" i="4"/>
  <c r="V178" i="4" s="1"/>
  <c r="U7" i="5"/>
  <c r="AW9" i="5"/>
  <c r="AS8" i="5"/>
  <c r="AR8" i="5"/>
  <c r="AO4" i="1"/>
  <c r="AO7" i="4" s="1"/>
  <c r="AP8" i="5"/>
  <c r="AS8" i="4"/>
  <c r="AV9" i="5"/>
  <c r="AV5" i="1"/>
  <c r="AV9" i="4"/>
  <c r="AP4" i="1"/>
  <c r="AP269" i="1" s="1"/>
  <c r="AP8" i="4"/>
  <c r="AT5" i="1"/>
  <c r="AN7" i="4"/>
  <c r="AT9" i="4"/>
  <c r="AT9" i="5"/>
  <c r="AW9" i="4"/>
  <c r="AW5" i="1"/>
  <c r="AD245" i="4"/>
  <c r="AG7" i="4"/>
  <c r="AG7" i="5"/>
  <c r="AH7" i="5"/>
  <c r="AH7" i="4"/>
  <c r="AF7" i="4"/>
  <c r="AF154" i="4" s="1"/>
  <c r="AL7" i="4"/>
  <c r="AL7" i="5"/>
  <c r="AZ9" i="5"/>
  <c r="AZ9" i="4"/>
  <c r="AZ5" i="1"/>
  <c r="AK7" i="4"/>
  <c r="AK7" i="5"/>
  <c r="BA9" i="4"/>
  <c r="BA9" i="5"/>
  <c r="BA5" i="1"/>
  <c r="Y7" i="4"/>
  <c r="Y154" i="4" s="1"/>
  <c r="Y7" i="5"/>
  <c r="Z7" i="4"/>
  <c r="Z178" i="4" s="1"/>
  <c r="Z7" i="5"/>
  <c r="AC7" i="4"/>
  <c r="AC7" i="5"/>
  <c r="AB7" i="5"/>
  <c r="AB7" i="4"/>
  <c r="AD7" i="5"/>
  <c r="AD7" i="4"/>
  <c r="AO132" i="1" l="1"/>
  <c r="AO202" i="4"/>
  <c r="AO116" i="4"/>
  <c r="AO199" i="4"/>
  <c r="AR199" i="4" s="1"/>
  <c r="AO229" i="4"/>
  <c r="AO211" i="4"/>
  <c r="AO208" i="4"/>
  <c r="AO226" i="4"/>
  <c r="AO205" i="4"/>
  <c r="AO223" i="4"/>
  <c r="AO122" i="4"/>
  <c r="AO217" i="4"/>
  <c r="AO220" i="4"/>
  <c r="AO154" i="4"/>
  <c r="AN122" i="4"/>
  <c r="AN211" i="4"/>
  <c r="AN208" i="4"/>
  <c r="AN205" i="4"/>
  <c r="AN116" i="4"/>
  <c r="AN202" i="4"/>
  <c r="AN217" i="4"/>
  <c r="AN226" i="4"/>
  <c r="AN223" i="4"/>
  <c r="AN229" i="4"/>
  <c r="AN220" i="4"/>
  <c r="AN199" i="4"/>
  <c r="AN154" i="4"/>
  <c r="AL220" i="4"/>
  <c r="AL205" i="4"/>
  <c r="AL116" i="4"/>
  <c r="AL229" i="4"/>
  <c r="AL208" i="4"/>
  <c r="AL226" i="4"/>
  <c r="AL122" i="4"/>
  <c r="AL202" i="4"/>
  <c r="AL217" i="4"/>
  <c r="AL223" i="4"/>
  <c r="AL211" i="4"/>
  <c r="AL199" i="4"/>
  <c r="AK208" i="4"/>
  <c r="AK229" i="4"/>
  <c r="AK211" i="4"/>
  <c r="AK122" i="4"/>
  <c r="AK199" i="4"/>
  <c r="AK205" i="4"/>
  <c r="AK202" i="4"/>
  <c r="AK116" i="4"/>
  <c r="AK220" i="4"/>
  <c r="AK226" i="4"/>
  <c r="AK154" i="4"/>
  <c r="AK217" i="4"/>
  <c r="AK223" i="4"/>
  <c r="AG154" i="4"/>
  <c r="AH122" i="4"/>
  <c r="AH208" i="4"/>
  <c r="AH116" i="4"/>
  <c r="AH223" i="4"/>
  <c r="AH202" i="4"/>
  <c r="AH229" i="4"/>
  <c r="AH217" i="4"/>
  <c r="AH226" i="4"/>
  <c r="AH211" i="4"/>
  <c r="AH199" i="4"/>
  <c r="AH220" i="4"/>
  <c r="AH205" i="4"/>
  <c r="BR28" i="8"/>
  <c r="BQ28" i="8"/>
  <c r="BT28" i="8"/>
  <c r="BL28" i="8"/>
  <c r="BN28" i="8"/>
  <c r="BM28" i="8"/>
  <c r="E196" i="1"/>
  <c r="E174" i="1"/>
  <c r="E190" i="1"/>
  <c r="BQ27" i="8"/>
  <c r="BQ26" i="8"/>
  <c r="BL26" i="8"/>
  <c r="BN26" i="8"/>
  <c r="BL27" i="8"/>
  <c r="BM26" i="8"/>
  <c r="BN27" i="8"/>
  <c r="BM27" i="8"/>
  <c r="BR26" i="8"/>
  <c r="AB154" i="4"/>
  <c r="AC154" i="4"/>
  <c r="AD178" i="4"/>
  <c r="F202" i="4"/>
  <c r="F205" i="4"/>
  <c r="F229" i="4"/>
  <c r="F226" i="4"/>
  <c r="F208" i="4"/>
  <c r="F211" i="4"/>
  <c r="F223" i="4"/>
  <c r="Z202" i="4"/>
  <c r="Z223" i="4"/>
  <c r="Z229" i="4"/>
  <c r="Z226" i="4"/>
  <c r="Z205" i="4"/>
  <c r="Z211" i="4"/>
  <c r="Z208" i="4"/>
  <c r="E202" i="4"/>
  <c r="E226" i="4"/>
  <c r="E229" i="4"/>
  <c r="E211" i="4"/>
  <c r="E223" i="4"/>
  <c r="E205" i="4"/>
  <c r="E208" i="4"/>
  <c r="V202" i="4"/>
  <c r="V205" i="4"/>
  <c r="V226" i="4"/>
  <c r="V208" i="4"/>
  <c r="V223" i="4"/>
  <c r="V211" i="4"/>
  <c r="V229" i="4"/>
  <c r="AB202" i="4"/>
  <c r="AB208" i="4"/>
  <c r="AB229" i="4"/>
  <c r="AB211" i="4"/>
  <c r="AB226" i="4"/>
  <c r="AB223" i="4"/>
  <c r="AB205" i="4"/>
  <c r="U202" i="4"/>
  <c r="U223" i="4"/>
  <c r="U229" i="4"/>
  <c r="U211" i="4"/>
  <c r="U226" i="4"/>
  <c r="U205" i="4"/>
  <c r="U208" i="4"/>
  <c r="T202" i="4"/>
  <c r="T229" i="4"/>
  <c r="T223" i="4"/>
  <c r="T205" i="4"/>
  <c r="T211" i="4"/>
  <c r="T208" i="4"/>
  <c r="T226" i="4"/>
  <c r="Y202" i="4"/>
  <c r="Y205" i="4"/>
  <c r="Y223" i="4"/>
  <c r="Y226" i="4"/>
  <c r="Y211" i="4"/>
  <c r="Y208" i="4"/>
  <c r="Y229" i="4"/>
  <c r="D202" i="4"/>
  <c r="D223" i="4"/>
  <c r="D211" i="4"/>
  <c r="D229" i="4"/>
  <c r="D205" i="4"/>
  <c r="D226" i="4"/>
  <c r="D208" i="4"/>
  <c r="AD202" i="4"/>
  <c r="AD229" i="4"/>
  <c r="AD211" i="4"/>
  <c r="AD226" i="4"/>
  <c r="AD205" i="4"/>
  <c r="AD223" i="4"/>
  <c r="AD208" i="4"/>
  <c r="AC202" i="4"/>
  <c r="AC205" i="4"/>
  <c r="AC229" i="4"/>
  <c r="AC223" i="4"/>
  <c r="AC226" i="4"/>
  <c r="AC211" i="4"/>
  <c r="AC208" i="4"/>
  <c r="AF202" i="4"/>
  <c r="AF223" i="4"/>
  <c r="AF205" i="4"/>
  <c r="AF229" i="4"/>
  <c r="AF226" i="4"/>
  <c r="AF208" i="4"/>
  <c r="AF211" i="4"/>
  <c r="AG34" i="4"/>
  <c r="U217" i="4"/>
  <c r="U199" i="4"/>
  <c r="U220" i="4"/>
  <c r="AG42" i="4"/>
  <c r="AB199" i="4"/>
  <c r="AB220" i="4"/>
  <c r="AB217" i="4"/>
  <c r="AF217" i="4"/>
  <c r="AF199" i="4"/>
  <c r="AF220" i="4"/>
  <c r="F220" i="4"/>
  <c r="F217" i="4"/>
  <c r="F199" i="4"/>
  <c r="T217" i="4"/>
  <c r="T220" i="4"/>
  <c r="T199" i="4"/>
  <c r="AD220" i="4"/>
  <c r="AD199" i="4"/>
  <c r="AD217" i="4"/>
  <c r="V217" i="4"/>
  <c r="V199" i="4"/>
  <c r="V220" i="4"/>
  <c r="D217" i="4"/>
  <c r="D199" i="4"/>
  <c r="D220" i="4"/>
  <c r="E199" i="4"/>
  <c r="E217" i="4"/>
  <c r="E220" i="4"/>
  <c r="AC217" i="4"/>
  <c r="AC220" i="4"/>
  <c r="AC199" i="4"/>
  <c r="Z220" i="4"/>
  <c r="Z217" i="4"/>
  <c r="Z199" i="4"/>
  <c r="Y199" i="4"/>
  <c r="Y217" i="4"/>
  <c r="Y220" i="4"/>
  <c r="V122" i="4"/>
  <c r="V116" i="4"/>
  <c r="Y122" i="4"/>
  <c r="Y116" i="4"/>
  <c r="E116" i="4"/>
  <c r="E122" i="4"/>
  <c r="D122" i="4"/>
  <c r="D116" i="4"/>
  <c r="F122" i="4"/>
  <c r="F116" i="4"/>
  <c r="T116" i="4"/>
  <c r="T122" i="4"/>
  <c r="AB122" i="4"/>
  <c r="AB116" i="4"/>
  <c r="U116" i="4"/>
  <c r="U122" i="4"/>
  <c r="Z122" i="4"/>
  <c r="Z116" i="4"/>
  <c r="AD116" i="4"/>
  <c r="AD122" i="4"/>
  <c r="AC116" i="4"/>
  <c r="AC122" i="4"/>
  <c r="AF122" i="4"/>
  <c r="AF116" i="4"/>
  <c r="AF23" i="4"/>
  <c r="AS4" i="1"/>
  <c r="AO7" i="5"/>
  <c r="AP7" i="4"/>
  <c r="AP7" i="5"/>
  <c r="AR4" i="1"/>
  <c r="AT4" i="1"/>
  <c r="AT7" i="5" s="1"/>
  <c r="AT8" i="5"/>
  <c r="AT8" i="4"/>
  <c r="AV8" i="4"/>
  <c r="AV8" i="5"/>
  <c r="AX5" i="1"/>
  <c r="AW4" i="1" s="1"/>
  <c r="AX9" i="4"/>
  <c r="AX9" i="5"/>
  <c r="AW8" i="5"/>
  <c r="AW8" i="4"/>
  <c r="AZ8" i="5"/>
  <c r="AZ8" i="4"/>
  <c r="BD9" i="4"/>
  <c r="BD9" i="5"/>
  <c r="BD5" i="1"/>
  <c r="BE9" i="4"/>
  <c r="BE9" i="5"/>
  <c r="BE5" i="1"/>
  <c r="BA8" i="5"/>
  <c r="BA8" i="4"/>
  <c r="BB5" i="1"/>
  <c r="BB9" i="4"/>
  <c r="BB9" i="5"/>
  <c r="AF38" i="4"/>
  <c r="AP220" i="4" l="1"/>
  <c r="AP217" i="4"/>
  <c r="AP116" i="4"/>
  <c r="AP122" i="4"/>
  <c r="AP226" i="4"/>
  <c r="AP229" i="4"/>
  <c r="AP208" i="4"/>
  <c r="AP202" i="4"/>
  <c r="AP211" i="4"/>
  <c r="AP223" i="4"/>
  <c r="AP205" i="4"/>
  <c r="AP199" i="4"/>
  <c r="BX61" i="8"/>
  <c r="AG56" i="5"/>
  <c r="AG33" i="4"/>
  <c r="AH45" i="4"/>
  <c r="BZ68" i="8" s="1"/>
  <c r="AG45" i="4"/>
  <c r="E177" i="1"/>
  <c r="BY65" i="8"/>
  <c r="BX51" i="8"/>
  <c r="BZ51" i="8"/>
  <c r="AF172" i="4"/>
  <c r="AG36" i="4"/>
  <c r="AG44" i="4"/>
  <c r="AG35" i="4"/>
  <c r="AG37" i="4"/>
  <c r="AG43" i="4"/>
  <c r="AH42" i="4"/>
  <c r="AH33" i="4"/>
  <c r="AF56" i="5"/>
  <c r="AF70" i="4"/>
  <c r="AF468" i="1" s="1"/>
  <c r="AF469" i="1" s="1"/>
  <c r="BY51" i="8"/>
  <c r="AI115" i="1"/>
  <c r="AR7" i="4"/>
  <c r="AR153" i="4" s="1"/>
  <c r="AS7" i="5"/>
  <c r="AS7" i="4"/>
  <c r="AS153" i="4" s="1"/>
  <c r="AS75" i="4" s="1"/>
  <c r="AT7" i="4"/>
  <c r="AV4" i="1"/>
  <c r="AW7" i="4"/>
  <c r="AW153" i="4" s="1"/>
  <c r="AX4" i="1"/>
  <c r="AR7" i="5"/>
  <c r="AX8" i="4"/>
  <c r="AW7" i="5"/>
  <c r="AX8" i="5"/>
  <c r="BH5" i="1"/>
  <c r="BH9" i="5"/>
  <c r="BH9" i="4"/>
  <c r="BD8" i="4"/>
  <c r="BD8" i="5"/>
  <c r="AZ4" i="1"/>
  <c r="BB8" i="5"/>
  <c r="BB8" i="4"/>
  <c r="BA4" i="1"/>
  <c r="BB4" i="1"/>
  <c r="BF9" i="4"/>
  <c r="BF9" i="5"/>
  <c r="BI9" i="4"/>
  <c r="BI9" i="5"/>
  <c r="BI5" i="1"/>
  <c r="BE8" i="4"/>
  <c r="BE8" i="5"/>
  <c r="BF5" i="1"/>
  <c r="BY61" i="8"/>
  <c r="AH56" i="5" l="1"/>
  <c r="AG60" i="5"/>
  <c r="AH60" i="5" s="1"/>
  <c r="AG35" i="5"/>
  <c r="AH35" i="5" s="1"/>
  <c r="AG62" i="5"/>
  <c r="AH62" i="5" s="1"/>
  <c r="AG33" i="5"/>
  <c r="AH33" i="5" s="1"/>
  <c r="AG47" i="4"/>
  <c r="AH34" i="4"/>
  <c r="AG39" i="4"/>
  <c r="BY56" i="8"/>
  <c r="AF470" i="1"/>
  <c r="AR75" i="4"/>
  <c r="AW75" i="4"/>
  <c r="BY68" i="8"/>
  <c r="BY44" i="8"/>
  <c r="CB51" i="8"/>
  <c r="BY57" i="8"/>
  <c r="AF72" i="4"/>
  <c r="AF87" i="4"/>
  <c r="AT153" i="4"/>
  <c r="AG468" i="1"/>
  <c r="AG469" i="1" s="1"/>
  <c r="AG470" i="1" s="1"/>
  <c r="AF160" i="4"/>
  <c r="AG160" i="4" s="1"/>
  <c r="AH35" i="4"/>
  <c r="AH37" i="4"/>
  <c r="AH44" i="4"/>
  <c r="BY67" i="8"/>
  <c r="AH36" i="4"/>
  <c r="AH43" i="4"/>
  <c r="BZ65" i="8"/>
  <c r="AV7" i="5"/>
  <c r="AV7" i="4"/>
  <c r="AV153" i="4" s="1"/>
  <c r="AV75" i="4" s="1"/>
  <c r="AX7" i="5"/>
  <c r="AX7" i="4"/>
  <c r="BL5" i="1"/>
  <c r="BL9" i="4"/>
  <c r="BL9" i="5"/>
  <c r="BH8" i="4"/>
  <c r="BH8" i="5"/>
  <c r="BJ5" i="1"/>
  <c r="BI8" i="4"/>
  <c r="BI8" i="5"/>
  <c r="AZ7" i="5"/>
  <c r="AZ7" i="4"/>
  <c r="AZ153" i="4" s="1"/>
  <c r="BD4" i="1"/>
  <c r="BE4" i="1"/>
  <c r="BF8" i="4"/>
  <c r="BF4" i="1"/>
  <c r="BF8" i="5"/>
  <c r="BM5" i="1"/>
  <c r="BM9" i="4"/>
  <c r="BM9" i="5"/>
  <c r="BB7" i="4"/>
  <c r="BB7" i="5"/>
  <c r="BA7" i="4"/>
  <c r="BA153" i="4" s="1"/>
  <c r="BA7" i="5"/>
  <c r="BJ9" i="5"/>
  <c r="BJ9" i="4"/>
  <c r="CC51" i="8" l="1"/>
  <c r="AG49" i="4"/>
  <c r="AH47" i="4"/>
  <c r="AH39" i="4"/>
  <c r="AF173" i="1"/>
  <c r="AZ75" i="4"/>
  <c r="BA75" i="4"/>
  <c r="AT75" i="4"/>
  <c r="AF90" i="4"/>
  <c r="BY60" i="8"/>
  <c r="BZ44" i="8"/>
  <c r="BY66" i="8"/>
  <c r="BY58" i="8"/>
  <c r="BZ56" i="8"/>
  <c r="BY59" i="8"/>
  <c r="AX153" i="4"/>
  <c r="BB153" i="4"/>
  <c r="CD51" i="8"/>
  <c r="BP5" i="1"/>
  <c r="BP9" i="5"/>
  <c r="BP9" i="4"/>
  <c r="BL8" i="5"/>
  <c r="BL8" i="4"/>
  <c r="BH4" i="1"/>
  <c r="BJ4" i="1"/>
  <c r="BJ8" i="5"/>
  <c r="BJ8" i="4"/>
  <c r="BI4" i="1"/>
  <c r="BF7" i="5"/>
  <c r="BF7" i="4"/>
  <c r="BQ9" i="4"/>
  <c r="BQ9" i="5"/>
  <c r="BQ5" i="1"/>
  <c r="BM8" i="5"/>
  <c r="BM8" i="4"/>
  <c r="BN5" i="1"/>
  <c r="BE7" i="4"/>
  <c r="BE153" i="4" s="1"/>
  <c r="BE7" i="5"/>
  <c r="BD7" i="5"/>
  <c r="BD7" i="4"/>
  <c r="BD153" i="4" s="1"/>
  <c r="BD75" i="4" s="1"/>
  <c r="BN9" i="5"/>
  <c r="BN9" i="4"/>
  <c r="CF51" i="8" l="1"/>
  <c r="AN56" i="5"/>
  <c r="AP56" i="5" s="1"/>
  <c r="CB61" i="8"/>
  <c r="AH49" i="4"/>
  <c r="AF94" i="4"/>
  <c r="BB75" i="4"/>
  <c r="AX75" i="4"/>
  <c r="BE75" i="4"/>
  <c r="BZ59" i="8"/>
  <c r="BY62" i="8"/>
  <c r="BZ60" i="8"/>
  <c r="BZ67" i="8"/>
  <c r="BZ61" i="8"/>
  <c r="BF153" i="4"/>
  <c r="AJ468" i="1"/>
  <c r="AJ469" i="1" s="1"/>
  <c r="AH468" i="1"/>
  <c r="AH469" i="1" s="1"/>
  <c r="CG51" i="8"/>
  <c r="AF56" i="4"/>
  <c r="AR244" i="4"/>
  <c r="AR58" i="4" s="1"/>
  <c r="BP8" i="4"/>
  <c r="BP8" i="5"/>
  <c r="BQ8" i="4"/>
  <c r="BQ8" i="5"/>
  <c r="BR5" i="1"/>
  <c r="BL4" i="1"/>
  <c r="BN8" i="5"/>
  <c r="BM4" i="1"/>
  <c r="BN8" i="4"/>
  <c r="BN4" i="1"/>
  <c r="BI7" i="5"/>
  <c r="BI7" i="4"/>
  <c r="BI153" i="4" s="1"/>
  <c r="BI75" i="4" s="1"/>
  <c r="BR9" i="4"/>
  <c r="BR9" i="5"/>
  <c r="BJ7" i="4"/>
  <c r="BJ7" i="5"/>
  <c r="BH7" i="4"/>
  <c r="BH153" i="4" s="1"/>
  <c r="BH7" i="5"/>
  <c r="AJ470" i="1" l="1"/>
  <c r="CC61" i="8"/>
  <c r="AG85" i="5"/>
  <c r="AF98" i="4"/>
  <c r="AF131" i="5" s="1"/>
  <c r="BF75" i="4"/>
  <c r="BH75" i="4"/>
  <c r="BJ153" i="4"/>
  <c r="AF85" i="5"/>
  <c r="AS244" i="4"/>
  <c r="AS58" i="4" s="1"/>
  <c r="BN7" i="4"/>
  <c r="BN7" i="5"/>
  <c r="BM7" i="5"/>
  <c r="BM7" i="4"/>
  <c r="BM153" i="4" s="1"/>
  <c r="BP4" i="1"/>
  <c r="BQ4" i="1"/>
  <c r="BR4" i="1"/>
  <c r="BR8" i="5"/>
  <c r="BR8" i="4"/>
  <c r="BL7" i="4"/>
  <c r="BL153" i="4" s="1"/>
  <c r="BL75" i="4" s="1"/>
  <c r="BL7" i="5"/>
  <c r="AR213" i="4"/>
  <c r="AS213" i="4" s="1"/>
  <c r="AT213" i="4" s="1"/>
  <c r="AV213" i="4" s="1"/>
  <c r="AW213" i="4" s="1"/>
  <c r="AX213" i="4" s="1"/>
  <c r="AZ213" i="4" s="1"/>
  <c r="BA213" i="4" s="1"/>
  <c r="BB213" i="4" s="1"/>
  <c r="BD213" i="4" s="1"/>
  <c r="BE213" i="4" s="1"/>
  <c r="BF213" i="4" s="1"/>
  <c r="BH213" i="4" s="1"/>
  <c r="BI213" i="4" s="1"/>
  <c r="BJ213" i="4" s="1"/>
  <c r="BL213" i="4" s="1"/>
  <c r="BM213" i="4" s="1"/>
  <c r="BN213" i="4" s="1"/>
  <c r="BP213" i="4" s="1"/>
  <c r="BQ213" i="4" s="1"/>
  <c r="BR213" i="4" s="1"/>
  <c r="BT213" i="4" s="1"/>
  <c r="BU213" i="4" l="1"/>
  <c r="BT38" i="4"/>
  <c r="AJ26" i="1"/>
  <c r="AK26" i="1" s="1"/>
  <c r="AK70" i="1" s="1"/>
  <c r="AH85" i="5"/>
  <c r="V63" i="8"/>
  <c r="BX37" i="8"/>
  <c r="BJ75" i="4"/>
  <c r="BM75" i="4"/>
  <c r="CH51" i="8"/>
  <c r="BN153" i="4"/>
  <c r="AR113" i="1"/>
  <c r="AR108" i="1"/>
  <c r="AR23" i="4"/>
  <c r="CJ51" i="8" s="1"/>
  <c r="AS23" i="4"/>
  <c r="CK51" i="8" s="1"/>
  <c r="AT23" i="4"/>
  <c r="CL51" i="8" s="1"/>
  <c r="AV244" i="4"/>
  <c r="AV58" i="4" s="1"/>
  <c r="AT244" i="4"/>
  <c r="AT58" i="4" s="1"/>
  <c r="BQ7" i="4"/>
  <c r="BQ153" i="4" s="1"/>
  <c r="BQ7" i="5"/>
  <c r="BP7" i="4"/>
  <c r="BP153" i="4" s="1"/>
  <c r="BP75" i="4" s="1"/>
  <c r="BP7" i="5"/>
  <c r="BR7" i="5"/>
  <c r="BR7" i="4"/>
  <c r="CF61" i="8"/>
  <c r="BU38" i="4" l="1"/>
  <c r="BV213" i="4"/>
  <c r="AG286" i="1"/>
  <c r="AJ70" i="1"/>
  <c r="BQ75" i="4"/>
  <c r="BN75" i="4"/>
  <c r="CD61" i="8"/>
  <c r="BR153" i="4"/>
  <c r="AS56" i="5"/>
  <c r="AR56" i="5"/>
  <c r="AS108" i="1"/>
  <c r="AS113" i="1"/>
  <c r="AV23" i="4"/>
  <c r="CN51" i="8" s="1"/>
  <c r="AT245" i="4"/>
  <c r="AW244" i="4"/>
  <c r="AW58" i="4" s="1"/>
  <c r="CG61" i="8"/>
  <c r="BX213" i="4" l="1"/>
  <c r="BV38" i="4"/>
  <c r="AH286" i="1"/>
  <c r="BR75" i="4"/>
  <c r="AT113" i="1"/>
  <c r="AT56" i="5"/>
  <c r="AV56" i="5"/>
  <c r="AV108" i="1"/>
  <c r="AV113" i="1"/>
  <c r="AW23" i="4"/>
  <c r="CO51" i="8" s="1"/>
  <c r="AX23" i="4"/>
  <c r="CP51" i="8" s="1"/>
  <c r="AZ244" i="4"/>
  <c r="AZ58" i="4" s="1"/>
  <c r="AX244" i="4"/>
  <c r="AX58" i="4" s="1"/>
  <c r="BY213" i="4" l="1"/>
  <c r="BX38" i="4"/>
  <c r="AW56" i="5"/>
  <c r="AX56" i="5" s="1"/>
  <c r="AW108" i="1"/>
  <c r="AW113" i="1"/>
  <c r="AZ23" i="4"/>
  <c r="CR51" i="8" s="1"/>
  <c r="AX245" i="4"/>
  <c r="BA244" i="4"/>
  <c r="BA58" i="4" s="1"/>
  <c r="AR38" i="4"/>
  <c r="CJ61" i="8" s="1"/>
  <c r="BY38" i="4" l="1"/>
  <c r="BZ213" i="4"/>
  <c r="BZ38" i="4" s="1"/>
  <c r="CH61" i="8"/>
  <c r="AX113" i="1"/>
  <c r="AZ56" i="5"/>
  <c r="AZ108" i="1"/>
  <c r="AZ113" i="1"/>
  <c r="BB23" i="4"/>
  <c r="CT51" i="8" s="1"/>
  <c r="BA23" i="4"/>
  <c r="CS51" i="8" s="1"/>
  <c r="BD244" i="4"/>
  <c r="BD58" i="4" s="1"/>
  <c r="BB244" i="4"/>
  <c r="BB58" i="4" s="1"/>
  <c r="AS38" i="4"/>
  <c r="CK61" i="8" s="1"/>
  <c r="BA56" i="5" l="1"/>
  <c r="BB56" i="5" s="1"/>
  <c r="BA108" i="1"/>
  <c r="BA113" i="1"/>
  <c r="BD23" i="4"/>
  <c r="CV51" i="8" s="1"/>
  <c r="BB245" i="4"/>
  <c r="BE244" i="4"/>
  <c r="BE58" i="4" s="1"/>
  <c r="BB113" i="1" l="1"/>
  <c r="BD56" i="5"/>
  <c r="BD113" i="1"/>
  <c r="BD108" i="1"/>
  <c r="BF23" i="4"/>
  <c r="CX51" i="8" s="1"/>
  <c r="BE23" i="4"/>
  <c r="CW51" i="8" s="1"/>
  <c r="AT38" i="4"/>
  <c r="CL61" i="8" s="1"/>
  <c r="BH244" i="4"/>
  <c r="BH58" i="4" s="1"/>
  <c r="BF244" i="4"/>
  <c r="BF58" i="4" s="1"/>
  <c r="AV38" i="4"/>
  <c r="CN61" i="8" s="1"/>
  <c r="BE56" i="5" l="1"/>
  <c r="BF56" i="5" s="1"/>
  <c r="BE113" i="1"/>
  <c r="BE108" i="1"/>
  <c r="BH23" i="4"/>
  <c r="BF245" i="4"/>
  <c r="BI244" i="4"/>
  <c r="BI58" i="4" s="1"/>
  <c r="AW38" i="4"/>
  <c r="CO61" i="8" s="1"/>
  <c r="BF113" i="1" l="1"/>
  <c r="BH56" i="5"/>
  <c r="BH113" i="1"/>
  <c r="BH108" i="1"/>
  <c r="BI23" i="4"/>
  <c r="BJ23" i="4"/>
  <c r="BL244" i="4"/>
  <c r="BL58" i="4" s="1"/>
  <c r="BJ244" i="4"/>
  <c r="BJ58" i="4" s="1"/>
  <c r="BI56" i="5" l="1"/>
  <c r="BJ56" i="5" s="1"/>
  <c r="BI108" i="1"/>
  <c r="BI113" i="1"/>
  <c r="BL23" i="4"/>
  <c r="AX38" i="4"/>
  <c r="CP61" i="8" s="1"/>
  <c r="BJ245" i="4"/>
  <c r="BM244" i="4"/>
  <c r="BM58" i="4" s="1"/>
  <c r="AZ38" i="4"/>
  <c r="CR61" i="8" s="1"/>
  <c r="BJ113" i="1" l="1"/>
  <c r="BL56" i="5"/>
  <c r="BL108" i="1"/>
  <c r="BL113" i="1"/>
  <c r="BM23" i="4"/>
  <c r="BN23" i="4"/>
  <c r="BP244" i="4"/>
  <c r="BP58" i="4" s="1"/>
  <c r="BN244" i="4"/>
  <c r="BN58" i="4" s="1"/>
  <c r="BA38" i="4"/>
  <c r="CS61" i="8" s="1"/>
  <c r="BM56" i="5" l="1"/>
  <c r="BN56" i="5" s="1"/>
  <c r="BM108" i="1"/>
  <c r="BM113" i="1"/>
  <c r="BP23" i="4"/>
  <c r="BN245" i="4"/>
  <c r="BQ244" i="4"/>
  <c r="BT244" i="4" s="1"/>
  <c r="BU244" i="4" l="1"/>
  <c r="BT58" i="4"/>
  <c r="BQ58" i="4"/>
  <c r="BN113" i="1"/>
  <c r="BP56" i="5"/>
  <c r="BP108" i="1"/>
  <c r="BP113" i="1"/>
  <c r="BR23" i="4"/>
  <c r="BQ23" i="4"/>
  <c r="BT56" i="5" s="1"/>
  <c r="BV56" i="5" s="1"/>
  <c r="BB38" i="4"/>
  <c r="CT61" i="8" s="1"/>
  <c r="BR244" i="4"/>
  <c r="BR58" i="4" s="1"/>
  <c r="BD38" i="4"/>
  <c r="CV61" i="8" s="1"/>
  <c r="BX244" i="4" l="1"/>
  <c r="BV244" i="4"/>
  <c r="BU58" i="4"/>
  <c r="A23" i="4" a="1"/>
  <c r="A23" i="4" s="1"/>
  <c r="BQ56" i="5"/>
  <c r="BR56" i="5" s="1"/>
  <c r="BQ108" i="1"/>
  <c r="BQ113" i="1"/>
  <c r="BR245" i="4"/>
  <c r="BE38" i="4"/>
  <c r="CW61" i="8" s="1"/>
  <c r="BV245" i="4" l="1"/>
  <c r="BV58" i="4"/>
  <c r="BY244" i="4"/>
  <c r="BX58" i="4"/>
  <c r="BR113" i="1"/>
  <c r="BZ244" i="4" l="1"/>
  <c r="BY58" i="4"/>
  <c r="BF38" i="4"/>
  <c r="BH38" i="4"/>
  <c r="BZ245" i="4" l="1"/>
  <c r="BZ58" i="4"/>
  <c r="CX61" i="8"/>
  <c r="BI38" i="4"/>
  <c r="BJ38" i="4" l="1"/>
  <c r="BL38" i="4"/>
  <c r="BM38" i="4" l="1"/>
  <c r="BN38" i="4" l="1"/>
  <c r="BP38" i="4"/>
  <c r="BQ38" i="4" l="1"/>
  <c r="BR38" i="4" l="1"/>
  <c r="A38" i="4" l="1" a="1"/>
  <c r="A38" i="4" s="1"/>
  <c r="AF172" i="1" l="1"/>
  <c r="BX20" i="8"/>
  <c r="BT29" i="8" l="1"/>
  <c r="BT26" i="8" l="1"/>
  <c r="BT16" i="8"/>
  <c r="BT14" i="8"/>
  <c r="BT15" i="8"/>
  <c r="BT13" i="8"/>
  <c r="BT27" i="8" l="1"/>
  <c r="AC100" i="5" l="1"/>
  <c r="AC255" i="4" l="1"/>
  <c r="BT18" i="8" l="1"/>
  <c r="BQ12" i="8" l="1"/>
  <c r="BR12" i="8" l="1"/>
  <c r="BT9" i="8" l="1"/>
  <c r="AC102" i="5" l="1"/>
  <c r="AD16" i="4" l="1"/>
  <c r="AD15" i="4"/>
  <c r="BV45" i="8" l="1"/>
  <c r="AD17" i="4"/>
  <c r="AD39" i="4" l="1"/>
  <c r="BU9" i="8"/>
  <c r="BV62" i="8" l="1"/>
  <c r="BV9" i="8"/>
  <c r="AD49" i="4"/>
  <c r="BY45" i="8" l="1"/>
  <c r="AC97" i="5"/>
  <c r="AC101" i="5"/>
  <c r="AC98" i="5" l="1"/>
  <c r="AD98" i="5"/>
  <c r="BU18" i="8"/>
  <c r="AC103" i="5"/>
  <c r="AC106" i="5" l="1"/>
  <c r="AD13" i="4"/>
  <c r="BV18" i="8"/>
  <c r="AC104" i="5"/>
  <c r="AD45" i="1" l="1"/>
  <c r="AD46" i="1" s="1"/>
  <c r="BV43" i="8"/>
  <c r="AD108" i="5"/>
  <c r="BZ45" i="8"/>
  <c r="AD92" i="4"/>
  <c r="AC92" i="4" s="1"/>
  <c r="AD105" i="5"/>
  <c r="AD106" i="5" s="1"/>
  <c r="AD71" i="4"/>
  <c r="AD72" i="4" s="1"/>
  <c r="AD18" i="4"/>
  <c r="BV47" i="8" s="1"/>
  <c r="BV46" i="8" l="1"/>
  <c r="BV77" i="8"/>
  <c r="AD173" i="1"/>
  <c r="AD104" i="4"/>
  <c r="AD181" i="1" s="1"/>
  <c r="AD105" i="4"/>
  <c r="AD30" i="4"/>
  <c r="AF184" i="1"/>
  <c r="AD202" i="1" l="1"/>
  <c r="AD178" i="1"/>
  <c r="AD174" i="1"/>
  <c r="AD177" i="1" s="1"/>
  <c r="BV12" i="8" s="1"/>
  <c r="AF185" i="1"/>
  <c r="AD51" i="4"/>
  <c r="AD65" i="4" l="1"/>
  <c r="AD188" i="1"/>
  <c r="AF186" i="1"/>
  <c r="AD52" i="4"/>
  <c r="AD189" i="1" l="1"/>
  <c r="BV13" i="8" s="1"/>
  <c r="AD53" i="4"/>
  <c r="BV16" i="8"/>
  <c r="BV14" i="8"/>
  <c r="BV29" i="8"/>
  <c r="BU29" i="8"/>
  <c r="AD190" i="1" l="1"/>
  <c r="BV26" i="8"/>
  <c r="BU26" i="8"/>
  <c r="BU15" i="8"/>
  <c r="BU13" i="8"/>
  <c r="BV27" i="8"/>
  <c r="BU27" i="8"/>
  <c r="BU16" i="8"/>
  <c r="BU14" i="8"/>
  <c r="BV15" i="8" l="1"/>
  <c r="AS16" i="4" l="1"/>
  <c r="AT16" i="4" l="1"/>
  <c r="AW16" i="4" l="1"/>
  <c r="AX16" i="4" l="1"/>
  <c r="BA16" i="4" l="1"/>
  <c r="BB16" i="4" l="1"/>
  <c r="BE16" i="4" l="1"/>
  <c r="BF16" i="4" l="1"/>
  <c r="BI16" i="4" l="1"/>
  <c r="BJ16" i="4" l="1"/>
  <c r="BM16" i="4" l="1"/>
  <c r="BN16" i="4" l="1"/>
  <c r="BQ16" i="4" l="1"/>
  <c r="BR16" i="4" l="1"/>
  <c r="AF34" i="4" l="1"/>
  <c r="AF43" i="4"/>
  <c r="AG61" i="5" l="1"/>
  <c r="AG36" i="5"/>
  <c r="BX66" i="8"/>
  <c r="BZ57" i="8"/>
  <c r="BX57" i="8"/>
  <c r="BZ66" i="8"/>
  <c r="AF47" i="4"/>
  <c r="BX70" i="8" s="1"/>
  <c r="AF61" i="5"/>
  <c r="AF36" i="5"/>
  <c r="AH36" i="5" l="1"/>
  <c r="AH61" i="5"/>
  <c r="BY70" i="8"/>
  <c r="BZ70" i="8" l="1"/>
  <c r="U58" i="8" l="1"/>
  <c r="V58" i="8" l="1"/>
  <c r="AF174" i="1" l="1"/>
  <c r="AF20" i="1" l="1"/>
  <c r="AF22" i="4" l="1"/>
  <c r="BX50" i="8" l="1"/>
  <c r="AG54" i="5"/>
  <c r="AG63" i="5" s="1"/>
  <c r="AF28" i="4"/>
  <c r="AF54" i="5"/>
  <c r="AH54" i="5" l="1"/>
  <c r="AH63" i="5" s="1"/>
  <c r="BX54" i="8"/>
  <c r="BX53" i="8" s="1"/>
  <c r="AF30" i="4"/>
  <c r="AF63" i="5"/>
  <c r="AF35" i="4"/>
  <c r="AG34" i="5" l="1"/>
  <c r="AF202" i="1"/>
  <c r="BX58" i="8"/>
  <c r="AF34" i="5"/>
  <c r="AF39" i="4"/>
  <c r="BX62" i="8" s="1"/>
  <c r="AH34" i="5" l="1"/>
  <c r="AF203" i="1"/>
  <c r="AF170" i="1"/>
  <c r="AF49" i="4"/>
  <c r="AF57" i="4" l="1"/>
  <c r="AF62" i="4" l="1"/>
  <c r="AF194" i="1" s="1"/>
  <c r="AF195" i="1" l="1"/>
  <c r="AF196" i="1" s="1"/>
  <c r="AF197" i="1"/>
  <c r="AF64" i="4"/>
  <c r="BX72" i="8" s="1"/>
  <c r="BX77" i="8" s="1"/>
  <c r="BX18" i="8"/>
  <c r="AF103" i="4" l="1"/>
  <c r="AF105" i="4"/>
  <c r="AF104" i="4"/>
  <c r="AF181" i="1" s="1"/>
  <c r="AF102" i="4"/>
  <c r="BX36" i="8" s="1"/>
  <c r="BX35" i="8" l="1"/>
  <c r="AF51" i="4" l="1"/>
  <c r="AF188" i="1" l="1"/>
  <c r="AF65" i="4"/>
  <c r="AF52" i="4"/>
  <c r="AF189" i="1" l="1"/>
  <c r="AF190" i="1" s="1"/>
  <c r="AF191" i="1"/>
  <c r="AF53" i="4"/>
  <c r="BX14" i="8" l="1"/>
  <c r="BX13" i="8"/>
  <c r="BX15" i="8" l="1"/>
  <c r="BX16" i="8"/>
  <c r="AF425" i="1"/>
  <c r="AF426" i="1"/>
  <c r="AF431" i="1" l="1"/>
  <c r="AF25" i="1" s="1"/>
  <c r="T20" i="8"/>
  <c r="T46" i="8" s="1"/>
  <c r="AF434" i="1"/>
  <c r="AG432" i="1"/>
  <c r="AF427" i="1"/>
  <c r="T32" i="51" s="1"/>
  <c r="T24" i="8" l="1"/>
  <c r="AF179" i="1"/>
  <c r="T101" i="51"/>
  <c r="AF436" i="1"/>
  <c r="T33" i="51" s="1"/>
  <c r="T105" i="51" l="1"/>
  <c r="AF30" i="1"/>
  <c r="AF21" i="1"/>
  <c r="AF13" i="1"/>
  <c r="AF90" i="5" l="1"/>
  <c r="AF91" i="5" s="1"/>
  <c r="AF83" i="5" s="1"/>
  <c r="T22" i="8"/>
  <c r="AG21" i="1"/>
  <c r="AI21" i="1" s="1"/>
  <c r="T27" i="8"/>
  <c r="T80" i="8"/>
  <c r="T112" i="51"/>
  <c r="AF22" i="1"/>
  <c r="T23" i="8" l="1"/>
  <c r="T81" i="8"/>
  <c r="T86" i="8"/>
  <c r="U22" i="8"/>
  <c r="Y63" i="8" s="1"/>
  <c r="T63" i="8"/>
  <c r="X63" i="8"/>
  <c r="T47" i="8"/>
  <c r="T64" i="8"/>
  <c r="T113" i="51"/>
  <c r="T66" i="8"/>
  <c r="T115" i="51"/>
  <c r="V80" i="8"/>
  <c r="AF74" i="4"/>
  <c r="AF28" i="1"/>
  <c r="AF23" i="1"/>
  <c r="W22" i="8"/>
  <c r="U63" i="8" l="1"/>
  <c r="W81" i="8"/>
  <c r="W86" i="8"/>
  <c r="BX31" i="8"/>
  <c r="AF32" i="1"/>
  <c r="AF31" i="1" s="1"/>
  <c r="T119" i="51"/>
  <c r="T120" i="51" s="1"/>
  <c r="T117" i="51"/>
  <c r="T116" i="51"/>
  <c r="AF77" i="4"/>
  <c r="AF34" i="1"/>
  <c r="T25" i="8"/>
  <c r="AR16" i="4"/>
  <c r="T67" i="8" l="1"/>
  <c r="AF55" i="1"/>
  <c r="AF51" i="1" s="1"/>
  <c r="AF35" i="1"/>
  <c r="AF81" i="4"/>
  <c r="AF69" i="1"/>
  <c r="AF68" i="1"/>
  <c r="T122" i="51"/>
  <c r="T123" i="51" s="1"/>
  <c r="AF78" i="4"/>
  <c r="T28" i="8"/>
  <c r="AF39" i="1"/>
  <c r="AF38" i="1"/>
  <c r="AV16" i="4"/>
  <c r="AF148" i="1" l="1"/>
  <c r="AF52" i="1"/>
  <c r="BX32" i="8"/>
  <c r="AF71" i="1"/>
  <c r="AF80" i="4" s="1"/>
  <c r="AF199" i="1"/>
  <c r="AF192" i="1"/>
  <c r="BX26" i="8" s="1"/>
  <c r="AF89" i="1"/>
  <c r="T68" i="8"/>
  <c r="AF146" i="1"/>
  <c r="BX40" i="8"/>
  <c r="AF154" i="1"/>
  <c r="T31" i="8"/>
  <c r="AZ16" i="4"/>
  <c r="T36" i="8" l="1"/>
  <c r="T38" i="8"/>
  <c r="BX28" i="8"/>
  <c r="AF83" i="4"/>
  <c r="AF72" i="1"/>
  <c r="AF204" i="1"/>
  <c r="BX29" i="8" s="1"/>
  <c r="AF198" i="1"/>
  <c r="BX27" i="8" s="1"/>
  <c r="T69" i="8"/>
  <c r="T82" i="8"/>
  <c r="AF147" i="1"/>
  <c r="AF158" i="1" s="1"/>
  <c r="AF145" i="1"/>
  <c r="AF159" i="1"/>
  <c r="AF168" i="1"/>
  <c r="AF29" i="5"/>
  <c r="AF37" i="5" s="1"/>
  <c r="T34" i="8"/>
  <c r="AF237" i="4"/>
  <c r="AF157" i="1"/>
  <c r="AF167" i="1"/>
  <c r="BX9" i="8" s="1"/>
  <c r="BD16" i="4"/>
  <c r="T70" i="8" l="1"/>
  <c r="T73" i="8"/>
  <c r="AF74" i="1"/>
  <c r="AF175" i="1"/>
  <c r="AF180" i="1" s="1"/>
  <c r="AF239" i="4"/>
  <c r="AF84" i="4"/>
  <c r="AF96" i="4" s="1"/>
  <c r="T83" i="8"/>
  <c r="T37" i="8"/>
  <c r="T72" i="8" s="1"/>
  <c r="AF156" i="1"/>
  <c r="BH16" i="4"/>
  <c r="AF176" i="1" l="1"/>
  <c r="AF177" i="1" s="1"/>
  <c r="BL16" i="4"/>
  <c r="AF178" i="1" l="1"/>
  <c r="BX12" i="8"/>
  <c r="BP16" i="4"/>
  <c r="A16" i="4" l="1" a="1"/>
  <c r="A16" i="4" s="1"/>
  <c r="Y250" i="1" l="1"/>
  <c r="Y53" i="1" s="1"/>
  <c r="Z251" i="1"/>
  <c r="Z252" i="1"/>
  <c r="Y54" i="1" l="1"/>
  <c r="Z53" i="1"/>
  <c r="Y251" i="1"/>
  <c r="Y252" i="1"/>
  <c r="Z254" i="1"/>
  <c r="AA254" i="1" s="1"/>
  <c r="Z54" i="1" l="1"/>
  <c r="Z257" i="1"/>
  <c r="Y254" i="1"/>
  <c r="Y257" i="1" s="1"/>
  <c r="I250" i="1"/>
  <c r="I53" i="1" s="1"/>
  <c r="I54" i="1" s="1"/>
  <c r="H251" i="1"/>
  <c r="H252" i="1"/>
  <c r="I252" i="1" s="1"/>
  <c r="J53" i="1" l="1"/>
  <c r="I55" i="1"/>
  <c r="I56" i="1" s="1"/>
  <c r="I251" i="1"/>
  <c r="H254" i="1"/>
  <c r="H257" i="1" s="1"/>
  <c r="J55" i="1" l="1"/>
  <c r="J56" i="1" s="1"/>
  <c r="J54" i="1"/>
  <c r="I254" i="1"/>
  <c r="I257" i="1" s="1"/>
  <c r="AC105" i="1" l="1"/>
  <c r="AF105" i="1"/>
  <c r="AF82" i="5" s="1"/>
  <c r="AH82" i="5" s="1"/>
  <c r="AD97" i="1"/>
  <c r="AF97" i="1"/>
  <c r="AB97" i="1"/>
  <c r="AC97" i="1"/>
  <c r="AF87" i="5" l="1"/>
  <c r="AF93" i="5" s="1"/>
  <c r="AC82" i="5"/>
  <c r="AH105" i="1"/>
  <c r="AH106" i="1" s="1"/>
  <c r="AC106" i="1"/>
  <c r="Q105" i="1"/>
  <c r="Q82" i="5" s="1"/>
  <c r="U105" i="1"/>
  <c r="T105" i="1"/>
  <c r="Y105" i="1"/>
  <c r="D39" i="8"/>
  <c r="H74" i="8" s="1"/>
  <c r="X105" i="1"/>
  <c r="AB105" i="1"/>
  <c r="AB82" i="5" s="1"/>
  <c r="AF106" i="1"/>
  <c r="Q97" i="1"/>
  <c r="P97" i="1"/>
  <c r="P106" i="1"/>
  <c r="BU17" i="8"/>
  <c r="BT17" i="8"/>
  <c r="BX17" i="8"/>
  <c r="BV17" i="8"/>
  <c r="X97" i="1"/>
  <c r="R97" i="1"/>
  <c r="P98" i="1"/>
  <c r="R95" i="1"/>
  <c r="Q98" i="1"/>
  <c r="V97" i="1"/>
  <c r="Z97" i="1"/>
  <c r="U97" i="1"/>
  <c r="Y97" i="1"/>
  <c r="T97" i="1"/>
  <c r="AD82" i="5" l="1"/>
  <c r="AB87" i="5"/>
  <c r="AB93" i="5" s="1"/>
  <c r="Y82" i="5"/>
  <c r="U82" i="5"/>
  <c r="U87" i="5" s="1"/>
  <c r="U93" i="5" s="1"/>
  <c r="R82" i="5"/>
  <c r="R87" i="5" s="1"/>
  <c r="Q87" i="5"/>
  <c r="Q93" i="5" s="1"/>
  <c r="X106" i="1"/>
  <c r="X82" i="5"/>
  <c r="T106" i="1"/>
  <c r="T82" i="5"/>
  <c r="Q106" i="1"/>
  <c r="BL17" i="8"/>
  <c r="BN17" i="8"/>
  <c r="BQ17" i="8"/>
  <c r="BP17" i="8"/>
  <c r="BM17" i="8"/>
  <c r="BR17" i="8"/>
  <c r="U106" i="1"/>
  <c r="V105" i="1"/>
  <c r="V106" i="1" s="1"/>
  <c r="R105" i="1"/>
  <c r="R106" i="1" s="1"/>
  <c r="P99" i="1"/>
  <c r="Y106" i="1"/>
  <c r="F39" i="8"/>
  <c r="J74" i="8" s="1"/>
  <c r="Z105" i="1"/>
  <c r="Z106" i="1" s="1"/>
  <c r="AD105" i="1"/>
  <c r="AD106" i="1" s="1"/>
  <c r="AB106" i="1"/>
  <c r="Q99" i="1"/>
  <c r="R98" i="1"/>
  <c r="Z82" i="5" l="1"/>
  <c r="Z87" i="5" s="1"/>
  <c r="V82" i="5"/>
  <c r="V87" i="5" s="1"/>
  <c r="T87" i="5"/>
  <c r="T93" i="5" s="1"/>
  <c r="X87" i="5"/>
  <c r="X93" i="5" s="1"/>
  <c r="R99" i="1"/>
  <c r="AC87" i="5"/>
  <c r="AC93" i="5" s="1"/>
  <c r="AD87" i="5"/>
  <c r="Y87" i="5"/>
  <c r="Y93" i="5" s="1"/>
  <c r="U60" i="8" l="1"/>
  <c r="V60" i="8" l="1"/>
  <c r="BQ17" i="4" l="1"/>
  <c r="BT31" i="5" s="1"/>
  <c r="BV31" i="5" s="1"/>
  <c r="BJ17" i="4"/>
  <c r="BE17" i="4"/>
  <c r="BF17" i="4"/>
  <c r="BI17" i="4"/>
  <c r="BP17" i="4"/>
  <c r="BA17" i="4"/>
  <c r="BB17" i="4"/>
  <c r="BH17" i="4"/>
  <c r="AS17" i="4"/>
  <c r="AT17" i="4"/>
  <c r="AR17" i="4"/>
  <c r="AV17" i="4"/>
  <c r="BL17" i="4"/>
  <c r="BN17" i="4"/>
  <c r="BM17" i="4"/>
  <c r="AX17" i="4"/>
  <c r="AW17" i="4"/>
  <c r="AS31" i="5" l="1"/>
  <c r="BP31" i="5"/>
  <c r="BH31" i="5"/>
  <c r="BI31" i="5"/>
  <c r="AW31" i="5"/>
  <c r="BM31" i="5"/>
  <c r="AV31" i="5"/>
  <c r="BQ31" i="5"/>
  <c r="BL31" i="5"/>
  <c r="BR17" i="4"/>
  <c r="AZ17" i="4"/>
  <c r="AN31" i="5"/>
  <c r="AP31" i="5" s="1"/>
  <c r="BD17" i="4"/>
  <c r="A17" i="4" l="1" a="1"/>
  <c r="A17" i="4" s="1"/>
  <c r="BJ31" i="5"/>
  <c r="BD31" i="5"/>
  <c r="AZ31" i="5"/>
  <c r="BA31" i="5"/>
  <c r="BE31" i="5"/>
  <c r="AR31" i="5"/>
  <c r="AX31" i="5"/>
  <c r="BN31" i="5"/>
  <c r="BR31" i="5"/>
  <c r="BF31" i="5" l="1"/>
  <c r="BB31" i="5"/>
  <c r="AT31" i="5"/>
  <c r="AC163" i="4" l="1"/>
  <c r="AC164" i="4" s="1"/>
  <c r="AC165" i="4" s="1"/>
  <c r="AB165" i="4"/>
  <c r="BZ58" i="8" l="1"/>
  <c r="BZ62" i="8" l="1"/>
  <c r="AH122" i="1" l="1"/>
  <c r="AG122" i="1" l="1"/>
  <c r="BY49" i="8" l="1"/>
  <c r="CB49" i="8" l="1"/>
  <c r="CC49" i="8"/>
  <c r="BZ49" i="8" l="1"/>
  <c r="CF49" i="8" l="1"/>
  <c r="AN57" i="5"/>
  <c r="AP57" i="5" s="1"/>
  <c r="CD49" i="8"/>
  <c r="AR130" i="4"/>
  <c r="CG49" i="8"/>
  <c r="AS130" i="4" l="1"/>
  <c r="AR21" i="4"/>
  <c r="CJ49" i="8" s="1"/>
  <c r="CH49" i="8" l="1"/>
  <c r="AR57" i="5"/>
  <c r="AT130" i="4"/>
  <c r="AV130" i="4"/>
  <c r="AS21" i="4"/>
  <c r="CK49" i="8" s="1"/>
  <c r="AS57" i="5" l="1"/>
  <c r="AT57" i="5" s="1"/>
  <c r="AW130" i="4"/>
  <c r="AV21" i="4"/>
  <c r="CN49" i="8" s="1"/>
  <c r="AT131" i="4"/>
  <c r="AT21" i="4"/>
  <c r="CL49" i="8" s="1"/>
  <c r="AV57" i="5" l="1"/>
  <c r="AZ130" i="4"/>
  <c r="AX130" i="4"/>
  <c r="AW21" i="4"/>
  <c r="CO49" i="8" s="1"/>
  <c r="AW57" i="5" l="1"/>
  <c r="AX57" i="5" s="1"/>
  <c r="AX131" i="4"/>
  <c r="AX21" i="4"/>
  <c r="CP49" i="8" s="1"/>
  <c r="BA130" i="4"/>
  <c r="AZ21" i="4"/>
  <c r="CR49" i="8" s="1"/>
  <c r="AZ57" i="5" l="1"/>
  <c r="BB130" i="4"/>
  <c r="BD130" i="4"/>
  <c r="BA21" i="4"/>
  <c r="CS49" i="8" s="1"/>
  <c r="BA57" i="5" l="1"/>
  <c r="BB57" i="5" s="1"/>
  <c r="BE130" i="4"/>
  <c r="BD21" i="4"/>
  <c r="CV49" i="8" s="1"/>
  <c r="BB131" i="4"/>
  <c r="BB21" i="4"/>
  <c r="CT49" i="8" s="1"/>
  <c r="BD57" i="5" l="1"/>
  <c r="BH130" i="4"/>
  <c r="BF130" i="4"/>
  <c r="BE21" i="4"/>
  <c r="CW49" i="8" s="1"/>
  <c r="BE57" i="5" l="1"/>
  <c r="BF57" i="5" s="1"/>
  <c r="BF131" i="4"/>
  <c r="BF21" i="4"/>
  <c r="CX49" i="8" s="1"/>
  <c r="BI130" i="4"/>
  <c r="BH21" i="4"/>
  <c r="BH57" i="5" l="1"/>
  <c r="BJ130" i="4"/>
  <c r="BL130" i="4"/>
  <c r="BI21" i="4"/>
  <c r="BI57" i="5" l="1"/>
  <c r="BJ57" i="5" s="1"/>
  <c r="BM130" i="4"/>
  <c r="BL21" i="4"/>
  <c r="BJ131" i="4"/>
  <c r="BJ21" i="4"/>
  <c r="BL57" i="5" l="1"/>
  <c r="BN130" i="4"/>
  <c r="BP130" i="4"/>
  <c r="BM21" i="4"/>
  <c r="BM57" i="5" l="1"/>
  <c r="BN57" i="5" s="1"/>
  <c r="BQ130" i="4"/>
  <c r="BT130" i="4" s="1"/>
  <c r="BP21" i="4"/>
  <c r="BN131" i="4"/>
  <c r="BN21" i="4"/>
  <c r="BT21" i="4" l="1"/>
  <c r="BU130" i="4"/>
  <c r="BP57" i="5"/>
  <c r="BR130" i="4"/>
  <c r="BQ21" i="4"/>
  <c r="BX130" i="4" l="1"/>
  <c r="BV130" i="4"/>
  <c r="BU21" i="4"/>
  <c r="BU57" i="5" s="1"/>
  <c r="BT57" i="5"/>
  <c r="BQ57" i="5"/>
  <c r="BR57" i="5" s="1"/>
  <c r="BR131" i="4"/>
  <c r="BR21" i="4"/>
  <c r="BV57" i="5" l="1"/>
  <c r="BV21" i="4"/>
  <c r="BV131" i="4"/>
  <c r="BX21" i="4"/>
  <c r="BX57" i="5" s="1"/>
  <c r="BY130" i="4"/>
  <c r="BZ130" i="4" l="1"/>
  <c r="BY21" i="4"/>
  <c r="AF142" i="4"/>
  <c r="AJ142" i="4" s="1"/>
  <c r="BY57" i="5" l="1"/>
  <c r="BZ57" i="5" s="1"/>
  <c r="BZ131" i="4"/>
  <c r="BZ21" i="4"/>
  <c r="A21" i="4" s="1" a="1"/>
  <c r="A21" i="4" s="1"/>
  <c r="AK142" i="4"/>
  <c r="AN142" i="4"/>
  <c r="AJ143" i="4"/>
  <c r="AK143" i="4" s="1"/>
  <c r="AG142" i="4"/>
  <c r="AF143" i="4"/>
  <c r="AK147" i="4" l="1"/>
  <c r="AK148" i="4"/>
  <c r="AN143" i="4"/>
  <c r="AO143" i="4" s="1"/>
  <c r="AO142" i="4"/>
  <c r="AO147" i="4" s="1"/>
  <c r="AG147" i="4"/>
  <c r="AG143" i="4"/>
  <c r="AG148" i="4" s="1"/>
  <c r="AO148" i="4" l="1"/>
  <c r="AR142" i="4"/>
  <c r="AR143" i="4" s="1"/>
  <c r="AV142" i="4" l="1"/>
  <c r="AV143" i="4" s="1"/>
  <c r="AM142" i="4"/>
  <c r="AM143" i="4"/>
  <c r="AS142" i="4"/>
  <c r="AZ142" i="4" l="1"/>
  <c r="BD142" i="4" s="1"/>
  <c r="AQ142" i="4"/>
  <c r="AQ143" i="4"/>
  <c r="AW142" i="4"/>
  <c r="AS143" i="4"/>
  <c r="AT143" i="4" s="1"/>
  <c r="AT142" i="4"/>
  <c r="BY50" i="8"/>
  <c r="AZ143" i="4" l="1"/>
  <c r="AT147" i="4"/>
  <c r="AU142" i="4"/>
  <c r="AU143" i="4"/>
  <c r="AT148" i="4"/>
  <c r="AW143" i="4"/>
  <c r="AX143" i="4" s="1"/>
  <c r="BA142" i="4"/>
  <c r="AX142" i="4"/>
  <c r="BD143" i="4"/>
  <c r="BH142" i="4"/>
  <c r="AY142" i="4" l="1"/>
  <c r="AX147" i="4"/>
  <c r="BA143" i="4"/>
  <c r="BB143" i="4" s="1"/>
  <c r="BE142" i="4"/>
  <c r="BB142" i="4"/>
  <c r="AY143" i="4"/>
  <c r="AX148" i="4"/>
  <c r="BZ50" i="8"/>
  <c r="BH143" i="4"/>
  <c r="BL142" i="4"/>
  <c r="AJ54" i="5"/>
  <c r="CB50" i="8" l="1"/>
  <c r="BB147" i="4"/>
  <c r="BC142" i="4"/>
  <c r="BB148" i="4"/>
  <c r="BC143" i="4"/>
  <c r="BE143" i="4"/>
  <c r="BF143" i="4" s="1"/>
  <c r="BI142" i="4"/>
  <c r="BF142" i="4"/>
  <c r="BL143" i="4"/>
  <c r="BP142" i="4"/>
  <c r="BT142" i="4" s="1"/>
  <c r="BT143" i="4" l="1"/>
  <c r="BX142" i="4"/>
  <c r="BF147" i="4"/>
  <c r="BG142" i="4"/>
  <c r="BI143" i="4"/>
  <c r="BJ143" i="4" s="1"/>
  <c r="BM142" i="4"/>
  <c r="BJ142" i="4"/>
  <c r="BG143" i="4"/>
  <c r="BF148" i="4"/>
  <c r="BP143" i="4"/>
  <c r="BX143" i="4" l="1"/>
  <c r="BK143" i="4"/>
  <c r="BJ148" i="4"/>
  <c r="BJ147" i="4"/>
  <c r="BK142" i="4"/>
  <c r="BQ142" i="4"/>
  <c r="BU142" i="4" s="1"/>
  <c r="BM143" i="4"/>
  <c r="BN143" i="4" s="1"/>
  <c r="BN142" i="4"/>
  <c r="BU143" i="4" l="1"/>
  <c r="BV143" i="4" s="1"/>
  <c r="BY142" i="4"/>
  <c r="BV142" i="4"/>
  <c r="BN148" i="4"/>
  <c r="BO143" i="4"/>
  <c r="BN147" i="4"/>
  <c r="BO142" i="4"/>
  <c r="BQ143" i="4"/>
  <c r="BR143" i="4" s="1"/>
  <c r="BR142" i="4"/>
  <c r="BV147" i="4" l="1"/>
  <c r="BW142" i="4"/>
  <c r="BY143" i="4"/>
  <c r="BZ143" i="4" s="1"/>
  <c r="BZ142" i="4"/>
  <c r="BZ147" i="4" s="1"/>
  <c r="BW143" i="4"/>
  <c r="BV148" i="4"/>
  <c r="BS142" i="4"/>
  <c r="BS143" i="4"/>
  <c r="BR147" i="4"/>
  <c r="BR148" i="4"/>
  <c r="BZ148" i="4" l="1"/>
  <c r="AF163" i="4"/>
  <c r="AF175" i="4" l="1"/>
  <c r="AF176" i="4" s="1"/>
  <c r="AF168" i="4" s="1"/>
  <c r="AF177" i="4" s="1"/>
  <c r="AG177" i="4"/>
  <c r="AF166" i="4" l="1"/>
  <c r="BZ52" i="8"/>
  <c r="AJ172" i="4"/>
  <c r="AJ160" i="4" s="1"/>
  <c r="AK160" i="4" s="1"/>
  <c r="BY52" i="8"/>
  <c r="AG394" i="1" l="1"/>
  <c r="AG395" i="1" l="1"/>
  <c r="AH395" i="1"/>
  <c r="AH394" i="1" l="1"/>
  <c r="U61" i="8"/>
  <c r="V61" i="8"/>
  <c r="R116" i="51" l="1"/>
  <c r="R117" i="51"/>
  <c r="Q116" i="51" l="1"/>
  <c r="Q117" i="51"/>
  <c r="Q123" i="51" l="1"/>
  <c r="R123" i="51"/>
  <c r="X18" i="8" l="1"/>
  <c r="X44" i="8" l="1"/>
  <c r="X60" i="8"/>
  <c r="X19" i="8" l="1"/>
  <c r="X45" i="8" l="1"/>
  <c r="X61" i="8"/>
  <c r="AJ395" i="1"/>
  <c r="AJ394" i="1"/>
  <c r="AF56" i="1" l="1"/>
  <c r="Z51" i="1"/>
  <c r="X55" i="1"/>
  <c r="X56" i="1" s="1"/>
  <c r="Y55" i="1"/>
  <c r="Y56" i="1" s="1"/>
  <c r="Z55" i="1" l="1"/>
  <c r="Z56" i="1" s="1"/>
  <c r="Z52" i="1"/>
  <c r="V23" i="8" l="1"/>
  <c r="V86" i="8" s="1"/>
  <c r="V64" i="8" l="1"/>
  <c r="V66" i="8"/>
  <c r="V47" i="8"/>
  <c r="BZ31" i="8"/>
  <c r="U30" i="8" l="1"/>
  <c r="BZ32" i="8"/>
  <c r="V30" i="8" l="1"/>
  <c r="U39" i="8" l="1"/>
  <c r="U74" i="8" l="1"/>
  <c r="V39" i="8"/>
  <c r="AM238" i="4"/>
  <c r="V74" i="8" l="1"/>
  <c r="BY18" i="8"/>
  <c r="BZ18" i="8" l="1"/>
  <c r="AG110" i="1" l="1"/>
  <c r="AG108" i="1" s="1"/>
  <c r="AH110" i="1"/>
  <c r="AH108" i="1" s="1"/>
  <c r="AG114" i="1"/>
  <c r="AG113" i="1" s="1"/>
  <c r="AH114" i="1"/>
  <c r="BY20" i="8"/>
  <c r="BZ20" i="8"/>
  <c r="BY21" i="8"/>
  <c r="BZ21" i="8"/>
  <c r="BY22" i="8"/>
  <c r="BZ22" i="8"/>
  <c r="AI114" i="1" l="1"/>
  <c r="AH113" i="1"/>
  <c r="AH425" i="1" l="1"/>
  <c r="AH426" i="1"/>
  <c r="AF429" i="1" s="1"/>
  <c r="AG51" i="1"/>
  <c r="AH434" i="1" l="1"/>
  <c r="AH30" i="1" s="1"/>
  <c r="AH431" i="1"/>
  <c r="AH427" i="1"/>
  <c r="V20" i="8"/>
  <c r="AG52" i="1"/>
  <c r="AG55" i="1"/>
  <c r="AH51" i="1"/>
  <c r="V32" i="51" l="1"/>
  <c r="V101" i="51" s="1"/>
  <c r="V46" i="8"/>
  <c r="V81" i="8"/>
  <c r="AH436" i="1"/>
  <c r="AH52" i="1"/>
  <c r="AH55" i="1"/>
  <c r="V33" i="51" l="1"/>
  <c r="V105" i="51" s="1"/>
  <c r="AH90" i="5" l="1"/>
  <c r="AH91" i="5" s="1"/>
  <c r="V27" i="8"/>
  <c r="AG183" i="1" l="1"/>
  <c r="AG194" i="1" l="1"/>
  <c r="AH183" i="1"/>
  <c r="AH129" i="5"/>
  <c r="AG129" i="5"/>
  <c r="AH131" i="5"/>
  <c r="BZ37" i="8"/>
  <c r="AG184" i="1"/>
  <c r="AG131" i="5"/>
  <c r="BY37" i="8"/>
  <c r="AG185" i="1" l="1"/>
  <c r="AH184" i="1"/>
  <c r="AG197" i="1"/>
  <c r="AG195" i="1"/>
  <c r="AG13" i="4"/>
  <c r="BY36" i="8"/>
  <c r="BY72" i="8"/>
  <c r="AG45" i="1" l="1"/>
  <c r="AG46" i="1" s="1"/>
  <c r="AG108" i="5"/>
  <c r="AG105" i="5"/>
  <c r="AG106" i="5" s="1"/>
  <c r="AG18" i="4"/>
  <c r="AG30" i="4" s="1"/>
  <c r="AG51" i="4" s="1"/>
  <c r="AG65" i="4" s="1"/>
  <c r="AG71" i="4"/>
  <c r="AG72" i="4" s="1"/>
  <c r="AH185" i="1"/>
  <c r="AH13" i="4"/>
  <c r="BY35" i="8"/>
  <c r="AG196" i="1"/>
  <c r="BY14" i="8"/>
  <c r="AG186" i="1"/>
  <c r="AH45" i="1" l="1"/>
  <c r="AH46" i="1" s="1"/>
  <c r="AG52" i="4"/>
  <c r="AG53" i="4" s="1"/>
  <c r="AH105" i="5"/>
  <c r="AH106" i="5" s="1"/>
  <c r="AH108" i="5"/>
  <c r="AH18" i="4"/>
  <c r="AH30" i="4" s="1"/>
  <c r="AH51" i="4" s="1"/>
  <c r="AH65" i="4" s="1"/>
  <c r="AH92" i="4"/>
  <c r="AG92" i="4" s="1"/>
  <c r="AH71" i="4"/>
  <c r="AH72" i="4" s="1"/>
  <c r="AG104" i="4"/>
  <c r="AG105" i="4"/>
  <c r="BY43" i="8"/>
  <c r="AH186" i="1"/>
  <c r="AH194" i="1"/>
  <c r="BY16" i="8"/>
  <c r="BZ43" i="8"/>
  <c r="AH52" i="4" l="1"/>
  <c r="AH53" i="4" s="1"/>
  <c r="AH105" i="4"/>
  <c r="AH104" i="4"/>
  <c r="AH181" i="1" s="1"/>
  <c r="AH173" i="1"/>
  <c r="BY47" i="8"/>
  <c r="BZ47" i="8"/>
  <c r="BZ36" i="8"/>
  <c r="BZ72" i="8"/>
  <c r="AH195" i="1"/>
  <c r="AH197" i="1"/>
  <c r="AG181" i="1"/>
  <c r="AG173" i="1"/>
  <c r="AH174" i="1" l="1"/>
  <c r="AH196" i="1"/>
  <c r="BZ14" i="8"/>
  <c r="BZ35" i="8"/>
  <c r="BY46" i="8"/>
  <c r="BZ46" i="8"/>
  <c r="AG174" i="1"/>
  <c r="BY54" i="8" l="1"/>
  <c r="BZ16" i="8"/>
  <c r="AG202" i="1" l="1"/>
  <c r="BZ54" i="8"/>
  <c r="BY53" i="8"/>
  <c r="BY77" i="8"/>
  <c r="BZ53" i="8" l="1"/>
  <c r="BZ77" i="8"/>
  <c r="AG188" i="1"/>
  <c r="AG203" i="1"/>
  <c r="AH202" i="1"/>
  <c r="AG189" i="1" l="1"/>
  <c r="AG191" i="1"/>
  <c r="AH188" i="1"/>
  <c r="AH203" i="1"/>
  <c r="AH191" i="1" l="1"/>
  <c r="BY13" i="8"/>
  <c r="AG190" i="1"/>
  <c r="AH189" i="1"/>
  <c r="BY15" i="8" l="1"/>
  <c r="AH190" i="1"/>
  <c r="BZ13" i="8"/>
  <c r="BZ15" i="8" l="1"/>
  <c r="AG163" i="4" l="1"/>
  <c r="AG164" i="4" s="1"/>
  <c r="AH164" i="4"/>
  <c r="AH176" i="4"/>
  <c r="AJ169" i="4" s="1"/>
  <c r="AH165" i="4" l="1"/>
  <c r="AJ157" i="4"/>
  <c r="AJ163" i="4" s="1"/>
  <c r="AK163" i="4" s="1"/>
  <c r="AK164" i="4" s="1"/>
  <c r="AH166" i="4"/>
  <c r="AH177" i="4"/>
  <c r="AG165" i="4"/>
  <c r="AG166" i="4"/>
  <c r="AK166" i="4" l="1"/>
  <c r="AK165" i="4"/>
  <c r="AJ175" i="4"/>
  <c r="AJ176" i="4" s="1"/>
  <c r="AJ166" i="4" l="1"/>
  <c r="AJ168" i="4"/>
  <c r="AJ177" i="4" s="1"/>
  <c r="CB52" i="8" l="1"/>
  <c r="AJ44" i="1" l="1"/>
  <c r="AG421" i="1"/>
  <c r="AK422" i="1" l="1"/>
  <c r="AG426" i="1"/>
  <c r="U12" i="8"/>
  <c r="AG425" i="1"/>
  <c r="AG11" i="1"/>
  <c r="AI11" i="1" s="1"/>
  <c r="AG434" i="1" l="1"/>
  <c r="AG30" i="1" s="1"/>
  <c r="AI30" i="1" s="1"/>
  <c r="AG429" i="1"/>
  <c r="AH429" i="1" s="1"/>
  <c r="AR418" i="1"/>
  <c r="AS418" i="1" s="1"/>
  <c r="AJ11" i="1"/>
  <c r="U15" i="8"/>
  <c r="AR419" i="1"/>
  <c r="AR44" i="1" s="1"/>
  <c r="AG427" i="1"/>
  <c r="X12" i="8"/>
  <c r="U20" i="8"/>
  <c r="U46" i="8" s="1"/>
  <c r="AG431" i="1"/>
  <c r="AG118" i="4"/>
  <c r="AG20" i="1"/>
  <c r="AI20" i="1" s="1"/>
  <c r="AG13" i="1"/>
  <c r="AI13" i="1" s="1"/>
  <c r="AR420" i="1"/>
  <c r="U32" i="51" l="1"/>
  <c r="U101" i="51" s="1"/>
  <c r="AT418" i="1"/>
  <c r="AV418" i="1"/>
  <c r="AZ418" i="1" s="1"/>
  <c r="BD418" i="1" s="1"/>
  <c r="Z12" i="8"/>
  <c r="Z54" i="8" s="1"/>
  <c r="AJ13" i="1"/>
  <c r="X112" i="51" s="1"/>
  <c r="AJ118" i="4"/>
  <c r="Y12" i="8"/>
  <c r="U56" i="8"/>
  <c r="AS419" i="1"/>
  <c r="AS44" i="1" s="1"/>
  <c r="AV419" i="1"/>
  <c r="AV44" i="1" s="1"/>
  <c r="AB12" i="8"/>
  <c r="AB54" i="8" s="1"/>
  <c r="AJ32" i="5"/>
  <c r="X20" i="8"/>
  <c r="X46" i="8" s="1"/>
  <c r="AG90" i="5"/>
  <c r="AG91" i="5" s="1"/>
  <c r="AG83" i="5" s="1"/>
  <c r="U27" i="8"/>
  <c r="AG22" i="1"/>
  <c r="AI22" i="1" s="1"/>
  <c r="U112" i="51"/>
  <c r="U80" i="8"/>
  <c r="Y20" i="8"/>
  <c r="AV420" i="1"/>
  <c r="AS420" i="1"/>
  <c r="AT420" i="1" s="1"/>
  <c r="AR421" i="1"/>
  <c r="AG205" i="4"/>
  <c r="AG226" i="4"/>
  <c r="AG116" i="4"/>
  <c r="AG202" i="4"/>
  <c r="AG217" i="4"/>
  <c r="AG223" i="4"/>
  <c r="AG199" i="4"/>
  <c r="AG211" i="4"/>
  <c r="AG220" i="4"/>
  <c r="AG122" i="4"/>
  <c r="AG208" i="4"/>
  <c r="AG229" i="4"/>
  <c r="AF12" i="8" l="1"/>
  <c r="AF54" i="8" s="1"/>
  <c r="X113" i="51"/>
  <c r="AB113" i="51"/>
  <c r="BA418" i="1"/>
  <c r="BB418" i="1" s="1"/>
  <c r="AW418" i="1"/>
  <c r="AX418" i="1" s="1"/>
  <c r="U113" i="51"/>
  <c r="Y113" i="51"/>
  <c r="AJ26" i="5"/>
  <c r="AL26" i="5" s="1"/>
  <c r="AL32" i="5"/>
  <c r="Y46" i="8"/>
  <c r="AJ211" i="4"/>
  <c r="AJ217" i="4"/>
  <c r="AJ208" i="4"/>
  <c r="AJ202" i="4"/>
  <c r="AJ199" i="4"/>
  <c r="AJ223" i="4"/>
  <c r="AJ226" i="4"/>
  <c r="AJ122" i="4"/>
  <c r="AJ229" i="4"/>
  <c r="AJ205" i="4"/>
  <c r="AJ116" i="4"/>
  <c r="AJ220" i="4"/>
  <c r="AT419" i="1"/>
  <c r="AT44" i="1" s="1"/>
  <c r="AV421" i="1"/>
  <c r="AJ16" i="1"/>
  <c r="AW419" i="1"/>
  <c r="AX419" i="1" s="1"/>
  <c r="AX44" i="1" s="1"/>
  <c r="AZ419" i="1"/>
  <c r="AZ44" i="1" s="1"/>
  <c r="AB20" i="8"/>
  <c r="AB46" i="8" s="1"/>
  <c r="AG87" i="5"/>
  <c r="AH83" i="5"/>
  <c r="AH87" i="5" s="1"/>
  <c r="AJ33" i="5"/>
  <c r="AL33" i="5" s="1"/>
  <c r="AC12" i="8"/>
  <c r="AC54" i="8" s="1"/>
  <c r="AJ61" i="5"/>
  <c r="AL61" i="5" s="1"/>
  <c r="BE418" i="1"/>
  <c r="BF418" i="1" s="1"/>
  <c r="BH418" i="1"/>
  <c r="AG74" i="4"/>
  <c r="AG23" i="1"/>
  <c r="U115" i="51"/>
  <c r="Y116" i="51" s="1"/>
  <c r="U23" i="8"/>
  <c r="U86" i="8" s="1"/>
  <c r="AS421" i="1"/>
  <c r="AJ60" i="5"/>
  <c r="AL60" i="5" s="1"/>
  <c r="AJ34" i="5"/>
  <c r="AL34" i="5" s="1"/>
  <c r="AR422" i="1"/>
  <c r="AR426" i="1"/>
  <c r="AF20" i="8" s="1"/>
  <c r="CB44" i="8"/>
  <c r="AJ35" i="5"/>
  <c r="AL35" i="5" s="1"/>
  <c r="AW420" i="1"/>
  <c r="AZ420" i="1"/>
  <c r="AJ62" i="5"/>
  <c r="AL62" i="5" s="1"/>
  <c r="AJ36" i="5"/>
  <c r="AL36" i="5" s="1"/>
  <c r="AF46" i="8" l="1"/>
  <c r="AJ12" i="8"/>
  <c r="AJ54" i="8" s="1"/>
  <c r="AG12" i="8"/>
  <c r="AG54" i="8" s="1"/>
  <c r="AV426" i="1"/>
  <c r="AV424" i="1" s="1"/>
  <c r="AZ421" i="1"/>
  <c r="AT421" i="1"/>
  <c r="AW421" i="1"/>
  <c r="AV422" i="1"/>
  <c r="AW44" i="1"/>
  <c r="AJ30" i="5"/>
  <c r="AL30" i="5" s="1"/>
  <c r="AL37" i="5" s="1"/>
  <c r="AJ63" i="5"/>
  <c r="BD419" i="1"/>
  <c r="BD44" i="1" s="1"/>
  <c r="BA419" i="1"/>
  <c r="BB419" i="1" s="1"/>
  <c r="BB44" i="1" s="1"/>
  <c r="AJ18" i="1"/>
  <c r="AJ20" i="1"/>
  <c r="AJ22" i="1" s="1"/>
  <c r="CB45" i="8"/>
  <c r="AD12" i="8"/>
  <c r="AD54" i="8" s="1"/>
  <c r="CB60" i="8"/>
  <c r="BY31" i="8"/>
  <c r="CB56" i="8"/>
  <c r="AR424" i="1"/>
  <c r="CB67" i="8"/>
  <c r="AS426" i="1"/>
  <c r="AG20" i="8" s="1"/>
  <c r="AS422" i="1"/>
  <c r="AG77" i="4"/>
  <c r="BA420" i="1"/>
  <c r="BD420" i="1"/>
  <c r="CB59" i="8"/>
  <c r="U64" i="8"/>
  <c r="U66" i="8"/>
  <c r="U81" i="8"/>
  <c r="U47" i="8"/>
  <c r="CB65" i="8"/>
  <c r="CB57" i="8"/>
  <c r="CB68" i="8"/>
  <c r="AX420" i="1"/>
  <c r="AX421" i="1" s="1"/>
  <c r="AL12" i="8" s="1"/>
  <c r="CB58" i="8"/>
  <c r="U116" i="51"/>
  <c r="U117" i="51"/>
  <c r="BI418" i="1"/>
  <c r="BL418" i="1"/>
  <c r="CB66" i="8"/>
  <c r="AN12" i="8" l="1"/>
  <c r="AN54" i="8" s="1"/>
  <c r="AG46" i="8"/>
  <c r="AK12" i="8"/>
  <c r="AK54" i="8" s="1"/>
  <c r="AJ20" i="8"/>
  <c r="AJ46" i="8" s="1"/>
  <c r="AH12" i="8"/>
  <c r="AH54" i="8" s="1"/>
  <c r="AZ422" i="1"/>
  <c r="C10" i="61"/>
  <c r="AZ426" i="1"/>
  <c r="AT422" i="1"/>
  <c r="AH31" i="51" s="1"/>
  <c r="AH97" i="51" s="1"/>
  <c r="BH419" i="1"/>
  <c r="BH44" i="1" s="1"/>
  <c r="BA421" i="1"/>
  <c r="AW426" i="1"/>
  <c r="AK20" i="8" s="1"/>
  <c r="AW422" i="1"/>
  <c r="AJ429" i="1"/>
  <c r="AL429" i="1" s="1"/>
  <c r="BE419" i="1"/>
  <c r="BE44" i="1" s="1"/>
  <c r="BA44" i="1"/>
  <c r="AJ23" i="1"/>
  <c r="X115" i="51"/>
  <c r="AB116" i="51" s="1"/>
  <c r="AJ74" i="4"/>
  <c r="AJ77" i="4" s="1"/>
  <c r="AJ78" i="4" s="1"/>
  <c r="CB62" i="8"/>
  <c r="CB70" i="8"/>
  <c r="AX422" i="1"/>
  <c r="AL31" i="51" s="1"/>
  <c r="AL97" i="51" s="1"/>
  <c r="BH420" i="1"/>
  <c r="BE420" i="1"/>
  <c r="BF420" i="1" s="1"/>
  <c r="BD421" i="1"/>
  <c r="AS424" i="1"/>
  <c r="AT424" i="1" s="1"/>
  <c r="AR425" i="1"/>
  <c r="BP418" i="1"/>
  <c r="BT418" i="1" s="1"/>
  <c r="BM418" i="1"/>
  <c r="BN418" i="1" s="1"/>
  <c r="X23" i="8"/>
  <c r="AV425" i="1"/>
  <c r="BJ418" i="1"/>
  <c r="BB420" i="1"/>
  <c r="BB421" i="1" s="1"/>
  <c r="AG78" i="4"/>
  <c r="Z101" i="51"/>
  <c r="Z46" i="8"/>
  <c r="BX418" i="1" l="1"/>
  <c r="BU418" i="1"/>
  <c r="AO12" i="8"/>
  <c r="AO54" i="8" s="1"/>
  <c r="AK46" i="8"/>
  <c r="AL54" i="8"/>
  <c r="AN20" i="8"/>
  <c r="AN46" i="8" s="1"/>
  <c r="AP12" i="8"/>
  <c r="AP54" i="8" s="1"/>
  <c r="BL419" i="1"/>
  <c r="BL44" i="1" s="1"/>
  <c r="BH421" i="1"/>
  <c r="AZ424" i="1"/>
  <c r="AZ425" i="1" s="1"/>
  <c r="AW424" i="1"/>
  <c r="AX424" i="1" s="1"/>
  <c r="AX425" i="1" s="1"/>
  <c r="BA422" i="1"/>
  <c r="BI419" i="1"/>
  <c r="BI44" i="1" s="1"/>
  <c r="BA426" i="1"/>
  <c r="BF419" i="1"/>
  <c r="BF44" i="1" s="1"/>
  <c r="X117" i="51"/>
  <c r="X116" i="51"/>
  <c r="BE421" i="1"/>
  <c r="AR208" i="4"/>
  <c r="BY32" i="8"/>
  <c r="BD426" i="1"/>
  <c r="BD422" i="1"/>
  <c r="AR12" i="8"/>
  <c r="AR223" i="4"/>
  <c r="AT425" i="1"/>
  <c r="AT426" i="1"/>
  <c r="AR205" i="4"/>
  <c r="AR202" i="4"/>
  <c r="BB422" i="1"/>
  <c r="AP31" i="51" s="1"/>
  <c r="AP97" i="51" s="1"/>
  <c r="X64" i="8"/>
  <c r="X66" i="8"/>
  <c r="X81" i="8"/>
  <c r="BQ418" i="1"/>
  <c r="BR418" i="1" s="1"/>
  <c r="CB31" i="8"/>
  <c r="AS425" i="1"/>
  <c r="AR226" i="4"/>
  <c r="BL420" i="1"/>
  <c r="BI420" i="1"/>
  <c r="AR211" i="4"/>
  <c r="AR229" i="4"/>
  <c r="BP419" i="1" l="1"/>
  <c r="BT419" i="1" s="1"/>
  <c r="BX419" i="1" s="1"/>
  <c r="BU419" i="1"/>
  <c r="BU44" i="1" s="1"/>
  <c r="BV418" i="1"/>
  <c r="BY418" i="1"/>
  <c r="AO20" i="8"/>
  <c r="AO46" i="8" s="1"/>
  <c r="E10" i="61"/>
  <c r="AH20" i="8"/>
  <c r="AH46" i="8" s="1"/>
  <c r="BH422" i="1"/>
  <c r="BM419" i="1"/>
  <c r="BN419" i="1" s="1"/>
  <c r="BN44" i="1" s="1"/>
  <c r="BH426" i="1"/>
  <c r="BH424" i="1" s="1"/>
  <c r="AV12" i="8"/>
  <c r="BA424" i="1"/>
  <c r="BB424" i="1" s="1"/>
  <c r="BB426" i="1" s="1"/>
  <c r="AX426" i="1"/>
  <c r="BI421" i="1"/>
  <c r="AW425" i="1"/>
  <c r="BF421" i="1"/>
  <c r="BJ419" i="1"/>
  <c r="BJ44" i="1" s="1"/>
  <c r="AR429" i="1"/>
  <c r="AS429" i="1"/>
  <c r="BE422" i="1"/>
  <c r="BE426" i="1"/>
  <c r="AS12" i="8"/>
  <c r="BJ420" i="1"/>
  <c r="BM420" i="1"/>
  <c r="BP420" i="1"/>
  <c r="BT420" i="1" s="1"/>
  <c r="AS205" i="4"/>
  <c r="AT427" i="1"/>
  <c r="AH32" i="51" s="1"/>
  <c r="AH101" i="51" s="1"/>
  <c r="AS199" i="4"/>
  <c r="AV199" i="4" s="1"/>
  <c r="AS208" i="4"/>
  <c r="AS229" i="4"/>
  <c r="AS202" i="4"/>
  <c r="AS226" i="4"/>
  <c r="AS223" i="4"/>
  <c r="BD424" i="1"/>
  <c r="AR20" i="8"/>
  <c r="AR46" i="8" s="1"/>
  <c r="AS211" i="4"/>
  <c r="BL421" i="1"/>
  <c r="BV419" i="1" l="1"/>
  <c r="BV44" i="1" s="1"/>
  <c r="BT44" i="1"/>
  <c r="BQ419" i="1"/>
  <c r="BP44" i="1"/>
  <c r="BY419" i="1"/>
  <c r="BX44" i="1"/>
  <c r="BX420" i="1"/>
  <c r="BU420" i="1"/>
  <c r="BU421" i="1" s="1"/>
  <c r="BV420" i="1"/>
  <c r="BV421" i="1" s="1"/>
  <c r="BZ418" i="1"/>
  <c r="BT421" i="1"/>
  <c r="AP20" i="8"/>
  <c r="AP46" i="8" s="1"/>
  <c r="AL20" i="8"/>
  <c r="AL46" i="8" s="1"/>
  <c r="BM44" i="1"/>
  <c r="BI426" i="1"/>
  <c r="AT12" i="8"/>
  <c r="BM421" i="1"/>
  <c r="AV20" i="8"/>
  <c r="AV46" i="8" s="1"/>
  <c r="BB425" i="1"/>
  <c r="AX427" i="1"/>
  <c r="AL32" i="51" s="1"/>
  <c r="AL101" i="51" s="1"/>
  <c r="BA425" i="1"/>
  <c r="AW429" i="1"/>
  <c r="AV429" i="1"/>
  <c r="AW12" i="8"/>
  <c r="BI422" i="1"/>
  <c r="BF422" i="1"/>
  <c r="AT31" i="51" s="1"/>
  <c r="AT97" i="51" s="1"/>
  <c r="BJ421" i="1"/>
  <c r="AT429" i="1"/>
  <c r="AZ429" i="1"/>
  <c r="BA429" i="1"/>
  <c r="BR419" i="1"/>
  <c r="BR44" i="1" s="1"/>
  <c r="BQ44" i="1"/>
  <c r="BE424" i="1"/>
  <c r="AS20" i="8"/>
  <c r="AS46" i="8" s="1"/>
  <c r="BD425" i="1"/>
  <c r="AV202" i="4"/>
  <c r="AV229" i="4"/>
  <c r="AV205" i="4"/>
  <c r="AV211" i="4"/>
  <c r="AV223" i="4"/>
  <c r="BB427" i="1"/>
  <c r="AP32" i="51" s="1"/>
  <c r="AP101" i="51" s="1"/>
  <c r="BQ420" i="1"/>
  <c r="BQ421" i="1" s="1"/>
  <c r="BP421" i="1"/>
  <c r="AZ12" i="8"/>
  <c r="BL426" i="1"/>
  <c r="BL422" i="1"/>
  <c r="BH425" i="1"/>
  <c r="AV226" i="4"/>
  <c r="AV208" i="4"/>
  <c r="CB32" i="8"/>
  <c r="BN420" i="1"/>
  <c r="BN421" i="1" s="1"/>
  <c r="BY420" i="1" l="1"/>
  <c r="BX421" i="1"/>
  <c r="BZ419" i="1"/>
  <c r="BZ44" i="1" s="1"/>
  <c r="BY44" i="1"/>
  <c r="BT422" i="1"/>
  <c r="BT426" i="1"/>
  <c r="BU422" i="1"/>
  <c r="BU426" i="1"/>
  <c r="AW20" i="8"/>
  <c r="AW46" i="8" s="1"/>
  <c r="BI424" i="1"/>
  <c r="BJ424" i="1" s="1"/>
  <c r="BJ425" i="1" s="1"/>
  <c r="BA12" i="8"/>
  <c r="AX12" i="8"/>
  <c r="BM422" i="1"/>
  <c r="BM426" i="1"/>
  <c r="BM424" i="1" s="1"/>
  <c r="AX429" i="1"/>
  <c r="BJ422" i="1"/>
  <c r="AX31" i="51" s="1"/>
  <c r="AX97" i="51" s="1"/>
  <c r="BB429" i="1"/>
  <c r="BE425" i="1"/>
  <c r="BF424" i="1"/>
  <c r="BR420" i="1"/>
  <c r="BR421" i="1" s="1"/>
  <c r="BD12" i="8"/>
  <c r="BP426" i="1"/>
  <c r="BP422" i="1"/>
  <c r="AW205" i="4"/>
  <c r="AW229" i="4"/>
  <c r="AW202" i="4"/>
  <c r="BL424" i="1"/>
  <c r="AZ20" i="8"/>
  <c r="AZ46" i="8" s="1"/>
  <c r="AW223" i="4"/>
  <c r="BN422" i="1"/>
  <c r="BB31" i="51" s="1"/>
  <c r="BB97" i="51" s="1"/>
  <c r="BB12" i="8"/>
  <c r="AW208" i="4"/>
  <c r="AW226" i="4"/>
  <c r="BE12" i="8"/>
  <c r="BQ426" i="1"/>
  <c r="BQ422" i="1"/>
  <c r="AW211" i="4"/>
  <c r="AW199" i="4"/>
  <c r="BU424" i="1" l="1"/>
  <c r="BU425" i="1" s="1"/>
  <c r="BT424" i="1"/>
  <c r="BX422" i="1"/>
  <c r="BX426" i="1"/>
  <c r="BZ420" i="1"/>
  <c r="BZ421" i="1" s="1"/>
  <c r="BZ422" i="1" s="1"/>
  <c r="BN31" i="51" s="1"/>
  <c r="BN97" i="51" s="1"/>
  <c r="BY421" i="1"/>
  <c r="BV422" i="1"/>
  <c r="BJ31" i="51" s="1"/>
  <c r="BJ97" i="51" s="1"/>
  <c r="BI425" i="1"/>
  <c r="BJ426" i="1"/>
  <c r="BA20" i="8"/>
  <c r="BA46" i="8" s="1"/>
  <c r="BF425" i="1"/>
  <c r="BF426" i="1"/>
  <c r="BF12" i="8"/>
  <c r="BR422" i="1"/>
  <c r="BF31" i="51" s="1"/>
  <c r="BF97" i="51" s="1"/>
  <c r="BQ424" i="1"/>
  <c r="BE20" i="8"/>
  <c r="BE46" i="8" s="1"/>
  <c r="BN424" i="1"/>
  <c r="BL425" i="1"/>
  <c r="BM425" i="1"/>
  <c r="AZ229" i="4"/>
  <c r="AZ199" i="4"/>
  <c r="AZ208" i="4"/>
  <c r="AZ202" i="4"/>
  <c r="AZ211" i="4"/>
  <c r="AZ226" i="4"/>
  <c r="AZ223" i="4"/>
  <c r="AZ205" i="4"/>
  <c r="BP424" i="1"/>
  <c r="BD20" i="8"/>
  <c r="BD46" i="8" s="1"/>
  <c r="BT425" i="1" l="1"/>
  <c r="BV424" i="1"/>
  <c r="BY426" i="1"/>
  <c r="BY422" i="1"/>
  <c r="BX424" i="1"/>
  <c r="BI429" i="1"/>
  <c r="BJ427" i="1"/>
  <c r="AX32" i="51" s="1"/>
  <c r="AX101" i="51" s="1"/>
  <c r="AX20" i="8"/>
  <c r="AX46" i="8" s="1"/>
  <c r="BH429" i="1"/>
  <c r="BJ429" i="1" s="1"/>
  <c r="BD429" i="1"/>
  <c r="BE429" i="1"/>
  <c r="AT20" i="8"/>
  <c r="AT46" i="8" s="1"/>
  <c r="BF427" i="1"/>
  <c r="AT32" i="51" s="1"/>
  <c r="AT101" i="51" s="1"/>
  <c r="BP425" i="1"/>
  <c r="BR424" i="1"/>
  <c r="BA223" i="4"/>
  <c r="BA226" i="4"/>
  <c r="BA211" i="4"/>
  <c r="BQ425" i="1"/>
  <c r="BA205" i="4"/>
  <c r="BA202" i="4"/>
  <c r="BN425" i="1"/>
  <c r="BN426" i="1"/>
  <c r="BA208" i="4"/>
  <c r="BA199" i="4"/>
  <c r="BA229" i="4"/>
  <c r="BX425" i="1" l="1"/>
  <c r="BY424" i="1"/>
  <c r="BY425" i="1" s="1"/>
  <c r="BV425" i="1"/>
  <c r="BV426" i="1"/>
  <c r="BL429" i="1"/>
  <c r="BM429" i="1"/>
  <c r="BF429" i="1"/>
  <c r="BD199" i="4"/>
  <c r="BD202" i="4"/>
  <c r="BD226" i="4"/>
  <c r="BN427" i="1"/>
  <c r="BB32" i="51" s="1"/>
  <c r="BB101" i="51" s="1"/>
  <c r="BB20" i="8"/>
  <c r="BB46" i="8" s="1"/>
  <c r="BD223" i="4"/>
  <c r="BD229" i="4"/>
  <c r="BD205" i="4"/>
  <c r="BD211" i="4"/>
  <c r="BD208" i="4"/>
  <c r="BR425" i="1"/>
  <c r="BR426" i="1"/>
  <c r="BV427" i="1" l="1"/>
  <c r="BJ32" i="51" s="1"/>
  <c r="BJ101" i="51" s="1"/>
  <c r="BT429" i="1"/>
  <c r="BU429" i="1"/>
  <c r="BZ424" i="1"/>
  <c r="BN429" i="1"/>
  <c r="BQ429" i="1"/>
  <c r="BP429" i="1"/>
  <c r="BE208" i="4"/>
  <c r="BE223" i="4"/>
  <c r="BE211" i="4"/>
  <c r="BE205" i="4"/>
  <c r="BE229" i="4"/>
  <c r="BE202" i="4"/>
  <c r="BE199" i="4"/>
  <c r="BR427" i="1"/>
  <c r="BF32" i="51" s="1"/>
  <c r="BF101" i="51" s="1"/>
  <c r="BF20" i="8"/>
  <c r="BF46" i="8" s="1"/>
  <c r="BE226" i="4"/>
  <c r="BZ425" i="1" l="1"/>
  <c r="BZ426" i="1"/>
  <c r="BV429" i="1"/>
  <c r="BR429" i="1"/>
  <c r="BH226" i="4"/>
  <c r="BH202" i="4"/>
  <c r="BH229" i="4"/>
  <c r="BH205" i="4"/>
  <c r="BH223" i="4"/>
  <c r="BH199" i="4"/>
  <c r="BH211" i="4"/>
  <c r="BH208" i="4"/>
  <c r="BZ427" i="1" l="1"/>
  <c r="BN32" i="51" s="1"/>
  <c r="BN101" i="51" s="1"/>
  <c r="BX429" i="1"/>
  <c r="BY429" i="1"/>
  <c r="BI199" i="4"/>
  <c r="BI223" i="4"/>
  <c r="BI202" i="4"/>
  <c r="BI226" i="4"/>
  <c r="BI211" i="4"/>
  <c r="BI205" i="4"/>
  <c r="BI229" i="4"/>
  <c r="BI208" i="4"/>
  <c r="BZ429" i="1" l="1"/>
  <c r="BL229" i="4"/>
  <c r="BL199" i="4"/>
  <c r="BL211" i="4"/>
  <c r="BL226" i="4"/>
  <c r="BL223" i="4"/>
  <c r="BL208" i="4"/>
  <c r="BL205" i="4"/>
  <c r="BL202" i="4"/>
  <c r="BM211" i="4" l="1"/>
  <c r="BM199" i="4"/>
  <c r="BM205" i="4"/>
  <c r="BM202" i="4"/>
  <c r="BM223" i="4"/>
  <c r="BM229" i="4"/>
  <c r="BM208" i="4"/>
  <c r="BM226" i="4"/>
  <c r="BP211" i="4" l="1"/>
  <c r="BP208" i="4"/>
  <c r="BP199" i="4"/>
  <c r="BP226" i="4"/>
  <c r="BP205" i="4"/>
  <c r="BP229" i="4"/>
  <c r="BP223" i="4"/>
  <c r="BP202" i="4"/>
  <c r="BQ202" i="4" l="1"/>
  <c r="BT202" i="4" s="1"/>
  <c r="BQ211" i="4"/>
  <c r="BT211" i="4" s="1"/>
  <c r="BQ226" i="4"/>
  <c r="BT226" i="4" s="1"/>
  <c r="BQ223" i="4"/>
  <c r="BT223" i="4" s="1"/>
  <c r="BQ229" i="4"/>
  <c r="BT229" i="4" s="1"/>
  <c r="BQ205" i="4"/>
  <c r="BT205" i="4" s="1"/>
  <c r="BQ208" i="4"/>
  <c r="BT208" i="4" s="1"/>
  <c r="BQ199" i="4"/>
  <c r="BT199" i="4" s="1"/>
  <c r="BU199" i="4" l="1"/>
  <c r="BU223" i="4"/>
  <c r="BU208" i="4"/>
  <c r="BU205" i="4"/>
  <c r="BU229" i="4"/>
  <c r="BU226" i="4"/>
  <c r="BU211" i="4"/>
  <c r="BU202" i="4"/>
  <c r="AG436" i="1"/>
  <c r="AH25" i="1"/>
  <c r="BX229" i="4" l="1"/>
  <c r="BX205" i="4"/>
  <c r="BX226" i="4"/>
  <c r="BX208" i="4"/>
  <c r="BX202" i="4"/>
  <c r="BX223" i="4"/>
  <c r="BX211" i="4"/>
  <c r="BX199" i="4"/>
  <c r="AH179" i="1"/>
  <c r="U33" i="51"/>
  <c r="U105" i="51" s="1"/>
  <c r="AJ25" i="1"/>
  <c r="V24" i="8"/>
  <c r="AG25" i="1"/>
  <c r="AH28" i="1"/>
  <c r="BY223" i="4" l="1"/>
  <c r="BY202" i="4"/>
  <c r="BY208" i="4"/>
  <c r="BY226" i="4"/>
  <c r="BY199" i="4"/>
  <c r="BY205" i="4"/>
  <c r="BY211" i="4"/>
  <c r="BY229" i="4"/>
  <c r="AI25" i="1"/>
  <c r="AK25" i="1"/>
  <c r="AJ28" i="1"/>
  <c r="AJ179" i="1"/>
  <c r="AJ53" i="1"/>
  <c r="X24" i="8"/>
  <c r="AG28" i="1"/>
  <c r="AI28" i="1" s="1"/>
  <c r="AG179" i="1"/>
  <c r="U24" i="8"/>
  <c r="AH34" i="1"/>
  <c r="AH32" i="1"/>
  <c r="V119" i="51"/>
  <c r="V25" i="8"/>
  <c r="V120" i="51" l="1"/>
  <c r="Z120" i="51"/>
  <c r="AJ54" i="1"/>
  <c r="AL53" i="1"/>
  <c r="AL54" i="1" s="1"/>
  <c r="AK28" i="1"/>
  <c r="Y119" i="51" s="1"/>
  <c r="AK179" i="1"/>
  <c r="AH39" i="1"/>
  <c r="AF40" i="1" s="1"/>
  <c r="X119" i="51"/>
  <c r="X25" i="8"/>
  <c r="X67" i="8" s="1"/>
  <c r="AJ30" i="1"/>
  <c r="V67" i="8"/>
  <c r="AH31" i="1"/>
  <c r="AH35" i="1"/>
  <c r="AH56" i="1"/>
  <c r="AH38" i="1"/>
  <c r="AH68" i="1"/>
  <c r="V122" i="51"/>
  <c r="V28" i="8"/>
  <c r="AG32" i="1"/>
  <c r="AG34" i="1"/>
  <c r="AI34" i="1" s="1"/>
  <c r="U119" i="51"/>
  <c r="U120" i="51" s="1"/>
  <c r="U25" i="8"/>
  <c r="X120" i="51" l="1"/>
  <c r="AB120" i="51"/>
  <c r="Y120" i="51"/>
  <c r="AH148" i="1"/>
  <c r="V123" i="51"/>
  <c r="Z123" i="51"/>
  <c r="AK34" i="1"/>
  <c r="Y122" i="51" s="1"/>
  <c r="AK32" i="1"/>
  <c r="AK31" i="1" s="1"/>
  <c r="AG39" i="1"/>
  <c r="AK55" i="1"/>
  <c r="AK54" i="1"/>
  <c r="AK52" i="1"/>
  <c r="AJ90" i="5"/>
  <c r="AJ91" i="5" s="1"/>
  <c r="AJ83" i="5" s="1"/>
  <c r="X27" i="8"/>
  <c r="AJ32" i="1"/>
  <c r="AJ34" i="1"/>
  <c r="U67" i="8"/>
  <c r="V68" i="8"/>
  <c r="AH81" i="4"/>
  <c r="AH69" i="1"/>
  <c r="AH71" i="1" s="1"/>
  <c r="X30" i="8"/>
  <c r="AG31" i="1"/>
  <c r="AH89" i="1"/>
  <c r="AH146" i="1"/>
  <c r="AH97" i="1"/>
  <c r="AH154" i="1"/>
  <c r="AH192" i="1"/>
  <c r="AH199" i="1"/>
  <c r="V31" i="8"/>
  <c r="AG35" i="1"/>
  <c r="AG56" i="1"/>
  <c r="AG38" i="1"/>
  <c r="AG68" i="1"/>
  <c r="U122" i="51"/>
  <c r="U123" i="51" s="1"/>
  <c r="U28" i="8"/>
  <c r="BZ40" i="8"/>
  <c r="AG148" i="1" l="1"/>
  <c r="AI39" i="1"/>
  <c r="V38" i="8"/>
  <c r="AK56" i="1"/>
  <c r="AG40" i="1"/>
  <c r="AH40" i="1" s="1"/>
  <c r="Y123" i="51"/>
  <c r="AJ87" i="5"/>
  <c r="AL83" i="5"/>
  <c r="AK69" i="1"/>
  <c r="AK81" i="4"/>
  <c r="AK38" i="1"/>
  <c r="AK68" i="1"/>
  <c r="AK39" i="1"/>
  <c r="AK35" i="1"/>
  <c r="X122" i="51"/>
  <c r="AJ68" i="1"/>
  <c r="X28" i="8"/>
  <c r="X68" i="8" s="1"/>
  <c r="AJ55" i="1"/>
  <c r="AJ39" i="1"/>
  <c r="AJ38" i="1"/>
  <c r="AJ35" i="1"/>
  <c r="AJ31" i="1"/>
  <c r="U68" i="8"/>
  <c r="BY40" i="8"/>
  <c r="BZ28" i="8"/>
  <c r="AH80" i="4"/>
  <c r="AH72" i="1"/>
  <c r="BZ26" i="8"/>
  <c r="AG81" i="4"/>
  <c r="AG69" i="1"/>
  <c r="AG71" i="1" s="1"/>
  <c r="AH167" i="1"/>
  <c r="V36" i="8"/>
  <c r="AH157" i="1"/>
  <c r="BZ17" i="8"/>
  <c r="AG97" i="1"/>
  <c r="AG154" i="1"/>
  <c r="AG89" i="1"/>
  <c r="AG146" i="1"/>
  <c r="AG199" i="1"/>
  <c r="AG192" i="1"/>
  <c r="U31" i="8"/>
  <c r="V69" i="8"/>
  <c r="V82" i="8"/>
  <c r="AH153" i="1"/>
  <c r="AL170" i="1" s="1"/>
  <c r="AH168" i="1"/>
  <c r="V73" i="8"/>
  <c r="AH237" i="4"/>
  <c r="AH29" i="5"/>
  <c r="AH37" i="5" s="1"/>
  <c r="AH147" i="1"/>
  <c r="AH145" i="1"/>
  <c r="AH198" i="1"/>
  <c r="AH204" i="1"/>
  <c r="BZ29" i="8" s="1"/>
  <c r="V34" i="8"/>
  <c r="U38" i="8" l="1"/>
  <c r="U73" i="8" s="1"/>
  <c r="X123" i="51"/>
  <c r="AB123" i="51"/>
  <c r="AK71" i="1"/>
  <c r="AK80" i="4" s="1"/>
  <c r="AK83" i="4" s="1"/>
  <c r="AK97" i="1"/>
  <c r="AK89" i="1"/>
  <c r="AK146" i="1"/>
  <c r="AK40" i="1"/>
  <c r="CC40" i="8"/>
  <c r="AJ89" i="1"/>
  <c r="AJ133" i="1" s="1"/>
  <c r="X31" i="8"/>
  <c r="AJ81" i="4"/>
  <c r="AJ69" i="1"/>
  <c r="AJ71" i="1" s="1"/>
  <c r="AJ97" i="1"/>
  <c r="AJ146" i="1"/>
  <c r="CB40" i="8"/>
  <c r="AJ56" i="1"/>
  <c r="AJ51" i="1"/>
  <c r="V70" i="8"/>
  <c r="AH158" i="1"/>
  <c r="AH239" i="4"/>
  <c r="AG153" i="1"/>
  <c r="AH166" i="1"/>
  <c r="AH170" i="1"/>
  <c r="AG157" i="1"/>
  <c r="U69" i="8"/>
  <c r="U82" i="8"/>
  <c r="AG80" i="4"/>
  <c r="AG72" i="1"/>
  <c r="BZ9" i="8"/>
  <c r="BY17" i="8"/>
  <c r="BZ27" i="8"/>
  <c r="BY26" i="8"/>
  <c r="AG167" i="1"/>
  <c r="U36" i="8"/>
  <c r="AG29" i="5"/>
  <c r="AG37" i="5" s="1"/>
  <c r="AG93" i="5" s="1"/>
  <c r="AG237" i="4"/>
  <c r="AI237" i="4" s="1"/>
  <c r="AG147" i="1"/>
  <c r="AG145" i="1"/>
  <c r="AG198" i="1"/>
  <c r="AG204" i="1"/>
  <c r="BY29" i="8" s="1"/>
  <c r="U34" i="8"/>
  <c r="AH156" i="1"/>
  <c r="V37" i="8"/>
  <c r="V72" i="8" s="1"/>
  <c r="AH159" i="1"/>
  <c r="V83" i="8"/>
  <c r="BY28" i="8"/>
  <c r="AG168" i="1"/>
  <c r="AH83" i="4"/>
  <c r="AK157" i="1" l="1"/>
  <c r="AJ157" i="1"/>
  <c r="X69" i="8"/>
  <c r="AK72" i="1"/>
  <c r="AJ154" i="1"/>
  <c r="AJ167" i="1" s="1"/>
  <c r="AK133" i="1"/>
  <c r="AK147" i="1" s="1"/>
  <c r="AK158" i="1" s="1"/>
  <c r="AJ52" i="1"/>
  <c r="AL51" i="1"/>
  <c r="AK29" i="5"/>
  <c r="AK37" i="5" s="1"/>
  <c r="AK237" i="4"/>
  <c r="AK145" i="1"/>
  <c r="AK156" i="1" s="1"/>
  <c r="AJ148" i="1"/>
  <c r="AJ168" i="1" s="1"/>
  <c r="CC17" i="8"/>
  <c r="X82" i="8"/>
  <c r="X34" i="8"/>
  <c r="X70" i="8" s="1"/>
  <c r="AG159" i="1"/>
  <c r="AJ29" i="5"/>
  <c r="AJ37" i="5" s="1"/>
  <c r="AJ93" i="5" s="1"/>
  <c r="AJ237" i="4"/>
  <c r="AJ239" i="4" s="1"/>
  <c r="AJ80" i="4"/>
  <c r="AJ72" i="1"/>
  <c r="CB17" i="8"/>
  <c r="AJ147" i="1"/>
  <c r="AJ158" i="1" s="1"/>
  <c r="AJ145" i="1"/>
  <c r="AJ156" i="1" s="1"/>
  <c r="U70" i="8"/>
  <c r="AH74" i="1"/>
  <c r="AH175" i="1"/>
  <c r="BY27" i="8"/>
  <c r="AG83" i="4"/>
  <c r="AG239" i="4"/>
  <c r="AI239" i="4" s="1"/>
  <c r="AG156" i="1"/>
  <c r="U37" i="8"/>
  <c r="U72" i="8" s="1"/>
  <c r="BY9" i="8"/>
  <c r="X39" i="8"/>
  <c r="X74" i="8" s="1"/>
  <c r="BZ10" i="8"/>
  <c r="AJ129" i="5"/>
  <c r="AJ183" i="1"/>
  <c r="AJ184" i="1" s="1"/>
  <c r="AJ185" i="1" s="1"/>
  <c r="AJ186" i="1" s="1"/>
  <c r="AG158" i="1"/>
  <c r="U83" i="8"/>
  <c r="AG166" i="1"/>
  <c r="AG170" i="1"/>
  <c r="X83" i="8" l="1"/>
  <c r="AL52" i="1"/>
  <c r="AL55" i="1"/>
  <c r="AL56" i="1" s="1"/>
  <c r="AK239" i="4"/>
  <c r="AK240" i="4" s="1"/>
  <c r="AK242" i="4" s="1"/>
  <c r="AJ153" i="1"/>
  <c r="AK148" i="1"/>
  <c r="AK154" i="1"/>
  <c r="AK167" i="1" s="1"/>
  <c r="AJ83" i="4"/>
  <c r="AG240" i="4"/>
  <c r="AI240" i="4" s="1"/>
  <c r="AH180" i="1"/>
  <c r="AG84" i="4"/>
  <c r="AH84" i="4"/>
  <c r="AH96" i="4" s="1"/>
  <c r="AG74" i="1"/>
  <c r="AG175" i="1"/>
  <c r="BY10" i="8"/>
  <c r="AJ170" i="1" l="1"/>
  <c r="AK153" i="1"/>
  <c r="AK170" i="1" s="1"/>
  <c r="AJ159" i="1"/>
  <c r="AJ166" i="1"/>
  <c r="AJ84" i="4"/>
  <c r="AJ96" i="4" s="1"/>
  <c r="AL84" i="4"/>
  <c r="AL96" i="4" s="1"/>
  <c r="AK84" i="4"/>
  <c r="AK168" i="1"/>
  <c r="AM239" i="4"/>
  <c r="AJ175" i="1"/>
  <c r="AJ74" i="1"/>
  <c r="AG242" i="4"/>
  <c r="CB18" i="8"/>
  <c r="AJ194" i="1"/>
  <c r="AG176" i="1"/>
  <c r="AG180" i="1"/>
  <c r="AK166" i="1" l="1"/>
  <c r="AK159" i="1"/>
  <c r="AJ176" i="1"/>
  <c r="AJ180" i="1"/>
  <c r="AJ195" i="1"/>
  <c r="AJ196" i="1" s="1"/>
  <c r="AJ197" i="1"/>
  <c r="AH176" i="1"/>
  <c r="AG177" i="1"/>
  <c r="AG178" i="1"/>
  <c r="AJ45" i="1" l="1"/>
  <c r="AJ46" i="1" s="1"/>
  <c r="AJ108" i="5"/>
  <c r="AJ105" i="5"/>
  <c r="AJ106" i="5" s="1"/>
  <c r="AJ199" i="1"/>
  <c r="AJ198" i="1"/>
  <c r="CB36" i="8"/>
  <c r="CB72" i="8"/>
  <c r="AH177" i="1"/>
  <c r="AH178" i="1"/>
  <c r="BY12" i="8"/>
  <c r="AJ173" i="1"/>
  <c r="CB43" i="8"/>
  <c r="AJ178" i="1" l="1"/>
  <c r="AJ174" i="1"/>
  <c r="AJ177" i="1" s="1"/>
  <c r="CB37" i="8"/>
  <c r="CB47" i="8"/>
  <c r="BZ12" i="8"/>
  <c r="CB35" i="8"/>
  <c r="AJ181" i="1" l="1"/>
  <c r="CB54" i="8"/>
  <c r="CB53" i="8" s="1"/>
  <c r="AJ188" i="1"/>
  <c r="AJ202" i="1"/>
  <c r="CB28" i="8"/>
  <c r="CB46" i="8"/>
  <c r="CB27" i="8"/>
  <c r="AJ131" i="5"/>
  <c r="AJ189" i="1" l="1"/>
  <c r="AJ190" i="1" s="1"/>
  <c r="AJ191" i="1"/>
  <c r="AJ192" i="1" s="1"/>
  <c r="CB77" i="8"/>
  <c r="AJ203" i="1"/>
  <c r="AJ204" i="1" l="1"/>
  <c r="CB29" i="8" s="1"/>
  <c r="CB26" i="8" l="1"/>
  <c r="AJ110" i="1" l="1"/>
  <c r="AJ108" i="1" s="1"/>
  <c r="AJ114" i="1"/>
  <c r="CB10" i="8"/>
  <c r="CB12" i="8"/>
  <c r="CB13" i="8"/>
  <c r="CB14" i="8"/>
  <c r="CB16" i="8"/>
  <c r="CB20" i="8"/>
  <c r="CB21" i="8"/>
  <c r="CB22" i="8"/>
  <c r="X36" i="8"/>
  <c r="X37" i="8"/>
  <c r="X72" i="8" s="1"/>
  <c r="X38" i="8"/>
  <c r="X73" i="8" s="1"/>
  <c r="AJ113" i="1" l="1"/>
  <c r="CB15" i="8" l="1"/>
  <c r="X9" i="8" l="1"/>
  <c r="X51" i="8" l="1"/>
  <c r="X43" i="8"/>
  <c r="AB51" i="8"/>
  <c r="X15" i="8"/>
  <c r="X80" i="8" l="1"/>
  <c r="X56" i="8"/>
  <c r="X86" i="8"/>
  <c r="X47" i="8"/>
  <c r="X39" i="51" l="1"/>
  <c r="X45" i="51"/>
  <c r="X49" i="51"/>
  <c r="X54" i="51"/>
  <c r="X58" i="51"/>
  <c r="X62" i="51"/>
  <c r="X67" i="51"/>
  <c r="X73" i="51"/>
  <c r="X77" i="51"/>
  <c r="X82" i="51"/>
  <c r="X88" i="51"/>
  <c r="X92" i="51"/>
  <c r="X101" i="51"/>
  <c r="X105" i="51"/>
  <c r="AD63" i="8" l="1"/>
  <c r="AC63" i="8"/>
  <c r="AB63" i="8"/>
  <c r="Z63" i="8"/>
  <c r="AR117" i="5" l="1"/>
  <c r="AS117" i="5"/>
  <c r="AK132" i="5"/>
  <c r="AK58" i="5" l="1"/>
  <c r="AL58" i="5" s="1"/>
  <c r="AK54" i="5"/>
  <c r="AR114" i="5"/>
  <c r="AR113" i="5"/>
  <c r="AR163" i="5"/>
  <c r="AR165" i="5" s="1"/>
  <c r="AR171" i="5" s="1"/>
  <c r="AR137" i="5"/>
  <c r="AS114" i="5"/>
  <c r="AS119" i="1" s="1"/>
  <c r="AV117" i="5"/>
  <c r="AS113" i="5"/>
  <c r="AS232" i="4" s="1"/>
  <c r="AS137" i="5"/>
  <c r="AW117" i="5"/>
  <c r="AS163" i="5"/>
  <c r="AS138" i="4" s="1"/>
  <c r="AS140" i="4" s="1"/>
  <c r="AK63" i="5" l="1"/>
  <c r="AL54" i="5"/>
  <c r="AL63" i="5" s="1"/>
  <c r="AS116" i="5"/>
  <c r="AS128" i="5" s="1"/>
  <c r="AR116" i="5"/>
  <c r="AR128" i="5" s="1"/>
  <c r="AR169" i="5"/>
  <c r="AR170" i="5"/>
  <c r="AR170" i="4" s="1"/>
  <c r="AR182" i="4"/>
  <c r="AS165" i="5"/>
  <c r="AS171" i="5" s="1"/>
  <c r="AK84" i="5"/>
  <c r="AM136" i="4"/>
  <c r="AW113" i="5"/>
  <c r="BA117" i="5"/>
  <c r="AW114" i="5"/>
  <c r="AW119" i="1" s="1"/>
  <c r="AW163" i="5"/>
  <c r="AW138" i="4" s="1"/>
  <c r="AW140" i="4" s="1"/>
  <c r="AZ117" i="5"/>
  <c r="AW137" i="5"/>
  <c r="AM115" i="1"/>
  <c r="AR144" i="5"/>
  <c r="AR146" i="5"/>
  <c r="AT137" i="5"/>
  <c r="AR145" i="5"/>
  <c r="AR232" i="4"/>
  <c r="AR132" i="5" s="1"/>
  <c r="AR133" i="5" s="1"/>
  <c r="AR55" i="5"/>
  <c r="AT113" i="5"/>
  <c r="CC50" i="8"/>
  <c r="AS132" i="5"/>
  <c r="AS133" i="5" s="1"/>
  <c r="AS55" i="5"/>
  <c r="AV113" i="5"/>
  <c r="AV163" i="5"/>
  <c r="AV165" i="5" s="1"/>
  <c r="AV171" i="5" s="1"/>
  <c r="AV137" i="5"/>
  <c r="AV114" i="5"/>
  <c r="AQ115" i="1"/>
  <c r="AS144" i="5"/>
  <c r="AS146" i="5"/>
  <c r="AS145" i="5"/>
  <c r="AS115" i="1"/>
  <c r="AS114" i="1" s="1"/>
  <c r="AS138" i="1" s="1"/>
  <c r="AR138" i="4"/>
  <c r="AT163" i="5"/>
  <c r="AT114" i="5"/>
  <c r="AR119" i="1"/>
  <c r="AR115" i="1" s="1"/>
  <c r="AO58" i="5" l="1"/>
  <c r="AN172" i="4"/>
  <c r="AN160" i="4" s="1"/>
  <c r="AT128" i="5"/>
  <c r="AV116" i="5"/>
  <c r="AV128" i="5" s="1"/>
  <c r="AL84" i="5"/>
  <c r="AL87" i="5" s="1"/>
  <c r="AK87" i="5"/>
  <c r="AK93" i="5" s="1"/>
  <c r="AT169" i="4"/>
  <c r="AT116" i="5"/>
  <c r="AT117" i="5" s="1"/>
  <c r="AR181" i="4"/>
  <c r="AR188" i="4" s="1"/>
  <c r="Y8" i="8"/>
  <c r="Y10" i="8"/>
  <c r="Y52" i="8" s="1"/>
  <c r="Y11" i="8"/>
  <c r="Y53" i="8" s="1"/>
  <c r="AW116" i="5"/>
  <c r="AW128" i="5" s="1"/>
  <c r="AW165" i="5"/>
  <c r="AT55" i="5"/>
  <c r="AS154" i="5"/>
  <c r="AS300" i="1" s="1"/>
  <c r="AS315" i="1"/>
  <c r="AT138" i="4"/>
  <c r="AU138" i="4" s="1"/>
  <c r="AR140" i="4"/>
  <c r="AT140" i="4" s="1"/>
  <c r="AU140" i="4" s="1"/>
  <c r="AT119" i="1"/>
  <c r="AS152" i="5"/>
  <c r="AS219" i="1" s="1"/>
  <c r="AS233" i="1"/>
  <c r="AS211" i="1"/>
  <c r="AR211" i="1"/>
  <c r="AR156" i="5"/>
  <c r="AR354" i="1" s="1"/>
  <c r="AT146" i="5"/>
  <c r="AR369" i="1"/>
  <c r="AM114" i="1"/>
  <c r="AK468" i="1"/>
  <c r="AK469" i="1" s="1"/>
  <c r="CC69" i="8"/>
  <c r="AS293" i="1"/>
  <c r="AR114" i="1"/>
  <c r="AT115" i="1"/>
  <c r="AU115" i="1" s="1"/>
  <c r="AV182" i="4"/>
  <c r="AV169" i="5"/>
  <c r="AV170" i="5"/>
  <c r="AV170" i="4" s="1"/>
  <c r="AV138" i="4"/>
  <c r="AX163" i="5"/>
  <c r="AR152" i="5"/>
  <c r="AR219" i="1" s="1"/>
  <c r="AT144" i="5"/>
  <c r="AR233" i="1"/>
  <c r="AW232" i="4"/>
  <c r="AW132" i="5" s="1"/>
  <c r="AW133" i="5" s="1"/>
  <c r="AW55" i="5"/>
  <c r="AS346" i="1"/>
  <c r="AN58" i="5"/>
  <c r="AT145" i="5"/>
  <c r="AR154" i="5"/>
  <c r="AR300" i="1" s="1"/>
  <c r="AR315" i="1"/>
  <c r="AW144" i="5"/>
  <c r="AW146" i="5"/>
  <c r="AW145" i="5"/>
  <c r="AW115" i="1"/>
  <c r="AW114" i="1" s="1"/>
  <c r="AW138" i="1" s="1"/>
  <c r="AN84" i="5"/>
  <c r="AX114" i="5"/>
  <c r="AV119" i="1"/>
  <c r="AV115" i="1" s="1"/>
  <c r="AV232" i="4"/>
  <c r="AV132" i="5" s="1"/>
  <c r="AV133" i="5" s="1"/>
  <c r="AV55" i="5"/>
  <c r="AX113" i="5"/>
  <c r="AR293" i="1"/>
  <c r="AS156" i="5"/>
  <c r="AS354" i="1" s="1"/>
  <c r="AS369" i="1"/>
  <c r="AX137" i="5"/>
  <c r="AV145" i="5"/>
  <c r="AV144" i="5"/>
  <c r="AV146" i="5"/>
  <c r="AZ113" i="5"/>
  <c r="AZ114" i="5"/>
  <c r="AZ163" i="5"/>
  <c r="AZ165" i="5" s="1"/>
  <c r="AZ171" i="5" s="1"/>
  <c r="AZ137" i="5"/>
  <c r="BA113" i="5"/>
  <c r="BA114" i="5"/>
  <c r="BA119" i="1" s="1"/>
  <c r="BD117" i="5"/>
  <c r="BA163" i="5"/>
  <c r="BA138" i="4" s="1"/>
  <c r="BA140" i="4" s="1"/>
  <c r="BE117" i="5"/>
  <c r="BA137" i="5"/>
  <c r="AR346" i="1"/>
  <c r="CD50" i="8"/>
  <c r="AL132" i="5"/>
  <c r="AS169" i="5"/>
  <c r="AS170" i="5"/>
  <c r="AS170" i="4" s="1"/>
  <c r="AS182" i="4"/>
  <c r="AT182" i="4" s="1"/>
  <c r="AR158" i="4"/>
  <c r="AP58" i="5" l="1"/>
  <c r="AN163" i="4"/>
  <c r="AO163" i="4" s="1"/>
  <c r="AO160" i="4"/>
  <c r="AW169" i="5"/>
  <c r="AW171" i="5"/>
  <c r="AW182" i="4" s="1"/>
  <c r="AX182" i="4" s="1"/>
  <c r="AT181" i="4"/>
  <c r="AT188" i="4" s="1"/>
  <c r="AR301" i="1"/>
  <c r="AR155" i="5" s="1"/>
  <c r="AR169" i="4"/>
  <c r="AX128" i="5"/>
  <c r="AX55" i="5"/>
  <c r="AK470" i="1"/>
  <c r="AW170" i="5"/>
  <c r="AW170" i="4" s="1"/>
  <c r="AX116" i="5"/>
  <c r="AX117" i="5" s="1"/>
  <c r="AX123" i="5" s="1"/>
  <c r="AR355" i="1"/>
  <c r="AR157" i="5" s="1"/>
  <c r="Y16" i="8"/>
  <c r="Y15" i="8"/>
  <c r="Y50" i="8"/>
  <c r="Z11" i="8"/>
  <c r="CC52" i="8"/>
  <c r="Z10" i="8"/>
  <c r="Z52" i="8" s="1"/>
  <c r="Z8" i="8"/>
  <c r="AT124" i="5"/>
  <c r="AT118" i="5"/>
  <c r="AZ116" i="5"/>
  <c r="AZ128" i="5" s="1"/>
  <c r="AX119" i="1"/>
  <c r="BA165" i="5"/>
  <c r="AN54" i="5"/>
  <c r="AW152" i="5"/>
  <c r="AW219" i="1" s="1"/>
  <c r="AW233" i="1"/>
  <c r="AC11" i="8"/>
  <c r="AC53" i="8" s="1"/>
  <c r="AT114" i="1"/>
  <c r="AU114" i="1" s="1"/>
  <c r="AR138" i="1"/>
  <c r="AT138" i="1" s="1"/>
  <c r="AL468" i="1"/>
  <c r="AL469" i="1" s="1"/>
  <c r="CD69" i="8"/>
  <c r="BE113" i="5"/>
  <c r="BE114" i="5"/>
  <c r="BE119" i="1" s="1"/>
  <c r="BI117" i="5"/>
  <c r="BE163" i="5"/>
  <c r="BE138" i="4" s="1"/>
  <c r="BE140" i="4" s="1"/>
  <c r="BE137" i="5"/>
  <c r="BH117" i="5"/>
  <c r="BA115" i="1"/>
  <c r="BA114" i="1" s="1"/>
  <c r="BA138" i="1" s="1"/>
  <c r="AZ138" i="4"/>
  <c r="BB163" i="5"/>
  <c r="AT123" i="5"/>
  <c r="AV156" i="5"/>
  <c r="AV354" i="1" s="1"/>
  <c r="AX146" i="5"/>
  <c r="AV369" i="1"/>
  <c r="AT369" i="1"/>
  <c r="AB10" i="8"/>
  <c r="AB52" i="8" s="1"/>
  <c r="AV114" i="1"/>
  <c r="AX115" i="1"/>
  <c r="AY115" i="1" s="1"/>
  <c r="AN468" i="1"/>
  <c r="AN469" i="1" s="1"/>
  <c r="AN470" i="1" s="1"/>
  <c r="CF69" i="8"/>
  <c r="AW154" i="5"/>
  <c r="AW300" i="1" s="1"/>
  <c r="AW315" i="1"/>
  <c r="AT140" i="5"/>
  <c r="AX138" i="4"/>
  <c r="AY138" i="4" s="1"/>
  <c r="AV140" i="4"/>
  <c r="AX140" i="4" s="1"/>
  <c r="AY140" i="4" s="1"/>
  <c r="AC10" i="8"/>
  <c r="AC52" i="8" s="1"/>
  <c r="AT142" i="5"/>
  <c r="AR42" i="1"/>
  <c r="AT211" i="1"/>
  <c r="AV211" i="1"/>
  <c r="AR216" i="1"/>
  <c r="AS220" i="1" s="1"/>
  <c r="AS153" i="5" s="1"/>
  <c r="AR58" i="5"/>
  <c r="AS158" i="4"/>
  <c r="AS58" i="5" s="1"/>
  <c r="AT170" i="4"/>
  <c r="AB11" i="8"/>
  <c r="AB53" i="8" s="1"/>
  <c r="BA232" i="4"/>
  <c r="BA132" i="5" s="1"/>
  <c r="BA133" i="5" s="1"/>
  <c r="BA55" i="5"/>
  <c r="AT165" i="5"/>
  <c r="AT136" i="5"/>
  <c r="AV152" i="5"/>
  <c r="AV219" i="1" s="1"/>
  <c r="AX144" i="5"/>
  <c r="AV233" i="1"/>
  <c r="AT354" i="1"/>
  <c r="AR297" i="1"/>
  <c r="AS301" i="1" s="1"/>
  <c r="AS155" i="5" s="1"/>
  <c r="AT293" i="1"/>
  <c r="AV293" i="1"/>
  <c r="AW156" i="5"/>
  <c r="AW354" i="1" s="1"/>
  <c r="AW369" i="1"/>
  <c r="AT141" i="5"/>
  <c r="AR220" i="1"/>
  <c r="AR153" i="5" s="1"/>
  <c r="AR61" i="1"/>
  <c r="AV158" i="4"/>
  <c r="AW293" i="1"/>
  <c r="AS297" i="1"/>
  <c r="AT233" i="1"/>
  <c r="AT315" i="1"/>
  <c r="AS181" i="4"/>
  <c r="AS188" i="4" s="1"/>
  <c r="AR180" i="4"/>
  <c r="AR189" i="4" s="1"/>
  <c r="AO16" i="1"/>
  <c r="AC8" i="8"/>
  <c r="AS61" i="1"/>
  <c r="AT219" i="1"/>
  <c r="AT300" i="1"/>
  <c r="AV346" i="1"/>
  <c r="AR351" i="1"/>
  <c r="AT346" i="1"/>
  <c r="BD113" i="5"/>
  <c r="BD137" i="5"/>
  <c r="BD114" i="5"/>
  <c r="BD163" i="5"/>
  <c r="AZ169" i="5"/>
  <c r="AZ170" i="5"/>
  <c r="AZ170" i="4" s="1"/>
  <c r="AZ182" i="4"/>
  <c r="BB114" i="5"/>
  <c r="AZ119" i="1"/>
  <c r="AZ115" i="1" s="1"/>
  <c r="AV154" i="5"/>
  <c r="AV300" i="1" s="1"/>
  <c r="AX145" i="5"/>
  <c r="AV315" i="1"/>
  <c r="AT172" i="4"/>
  <c r="BA145" i="5"/>
  <c r="BA144" i="5"/>
  <c r="BA146" i="5"/>
  <c r="BA116" i="5"/>
  <c r="BA128" i="5" s="1"/>
  <c r="AZ145" i="5"/>
  <c r="AZ144" i="5"/>
  <c r="AZ146" i="5"/>
  <c r="BB137" i="5"/>
  <c r="AZ232" i="4"/>
  <c r="AZ132" i="5" s="1"/>
  <c r="AZ133" i="5" s="1"/>
  <c r="AZ55" i="5"/>
  <c r="BB113" i="5"/>
  <c r="AT162" i="5"/>
  <c r="AO84" i="5"/>
  <c r="AR231" i="4"/>
  <c r="AW346" i="1"/>
  <c r="AS351" i="1"/>
  <c r="AB8" i="8"/>
  <c r="AS42" i="1"/>
  <c r="AW211" i="1"/>
  <c r="AS216" i="1"/>
  <c r="AO164" i="4" l="1"/>
  <c r="AN175" i="4"/>
  <c r="AN176" i="4" s="1"/>
  <c r="AN168" i="4" s="1"/>
  <c r="AN177" i="4" s="1"/>
  <c r="AO166" i="4"/>
  <c r="AO165" i="4"/>
  <c r="AP84" i="5"/>
  <c r="AO20" i="1"/>
  <c r="AO22" i="1" s="1"/>
  <c r="AO18" i="1"/>
  <c r="AX124" i="5"/>
  <c r="AX125" i="5" s="1"/>
  <c r="BA170" i="5"/>
  <c r="BA170" i="4" s="1"/>
  <c r="BB170" i="4" s="1"/>
  <c r="BA171" i="5"/>
  <c r="BA182" i="4" s="1"/>
  <c r="AT125" i="5"/>
  <c r="AT355" i="1"/>
  <c r="AT157" i="5" s="1"/>
  <c r="AW158" i="4"/>
  <c r="AW58" i="5" s="1"/>
  <c r="AX170" i="4"/>
  <c r="AT301" i="1"/>
  <c r="AT155" i="5" s="1"/>
  <c r="AT220" i="1"/>
  <c r="AT153" i="5" s="1"/>
  <c r="Z50" i="8"/>
  <c r="Z15" i="8"/>
  <c r="Y18" i="8"/>
  <c r="Y58" i="8"/>
  <c r="Y42" i="8"/>
  <c r="BB128" i="5"/>
  <c r="Y19" i="8"/>
  <c r="CD52" i="8"/>
  <c r="AM11" i="1"/>
  <c r="Z53" i="8"/>
  <c r="Y56" i="8"/>
  <c r="Y80" i="8"/>
  <c r="AX118" i="5"/>
  <c r="AV301" i="1"/>
  <c r="AV155" i="5" s="1"/>
  <c r="BB55" i="5"/>
  <c r="BA169" i="5"/>
  <c r="AX162" i="5"/>
  <c r="AT176" i="4"/>
  <c r="AT168" i="4" s="1"/>
  <c r="AX169" i="4" s="1"/>
  <c r="AT158" i="4"/>
  <c r="BE165" i="5"/>
  <c r="BA154" i="5"/>
  <c r="BA300" i="1" s="1"/>
  <c r="BA315" i="1"/>
  <c r="AR62" i="1"/>
  <c r="BA346" i="1"/>
  <c r="AW351" i="1"/>
  <c r="AX141" i="5"/>
  <c r="AW42" i="1"/>
  <c r="BA211" i="1"/>
  <c r="AW216" i="1"/>
  <c r="AN166" i="4"/>
  <c r="BB144" i="5"/>
  <c r="AZ152" i="5"/>
  <c r="AZ219" i="1" s="1"/>
  <c r="AZ233" i="1"/>
  <c r="BA152" i="5"/>
  <c r="BA219" i="1" s="1"/>
  <c r="BA233" i="1"/>
  <c r="BD138" i="4"/>
  <c r="BF163" i="5"/>
  <c r="BD144" i="5"/>
  <c r="BD146" i="5"/>
  <c r="BF137" i="5"/>
  <c r="BD145" i="5"/>
  <c r="AC16" i="8"/>
  <c r="AX369" i="1"/>
  <c r="AR298" i="1"/>
  <c r="AR302" i="1"/>
  <c r="AV42" i="1"/>
  <c r="AX211" i="1"/>
  <c r="AZ211" i="1"/>
  <c r="AV216" i="1"/>
  <c r="AW220" i="1" s="1"/>
  <c r="AW153" i="5" s="1"/>
  <c r="AV355" i="1"/>
  <c r="AV157" i="5" s="1"/>
  <c r="BB119" i="1"/>
  <c r="BE115" i="1"/>
  <c r="BE114" i="1" s="1"/>
  <c r="BE138" i="1" s="1"/>
  <c r="CF50" i="8"/>
  <c r="AB16" i="8"/>
  <c r="BB145" i="5"/>
  <c r="AZ154" i="5"/>
  <c r="AZ300" i="1" s="1"/>
  <c r="AZ315" i="1"/>
  <c r="BF114" i="5"/>
  <c r="BD119" i="1"/>
  <c r="BD115" i="1" s="1"/>
  <c r="BD232" i="4"/>
  <c r="BD132" i="5" s="1"/>
  <c r="BD133" i="5" s="1"/>
  <c r="BD55" i="5"/>
  <c r="BF113" i="5"/>
  <c r="AT351" i="1"/>
  <c r="AT347" i="1"/>
  <c r="AH26" i="51" s="1"/>
  <c r="AH82" i="51" s="1"/>
  <c r="AT61" i="1"/>
  <c r="AP16" i="1"/>
  <c r="AS180" i="4"/>
  <c r="AS189" i="4" s="1"/>
  <c r="AS298" i="1"/>
  <c r="AS302" i="1"/>
  <c r="AD11" i="8"/>
  <c r="AD53" i="8" s="1"/>
  <c r="AX354" i="1"/>
  <c r="AX140" i="5"/>
  <c r="AD8" i="8"/>
  <c r="AT216" i="1"/>
  <c r="AT212" i="1"/>
  <c r="AH11" i="51" s="1"/>
  <c r="AH39" i="51" s="1"/>
  <c r="AT42" i="1"/>
  <c r="BE145" i="5"/>
  <c r="BE144" i="5"/>
  <c r="BE146" i="5"/>
  <c r="BE232" i="4"/>
  <c r="BE132" i="5" s="1"/>
  <c r="BE133" i="5" s="1"/>
  <c r="BE55" i="5"/>
  <c r="AX233" i="1"/>
  <c r="BB116" i="5"/>
  <c r="BB117" i="5" s="1"/>
  <c r="BB118" i="5" s="1"/>
  <c r="AB15" i="8"/>
  <c r="AB50" i="8"/>
  <c r="AS352" i="1"/>
  <c r="AS356" i="1"/>
  <c r="AR46" i="4"/>
  <c r="CJ69" i="8" s="1"/>
  <c r="AS231" i="4"/>
  <c r="BA293" i="1"/>
  <c r="AW297" i="1"/>
  <c r="AV58" i="5"/>
  <c r="AX293" i="1"/>
  <c r="AZ293" i="1"/>
  <c r="AV297" i="1"/>
  <c r="AW301" i="1" s="1"/>
  <c r="AW155" i="5" s="1"/>
  <c r="AV220" i="1"/>
  <c r="AV153" i="5" s="1"/>
  <c r="AV61" i="1"/>
  <c r="AX315" i="1"/>
  <c r="BH113" i="5"/>
  <c r="BH114" i="5"/>
  <c r="BH163" i="5"/>
  <c r="BH165" i="5" s="1"/>
  <c r="BH171" i="5" s="1"/>
  <c r="BH137" i="5"/>
  <c r="AX219" i="1"/>
  <c r="AW61" i="1"/>
  <c r="AT180" i="4"/>
  <c r="AX181" i="4" s="1"/>
  <c r="AX188" i="4" s="1"/>
  <c r="AV181" i="4"/>
  <c r="AV188" i="4" s="1"/>
  <c r="AZ158" i="4"/>
  <c r="BD116" i="5"/>
  <c r="AR356" i="1"/>
  <c r="AR352" i="1"/>
  <c r="AS221" i="1"/>
  <c r="AS217" i="1"/>
  <c r="AD10" i="8"/>
  <c r="AD52" i="8" s="1"/>
  <c r="AO468" i="1"/>
  <c r="AO469" i="1" s="1"/>
  <c r="AO470" i="1" s="1"/>
  <c r="CG69" i="8"/>
  <c r="BB146" i="5"/>
  <c r="AZ156" i="5"/>
  <c r="AZ354" i="1" s="1"/>
  <c r="AZ369" i="1"/>
  <c r="BA156" i="5"/>
  <c r="BA354" i="1" s="1"/>
  <c r="BA369" i="1"/>
  <c r="AR172" i="4"/>
  <c r="AS172" i="4"/>
  <c r="AS160" i="4" s="1"/>
  <c r="AZ114" i="1"/>
  <c r="BB115" i="1"/>
  <c r="BC115" i="1" s="1"/>
  <c r="BD165" i="5"/>
  <c r="BD171" i="5" s="1"/>
  <c r="AX346" i="1"/>
  <c r="AZ346" i="1"/>
  <c r="AV351" i="1"/>
  <c r="AW355" i="1" s="1"/>
  <c r="AW157" i="5" s="1"/>
  <c r="AC15" i="8"/>
  <c r="AC50" i="8"/>
  <c r="AX136" i="5"/>
  <c r="AX165" i="5"/>
  <c r="AT297" i="1"/>
  <c r="AT294" i="1"/>
  <c r="AH21" i="51" s="1"/>
  <c r="AH67" i="51" s="1"/>
  <c r="AS355" i="1"/>
  <c r="AS157" i="5" s="1"/>
  <c r="AT58" i="5"/>
  <c r="AR221" i="1"/>
  <c r="AR217" i="1"/>
  <c r="AX300" i="1"/>
  <c r="AV138" i="1"/>
  <c r="AX138" i="1" s="1"/>
  <c r="AX114" i="1"/>
  <c r="AY114" i="1" s="1"/>
  <c r="AX142" i="5"/>
  <c r="BB138" i="4"/>
  <c r="BC138" i="4" s="1"/>
  <c r="AZ140" i="4"/>
  <c r="BB140" i="4" s="1"/>
  <c r="BC140" i="4" s="1"/>
  <c r="BE116" i="5"/>
  <c r="BE128" i="5" s="1"/>
  <c r="BL117" i="5"/>
  <c r="BI113" i="5"/>
  <c r="BI137" i="5"/>
  <c r="BI114" i="5"/>
  <c r="BI119" i="1" s="1"/>
  <c r="BM117" i="5"/>
  <c r="BI163" i="5"/>
  <c r="BI138" i="4" s="1"/>
  <c r="BI140" i="4" s="1"/>
  <c r="AO74" i="4" l="1"/>
  <c r="AO77" i="4" s="1"/>
  <c r="AO78" i="4" s="1"/>
  <c r="AC115" i="51"/>
  <c r="AR469" i="1"/>
  <c r="AS469" i="1" s="1"/>
  <c r="AV469" i="1" s="1"/>
  <c r="AW469" i="1" s="1"/>
  <c r="AZ469" i="1" s="1"/>
  <c r="BA469" i="1" s="1"/>
  <c r="BD469" i="1" s="1"/>
  <c r="BE469" i="1" s="1"/>
  <c r="BH469" i="1" s="1"/>
  <c r="BI469" i="1" s="1"/>
  <c r="BL469" i="1" s="1"/>
  <c r="BM469" i="1" s="1"/>
  <c r="BP469" i="1" s="1"/>
  <c r="BQ469" i="1" s="1"/>
  <c r="BT469" i="1" s="1"/>
  <c r="BU469" i="1" s="1"/>
  <c r="BX469" i="1" s="1"/>
  <c r="BY469" i="1" s="1"/>
  <c r="AP20" i="1"/>
  <c r="AP22" i="1" s="1"/>
  <c r="AP18" i="1"/>
  <c r="AO23" i="1"/>
  <c r="AO28" i="1"/>
  <c r="AC119" i="51" s="1"/>
  <c r="AC120" i="51" s="1"/>
  <c r="AG11" i="8"/>
  <c r="AG53" i="8" s="1"/>
  <c r="AF8" i="8"/>
  <c r="AG8" i="8"/>
  <c r="AF10" i="8"/>
  <c r="AF52" i="8" s="1"/>
  <c r="AF11" i="8"/>
  <c r="AF53" i="8" s="1"/>
  <c r="AG10" i="8"/>
  <c r="AG52" i="8" s="1"/>
  <c r="BB124" i="5"/>
  <c r="BB123" i="5"/>
  <c r="BA158" i="4"/>
  <c r="BA58" i="5" s="1"/>
  <c r="AX58" i="5"/>
  <c r="AX158" i="4"/>
  <c r="BE171" i="5"/>
  <c r="BE182" i="4" s="1"/>
  <c r="BB182" i="4"/>
  <c r="AP468" i="1"/>
  <c r="AP469" i="1" s="1"/>
  <c r="AM13" i="1"/>
  <c r="Z58" i="8"/>
  <c r="Z42" i="8"/>
  <c r="Y45" i="8"/>
  <c r="Y61" i="8"/>
  <c r="Z56" i="8"/>
  <c r="Z80" i="8"/>
  <c r="Y44" i="8"/>
  <c r="Y60" i="8"/>
  <c r="AV169" i="4"/>
  <c r="AZ355" i="1"/>
  <c r="AZ157" i="5" s="1"/>
  <c r="BE170" i="5"/>
  <c r="BE170" i="4" s="1"/>
  <c r="BI116" i="5"/>
  <c r="BI128" i="5" s="1"/>
  <c r="AN165" i="4"/>
  <c r="BE169" i="5"/>
  <c r="BF119" i="1"/>
  <c r="BF55" i="5"/>
  <c r="AT177" i="4"/>
  <c r="AX220" i="1"/>
  <c r="AX153" i="5" s="1"/>
  <c r="AX301" i="1"/>
  <c r="AX155" i="5" s="1"/>
  <c r="BB165" i="5"/>
  <c r="BB136" i="5"/>
  <c r="BB162" i="5"/>
  <c r="BD182" i="4"/>
  <c r="BD169" i="5"/>
  <c r="BD170" i="5"/>
  <c r="BD170" i="4" s="1"/>
  <c r="BB142" i="5"/>
  <c r="AB18" i="8"/>
  <c r="BI165" i="5"/>
  <c r="BI171" i="5" s="1"/>
  <c r="BL113" i="5"/>
  <c r="BL163" i="5"/>
  <c r="BL165" i="5" s="1"/>
  <c r="BL171" i="5" s="1"/>
  <c r="BL137" i="5"/>
  <c r="BL114" i="5"/>
  <c r="AO34" i="4"/>
  <c r="AO42" i="4"/>
  <c r="AO33" i="4"/>
  <c r="AO37" i="4"/>
  <c r="AO36" i="4"/>
  <c r="AO35" i="4"/>
  <c r="AO45" i="4"/>
  <c r="AO44" i="4"/>
  <c r="AO43" i="4"/>
  <c r="BB346" i="1"/>
  <c r="BD346" i="1"/>
  <c r="AZ351" i="1"/>
  <c r="BA355" i="1" s="1"/>
  <c r="BA157" i="5" s="1"/>
  <c r="AR160" i="4"/>
  <c r="AT160" i="4" s="1"/>
  <c r="AR176" i="4"/>
  <c r="BF116" i="5"/>
  <c r="BF117" i="5" s="1"/>
  <c r="BF124" i="5" s="1"/>
  <c r="BD128" i="5"/>
  <c r="BF128" i="5" s="1"/>
  <c r="AX180" i="4"/>
  <c r="BB181" i="4" s="1"/>
  <c r="AZ181" i="4"/>
  <c r="AZ188" i="4" s="1"/>
  <c r="BJ114" i="5"/>
  <c r="BH119" i="1"/>
  <c r="BH115" i="1" s="1"/>
  <c r="BE293" i="1"/>
  <c r="BA297" i="1"/>
  <c r="AS357" i="1"/>
  <c r="AG86" i="51" s="1"/>
  <c r="AS366" i="1"/>
  <c r="AB80" i="8"/>
  <c r="AB56" i="8"/>
  <c r="AD15" i="8"/>
  <c r="AD50" i="8"/>
  <c r="CC20" i="8"/>
  <c r="AB42" i="8"/>
  <c r="AB58" i="8"/>
  <c r="AZ42" i="1"/>
  <c r="BB211" i="1"/>
  <c r="BD211" i="1"/>
  <c r="AZ216" i="1"/>
  <c r="BA220" i="1" s="1"/>
  <c r="BA153" i="5" s="1"/>
  <c r="AR313" i="1"/>
  <c r="AR303" i="1"/>
  <c r="AF71" i="51" s="1"/>
  <c r="AR234" i="1"/>
  <c r="BF138" i="4"/>
  <c r="BG138" i="4" s="1"/>
  <c r="BD140" i="4"/>
  <c r="BF140" i="4" s="1"/>
  <c r="BG140" i="4" s="1"/>
  <c r="BB219" i="1"/>
  <c r="BA61" i="1"/>
  <c r="BA42" i="1"/>
  <c r="BE211" i="1"/>
  <c r="BA216" i="1"/>
  <c r="BE346" i="1"/>
  <c r="BA351" i="1"/>
  <c r="BB300" i="1"/>
  <c r="AR366" i="1"/>
  <c r="AR357" i="1"/>
  <c r="AF86" i="51" s="1"/>
  <c r="AX42" i="1"/>
  <c r="AX216" i="1"/>
  <c r="AX212" i="1"/>
  <c r="AL11" i="51" s="1"/>
  <c r="AL39" i="51" s="1"/>
  <c r="AC58" i="8"/>
  <c r="AC42" i="8"/>
  <c r="BD156" i="5"/>
  <c r="BD354" i="1" s="1"/>
  <c r="BF146" i="5"/>
  <c r="BD369" i="1"/>
  <c r="AR157" i="4"/>
  <c r="AV298" i="1"/>
  <c r="AV302" i="1"/>
  <c r="AJ10" i="8" s="1"/>
  <c r="CH52" i="8"/>
  <c r="AO54" i="5"/>
  <c r="BI144" i="5"/>
  <c r="BI146" i="5"/>
  <c r="BI145" i="5"/>
  <c r="AR11" i="1"/>
  <c r="AR231" i="1"/>
  <c r="AR222" i="1"/>
  <c r="AF43" i="51" s="1"/>
  <c r="AT298" i="1"/>
  <c r="AT302" i="1"/>
  <c r="AH10" i="8" s="1"/>
  <c r="AH52" i="8" s="1"/>
  <c r="AC56" i="8"/>
  <c r="AC80" i="8"/>
  <c r="BB354" i="1"/>
  <c r="AS11" i="1"/>
  <c r="AS231" i="1"/>
  <c r="AS222" i="1"/>
  <c r="AG43" i="51" s="1"/>
  <c r="AT189" i="4"/>
  <c r="CH69" i="8"/>
  <c r="BH144" i="5"/>
  <c r="BH146" i="5"/>
  <c r="BJ137" i="5"/>
  <c r="BH145" i="5"/>
  <c r="BH116" i="5"/>
  <c r="BD293" i="1"/>
  <c r="AZ297" i="1"/>
  <c r="BB293" i="1"/>
  <c r="AS46" i="4"/>
  <c r="CK69" i="8" s="1"/>
  <c r="AT231" i="4"/>
  <c r="AV231" i="4"/>
  <c r="BE152" i="5"/>
  <c r="BE219" i="1" s="1"/>
  <c r="BE233" i="1"/>
  <c r="AS303" i="1"/>
  <c r="AG71" i="51" s="1"/>
  <c r="AS313" i="1"/>
  <c r="CC21" i="8"/>
  <c r="AT352" i="1"/>
  <c r="AT356" i="1"/>
  <c r="AH11" i="8" s="1"/>
  <c r="AH53" i="8" s="1"/>
  <c r="AZ301" i="1"/>
  <c r="AZ155" i="5" s="1"/>
  <c r="BD152" i="5"/>
  <c r="BD219" i="1" s="1"/>
  <c r="BF144" i="5"/>
  <c r="BD233" i="1"/>
  <c r="AX172" i="4"/>
  <c r="AX176" i="4" s="1"/>
  <c r="AZ220" i="1"/>
  <c r="AZ153" i="5" s="1"/>
  <c r="AZ61" i="1"/>
  <c r="CF52" i="8"/>
  <c r="AN30" i="5"/>
  <c r="AP30" i="5" s="1"/>
  <c r="AN32" i="5"/>
  <c r="AN37" i="4"/>
  <c r="AN42" i="4"/>
  <c r="AN45" i="4"/>
  <c r="AX347" i="1"/>
  <c r="AL26" i="51" s="1"/>
  <c r="AL82" i="51" s="1"/>
  <c r="AX351" i="1"/>
  <c r="BB369" i="1"/>
  <c r="AZ58" i="5"/>
  <c r="BH169" i="5"/>
  <c r="BH170" i="5"/>
  <c r="BH170" i="4" s="1"/>
  <c r="BH182" i="4"/>
  <c r="BE156" i="5"/>
  <c r="BE354" i="1" s="1"/>
  <c r="BE369" i="1"/>
  <c r="AT217" i="1"/>
  <c r="AT221" i="1"/>
  <c r="AH8" i="8" s="1"/>
  <c r="BM113" i="5"/>
  <c r="BQ117" i="5"/>
  <c r="BM114" i="5"/>
  <c r="BM119" i="1" s="1"/>
  <c r="BP117" i="5"/>
  <c r="BM163" i="5"/>
  <c r="BM138" i="4" s="1"/>
  <c r="BM140" i="4" s="1"/>
  <c r="BM137" i="5"/>
  <c r="BI115" i="1"/>
  <c r="BI114" i="1" s="1"/>
  <c r="BI138" i="1" s="1"/>
  <c r="BI232" i="4"/>
  <c r="BI132" i="5" s="1"/>
  <c r="BI133" i="5" s="1"/>
  <c r="BI55" i="5"/>
  <c r="AC18" i="8"/>
  <c r="AR316" i="1"/>
  <c r="AB19" i="8"/>
  <c r="AV356" i="1"/>
  <c r="AJ11" i="8" s="1"/>
  <c r="AV352" i="1"/>
  <c r="AZ138" i="1"/>
  <c r="BB138" i="1" s="1"/>
  <c r="BB114" i="1"/>
  <c r="BC114" i="1" s="1"/>
  <c r="AV180" i="4"/>
  <c r="AV189" i="4" s="1"/>
  <c r="AW181" i="4"/>
  <c r="AW188" i="4" s="1"/>
  <c r="AX61" i="1"/>
  <c r="BH138" i="4"/>
  <c r="BJ163" i="5"/>
  <c r="BH232" i="4"/>
  <c r="BH132" i="5" s="1"/>
  <c r="BH133" i="5" s="1"/>
  <c r="BH55" i="5"/>
  <c r="BJ113" i="5"/>
  <c r="AX297" i="1"/>
  <c r="AX294" i="1"/>
  <c r="AL21" i="51" s="1"/>
  <c r="AL67" i="51" s="1"/>
  <c r="AW298" i="1"/>
  <c r="AW302" i="1"/>
  <c r="AK10" i="8" s="1"/>
  <c r="AR70" i="4"/>
  <c r="AR84" i="5"/>
  <c r="BE154" i="5"/>
  <c r="BE300" i="1" s="1"/>
  <c r="BE315" i="1"/>
  <c r="AQ13" i="1"/>
  <c r="AE80" i="8" s="1"/>
  <c r="AX355" i="1"/>
  <c r="AX157" i="5" s="1"/>
  <c r="CD20" i="8"/>
  <c r="AS62" i="1"/>
  <c r="BD114" i="1"/>
  <c r="BF115" i="1"/>
  <c r="BG115" i="1" s="1"/>
  <c r="BB141" i="5"/>
  <c r="AC19" i="8"/>
  <c r="AR370" i="1"/>
  <c r="AV217" i="1"/>
  <c r="AV221" i="1"/>
  <c r="AJ8" i="8" s="1"/>
  <c r="AD16" i="8"/>
  <c r="BF145" i="5"/>
  <c r="BD154" i="5"/>
  <c r="BD300" i="1" s="1"/>
  <c r="BD315" i="1"/>
  <c r="BB233" i="1"/>
  <c r="BB140" i="5"/>
  <c r="AW221" i="1"/>
  <c r="AK8" i="8" s="1"/>
  <c r="AW217" i="1"/>
  <c r="AW356" i="1"/>
  <c r="AK11" i="8" s="1"/>
  <c r="AW352" i="1"/>
  <c r="AQ11" i="1"/>
  <c r="BB315" i="1"/>
  <c r="AJ53" i="8" l="1"/>
  <c r="BU117" i="5"/>
  <c r="BT117" i="5"/>
  <c r="AK52" i="8"/>
  <c r="AO47" i="4"/>
  <c r="AP74" i="4"/>
  <c r="AP77" i="4" s="1"/>
  <c r="AP78" i="4" s="1"/>
  <c r="AD115" i="51"/>
  <c r="AC117" i="51"/>
  <c r="AC116" i="51"/>
  <c r="AN26" i="5"/>
  <c r="AP26" i="5" s="1"/>
  <c r="AP32" i="5"/>
  <c r="AO39" i="4"/>
  <c r="AO62" i="5"/>
  <c r="AP54" i="5"/>
  <c r="BB58" i="5"/>
  <c r="AK50" i="8"/>
  <c r="AP23" i="1"/>
  <c r="AP28" i="1"/>
  <c r="AD119" i="51" s="1"/>
  <c r="AD120" i="51" s="1"/>
  <c r="AK15" i="8"/>
  <c r="AK53" i="8"/>
  <c r="AG50" i="8"/>
  <c r="AG15" i="8"/>
  <c r="AF50" i="8"/>
  <c r="AF15" i="8"/>
  <c r="AH15" i="8"/>
  <c r="AH50" i="8"/>
  <c r="AR225" i="1"/>
  <c r="AR224" i="1" s="1"/>
  <c r="AF16" i="8"/>
  <c r="AS225" i="1"/>
  <c r="AS224" i="1" s="1"/>
  <c r="AG16" i="8"/>
  <c r="AJ52" i="8"/>
  <c r="AJ50" i="8"/>
  <c r="AJ15" i="8"/>
  <c r="BB188" i="4"/>
  <c r="C9" i="61"/>
  <c r="C6" i="61"/>
  <c r="C8" i="61"/>
  <c r="BB158" i="4"/>
  <c r="BF123" i="5"/>
  <c r="AN44" i="4"/>
  <c r="AN60" i="5" s="1"/>
  <c r="AN35" i="4"/>
  <c r="AN34" i="5" s="1"/>
  <c r="AN43" i="4"/>
  <c r="AN61" i="5" s="1"/>
  <c r="AN34" i="4"/>
  <c r="CF57" i="8" s="1"/>
  <c r="AN33" i="4"/>
  <c r="CF56" i="8" s="1"/>
  <c r="AN36" i="4"/>
  <c r="BF182" i="4"/>
  <c r="Z88" i="51"/>
  <c r="BF170" i="4"/>
  <c r="Z45" i="51"/>
  <c r="Z73" i="51"/>
  <c r="BJ119" i="1"/>
  <c r="BD355" i="1"/>
  <c r="BD157" i="5" s="1"/>
  <c r="BE158" i="4"/>
  <c r="BE58" i="5" s="1"/>
  <c r="CC45" i="8"/>
  <c r="CC56" i="8"/>
  <c r="CC44" i="8"/>
  <c r="CC58" i="8"/>
  <c r="CC66" i="8"/>
  <c r="CC59" i="8"/>
  <c r="CC65" i="8"/>
  <c r="CC60" i="8"/>
  <c r="Z45" i="8"/>
  <c r="Z61" i="8"/>
  <c r="CC67" i="8"/>
  <c r="CC68" i="8"/>
  <c r="CC57" i="8"/>
  <c r="Z60" i="8"/>
  <c r="Z44" i="8"/>
  <c r="BB125" i="5"/>
  <c r="BD301" i="1"/>
  <c r="BD155" i="5" s="1"/>
  <c r="BF162" i="5"/>
  <c r="BL116" i="5"/>
  <c r="BL128" i="5" s="1"/>
  <c r="BJ55" i="5"/>
  <c r="BH158" i="4"/>
  <c r="BH58" i="5" s="1"/>
  <c r="AX189" i="4"/>
  <c r="AW366" i="1"/>
  <c r="AW357" i="1"/>
  <c r="AK86" i="51" s="1"/>
  <c r="BD138" i="1"/>
  <c r="BF138" i="1" s="1"/>
  <c r="BF114" i="1"/>
  <c r="BG114" i="1" s="1"/>
  <c r="BF141" i="5"/>
  <c r="AW180" i="4"/>
  <c r="AW189" i="4" s="1"/>
  <c r="AD19" i="8"/>
  <c r="AT370" i="1"/>
  <c r="BM165" i="5"/>
  <c r="BM171" i="5" s="1"/>
  <c r="BM116" i="5"/>
  <c r="BM128" i="5" s="1"/>
  <c r="AX352" i="1"/>
  <c r="AX356" i="1"/>
  <c r="AL11" i="8" s="1"/>
  <c r="AL53" i="8" s="1"/>
  <c r="CF44" i="8"/>
  <c r="BF140" i="5"/>
  <c r="BF233" i="1"/>
  <c r="AS70" i="4"/>
  <c r="AS84" i="5"/>
  <c r="AT84" i="5" s="1"/>
  <c r="BB297" i="1"/>
  <c r="BB294" i="1"/>
  <c r="AP21" i="51" s="1"/>
  <c r="AP67" i="51" s="1"/>
  <c r="BH128" i="5"/>
  <c r="BJ128" i="5" s="1"/>
  <c r="BJ116" i="5"/>
  <c r="BJ117" i="5" s="1"/>
  <c r="BJ162" i="5" s="1"/>
  <c r="BH152" i="5"/>
  <c r="BH219" i="1" s="1"/>
  <c r="BJ144" i="5"/>
  <c r="BH233" i="1"/>
  <c r="AT303" i="1"/>
  <c r="AH71" i="51" s="1"/>
  <c r="AR118" i="4"/>
  <c r="AR13" i="1"/>
  <c r="BI156" i="5"/>
  <c r="BI354" i="1" s="1"/>
  <c r="BI369" i="1"/>
  <c r="AX221" i="1"/>
  <c r="AL8" i="8" s="1"/>
  <c r="AX217" i="1"/>
  <c r="AT366" i="1"/>
  <c r="E9" i="61" s="1"/>
  <c r="AR363" i="1"/>
  <c r="AF19" i="8" s="1"/>
  <c r="BI346" i="1"/>
  <c r="BE351" i="1"/>
  <c r="BD42" i="1"/>
  <c r="BH211" i="1"/>
  <c r="BD216" i="1"/>
  <c r="BE220" i="1" s="1"/>
  <c r="BE153" i="5" s="1"/>
  <c r="BF211" i="1"/>
  <c r="AS363" i="1"/>
  <c r="AG19" i="8" s="1"/>
  <c r="BI293" i="1"/>
  <c r="BE297" i="1"/>
  <c r="AP35" i="4"/>
  <c r="AP42" i="4"/>
  <c r="BL232" i="4"/>
  <c r="BL132" i="5" s="1"/>
  <c r="BL133" i="5" s="1"/>
  <c r="BL55" i="5"/>
  <c r="BN113" i="5"/>
  <c r="AB44" i="8"/>
  <c r="AB60" i="8"/>
  <c r="AW11" i="1"/>
  <c r="AW231" i="1"/>
  <c r="AK16" i="8" s="1"/>
  <c r="AW222" i="1"/>
  <c r="AK43" i="51" s="1"/>
  <c r="AD58" i="8"/>
  <c r="AD42" i="8"/>
  <c r="AX298" i="1"/>
  <c r="AX302" i="1"/>
  <c r="AL10" i="8" s="1"/>
  <c r="AL52" i="8" s="1"/>
  <c r="AC45" i="8"/>
  <c r="AC61" i="8"/>
  <c r="AV11" i="1"/>
  <c r="AV231" i="1"/>
  <c r="AJ16" i="8" s="1"/>
  <c r="AV222" i="1"/>
  <c r="AJ43" i="51" s="1"/>
  <c r="BF315" i="1"/>
  <c r="BJ138" i="4"/>
  <c r="BK138" i="4" s="1"/>
  <c r="BH140" i="4"/>
  <c r="BJ140" i="4" s="1"/>
  <c r="BK140" i="4" s="1"/>
  <c r="BP113" i="5"/>
  <c r="BP114" i="5"/>
  <c r="BP163" i="5"/>
  <c r="BP137" i="5"/>
  <c r="BM232" i="4"/>
  <c r="BM132" i="5" s="1"/>
  <c r="BM133" i="5" s="1"/>
  <c r="BM55" i="5"/>
  <c r="CF68" i="8"/>
  <c r="CF45" i="8"/>
  <c r="AV172" i="4"/>
  <c r="AW172" i="4"/>
  <c r="AW160" i="4" s="1"/>
  <c r="BD61" i="1"/>
  <c r="BD220" i="1"/>
  <c r="BD153" i="5" s="1"/>
  <c r="BE61" i="1"/>
  <c r="BF219" i="1"/>
  <c r="AZ298" i="1"/>
  <c r="AZ302" i="1"/>
  <c r="BJ145" i="5"/>
  <c r="BH154" i="5"/>
  <c r="BH300" i="1" s="1"/>
  <c r="BH315" i="1"/>
  <c r="AS228" i="1"/>
  <c r="AT231" i="1"/>
  <c r="BB355" i="1"/>
  <c r="BB157" i="5" s="1"/>
  <c r="BI152" i="5"/>
  <c r="BI219" i="1" s="1"/>
  <c r="BI233" i="1"/>
  <c r="CG52" i="8"/>
  <c r="BA301" i="1"/>
  <c r="BA155" i="5" s="1"/>
  <c r="BA217" i="1"/>
  <c r="BA221" i="1"/>
  <c r="BB61" i="1"/>
  <c r="AR310" i="1"/>
  <c r="AF18" i="8" s="1"/>
  <c r="BB42" i="1"/>
  <c r="BB212" i="1"/>
  <c r="AP11" i="51" s="1"/>
  <c r="AP39" i="51" s="1"/>
  <c r="BB216" i="1"/>
  <c r="BF136" i="5"/>
  <c r="BF165" i="5"/>
  <c r="AZ352" i="1"/>
  <c r="AZ356" i="1"/>
  <c r="AP43" i="4"/>
  <c r="AP36" i="4"/>
  <c r="AP34" i="4"/>
  <c r="BN114" i="5"/>
  <c r="BL119" i="1"/>
  <c r="BL115" i="1" s="1"/>
  <c r="BI169" i="5"/>
  <c r="BI170" i="5"/>
  <c r="BI170" i="4" s="1"/>
  <c r="BI182" i="4"/>
  <c r="BJ182" i="4" s="1"/>
  <c r="AD18" i="8"/>
  <c r="AT316" i="1"/>
  <c r="BF300" i="1"/>
  <c r="AV366" i="1"/>
  <c r="AV357" i="1"/>
  <c r="AJ86" i="51" s="1"/>
  <c r="AC60" i="8"/>
  <c r="AC44" i="8"/>
  <c r="BM144" i="5"/>
  <c r="BM146" i="5"/>
  <c r="BM145" i="5"/>
  <c r="BM115" i="1"/>
  <c r="BM114" i="1" s="1"/>
  <c r="BM138" i="1" s="1"/>
  <c r="BF369" i="1"/>
  <c r="AN62" i="5"/>
  <c r="CF60" i="8"/>
  <c r="AX168" i="4"/>
  <c r="BB169" i="4" s="1"/>
  <c r="AZ169" i="4"/>
  <c r="AT357" i="1"/>
  <c r="AH86" i="51" s="1"/>
  <c r="CD21" i="8"/>
  <c r="AV46" i="4"/>
  <c r="CN69" i="8" s="1"/>
  <c r="AW231" i="4"/>
  <c r="BF293" i="1"/>
  <c r="BH293" i="1"/>
  <c r="BD297" i="1"/>
  <c r="BE301" i="1" s="1"/>
  <c r="BE155" i="5" s="1"/>
  <c r="AS118" i="4"/>
  <c r="AS13" i="1"/>
  <c r="AT137" i="4"/>
  <c r="AT145" i="4" s="1"/>
  <c r="AQ136" i="4"/>
  <c r="AR137" i="4"/>
  <c r="AR145" i="4" s="1"/>
  <c r="BF142" i="5"/>
  <c r="BB301" i="1"/>
  <c r="BB155" i="5" s="1"/>
  <c r="BE42" i="1"/>
  <c r="BI211" i="1"/>
  <c r="BE216" i="1"/>
  <c r="AT62" i="1"/>
  <c r="AZ180" i="4"/>
  <c r="AZ189" i="4" s="1"/>
  <c r="BA181" i="4"/>
  <c r="BA188" i="4" s="1"/>
  <c r="BF346" i="1"/>
  <c r="BH346" i="1"/>
  <c r="BD351" i="1"/>
  <c r="BE355" i="1" s="1"/>
  <c r="BE157" i="5" s="1"/>
  <c r="AP44" i="4"/>
  <c r="AP37" i="4"/>
  <c r="BN137" i="5"/>
  <c r="BL145" i="5"/>
  <c r="BL144" i="5"/>
  <c r="BL146" i="5"/>
  <c r="AR87" i="4"/>
  <c r="AR468" i="1"/>
  <c r="AW313" i="1"/>
  <c r="AW303" i="1"/>
  <c r="AK71" i="51" s="1"/>
  <c r="AB45" i="8"/>
  <c r="AB61" i="8"/>
  <c r="BQ113" i="5"/>
  <c r="BQ163" i="5"/>
  <c r="BQ138" i="4" s="1"/>
  <c r="BQ140" i="4" s="1"/>
  <c r="BQ114" i="5"/>
  <c r="BQ119" i="1" s="1"/>
  <c r="BQ137" i="5"/>
  <c r="AT234" i="1"/>
  <c r="AT11" i="1"/>
  <c r="AT222" i="1"/>
  <c r="AH43" i="51" s="1"/>
  <c r="BF354" i="1"/>
  <c r="CF66" i="8"/>
  <c r="CC22" i="8"/>
  <c r="AS310" i="1"/>
  <c r="AG18" i="8" s="1"/>
  <c r="AT313" i="1"/>
  <c r="E8" i="61" s="1"/>
  <c r="AT46" i="4"/>
  <c r="AT232" i="4"/>
  <c r="AT132" i="5" s="1"/>
  <c r="AT133" i="5" s="1"/>
  <c r="BH156" i="5"/>
  <c r="BH354" i="1" s="1"/>
  <c r="BJ146" i="5"/>
  <c r="BH369" i="1"/>
  <c r="AR228" i="1"/>
  <c r="BI154" i="5"/>
  <c r="BI300" i="1" s="1"/>
  <c r="BI315" i="1"/>
  <c r="CG50" i="8"/>
  <c r="AV303" i="1"/>
  <c r="AJ71" i="51" s="1"/>
  <c r="AV313" i="1"/>
  <c r="AR164" i="4"/>
  <c r="AT157" i="4"/>
  <c r="AT164" i="4" s="1"/>
  <c r="BA356" i="1"/>
  <c r="BA352" i="1"/>
  <c r="BB220" i="1"/>
  <c r="BB153" i="5" s="1"/>
  <c r="AZ217" i="1"/>
  <c r="AZ221" i="1"/>
  <c r="AD56" i="8"/>
  <c r="AD80" i="8"/>
  <c r="Y24" i="8"/>
  <c r="BA298" i="1"/>
  <c r="BA302" i="1"/>
  <c r="BH114" i="1"/>
  <c r="BJ115" i="1"/>
  <c r="BK115" i="1" s="1"/>
  <c r="BD181" i="4"/>
  <c r="BD188" i="4" s="1"/>
  <c r="BB180" i="4"/>
  <c r="BF181" i="4" s="1"/>
  <c r="AS169" i="4"/>
  <c r="AS176" i="4" s="1"/>
  <c r="AR168" i="4"/>
  <c r="AR177" i="4" s="1"/>
  <c r="BB351" i="1"/>
  <c r="BB347" i="1"/>
  <c r="AP26" i="51" s="1"/>
  <c r="AP82" i="51" s="1"/>
  <c r="AP45" i="4"/>
  <c r="AP33" i="4"/>
  <c r="BL182" i="4"/>
  <c r="BL169" i="5"/>
  <c r="BL170" i="5"/>
  <c r="BL170" i="4" s="1"/>
  <c r="BL138" i="4"/>
  <c r="BN163" i="5"/>
  <c r="AM26" i="1"/>
  <c r="BD158" i="4"/>
  <c r="AO35" i="5" l="1"/>
  <c r="AO49" i="4"/>
  <c r="AO51" i="4" s="1"/>
  <c r="BT163" i="5"/>
  <c r="BT114" i="5"/>
  <c r="BT137" i="5"/>
  <c r="BT165" i="5"/>
  <c r="BT113" i="5"/>
  <c r="AO36" i="5"/>
  <c r="BU163" i="5"/>
  <c r="BU114" i="5"/>
  <c r="BU119" i="1" s="1"/>
  <c r="BU137" i="5"/>
  <c r="BY117" i="5"/>
  <c r="BX117" i="5"/>
  <c r="BU113" i="5"/>
  <c r="AO33" i="5"/>
  <c r="AT225" i="1"/>
  <c r="AD117" i="51"/>
  <c r="AD116" i="51"/>
  <c r="AP62" i="5"/>
  <c r="AO34" i="5"/>
  <c r="AP34" i="5" s="1"/>
  <c r="AO60" i="5"/>
  <c r="AO61" i="5"/>
  <c r="AP61" i="5" s="1"/>
  <c r="AP47" i="4"/>
  <c r="AP39" i="4"/>
  <c r="AO52" i="4"/>
  <c r="AO53" i="4" s="1"/>
  <c r="AO65" i="4"/>
  <c r="D9" i="61"/>
  <c r="F45" i="61"/>
  <c r="CL69" i="8"/>
  <c r="D8" i="61"/>
  <c r="D6" i="61"/>
  <c r="AF58" i="8"/>
  <c r="AF42" i="8"/>
  <c r="AN10" i="8"/>
  <c r="AN52" i="8" s="1"/>
  <c r="AH56" i="8"/>
  <c r="AJ42" i="8"/>
  <c r="AJ58" i="8"/>
  <c r="AF61" i="8"/>
  <c r="AF45" i="8"/>
  <c r="AF56" i="8"/>
  <c r="AF80" i="8"/>
  <c r="AG44" i="8"/>
  <c r="AG60" i="8"/>
  <c r="AG45" i="8"/>
  <c r="AG61" i="8"/>
  <c r="AN8" i="8"/>
  <c r="AF60" i="8"/>
  <c r="AF44" i="8"/>
  <c r="AO8" i="8"/>
  <c r="AJ56" i="8"/>
  <c r="AG56" i="8"/>
  <c r="AG80" i="8"/>
  <c r="AN11" i="8"/>
  <c r="AN53" i="8" s="1"/>
  <c r="AO11" i="8"/>
  <c r="AO53" i="8" s="1"/>
  <c r="AL50" i="8"/>
  <c r="AL15" i="8"/>
  <c r="AO10" i="8"/>
  <c r="AO52" i="8" s="1"/>
  <c r="E6" i="61"/>
  <c r="H8" i="61" s="1"/>
  <c r="D22" i="61" s="1"/>
  <c r="E22" i="61" s="1"/>
  <c r="AH16" i="8"/>
  <c r="AK42" i="8"/>
  <c r="AK58" i="8"/>
  <c r="AG42" i="8"/>
  <c r="AG58" i="8"/>
  <c r="AK56" i="8"/>
  <c r="C11" i="61"/>
  <c r="D10" i="61"/>
  <c r="D7" i="61"/>
  <c r="CF67" i="8"/>
  <c r="AN47" i="4"/>
  <c r="CF58" i="8"/>
  <c r="BJ123" i="5"/>
  <c r="BJ124" i="5"/>
  <c r="BF188" i="4"/>
  <c r="BF180" i="4" s="1"/>
  <c r="BJ181" i="4" s="1"/>
  <c r="BJ188" i="4" s="1"/>
  <c r="AN35" i="5"/>
  <c r="AP35" i="5" s="1"/>
  <c r="AN39" i="4"/>
  <c r="CF62" i="8" s="1"/>
  <c r="AN33" i="5"/>
  <c r="CF59" i="8"/>
  <c r="AN36" i="5"/>
  <c r="AN63" i="5"/>
  <c r="AW225" i="1"/>
  <c r="AW224" i="1" s="1"/>
  <c r="AV225" i="1"/>
  <c r="AV224" i="1" s="1"/>
  <c r="BF125" i="5"/>
  <c r="CD60" i="8"/>
  <c r="CC70" i="8"/>
  <c r="CD45" i="8"/>
  <c r="CD66" i="8"/>
  <c r="CD44" i="8"/>
  <c r="CD57" i="8"/>
  <c r="CD59" i="8"/>
  <c r="CD58" i="8"/>
  <c r="CD65" i="8"/>
  <c r="AM16" i="1"/>
  <c r="CD67" i="8"/>
  <c r="AM18" i="1"/>
  <c r="CC62" i="8"/>
  <c r="CD68" i="8"/>
  <c r="CD56" i="8"/>
  <c r="BH355" i="1"/>
  <c r="BH157" i="5" s="1"/>
  <c r="BN119" i="1"/>
  <c r="BN116" i="5"/>
  <c r="BN117" i="5" s="1"/>
  <c r="BN123" i="5" s="1"/>
  <c r="BH301" i="1"/>
  <c r="BH155" i="5" s="1"/>
  <c r="BF301" i="1"/>
  <c r="BF155" i="5" s="1"/>
  <c r="BQ165" i="5"/>
  <c r="BN55" i="5"/>
  <c r="BB189" i="4"/>
  <c r="AX177" i="4"/>
  <c r="BF220" i="1"/>
  <c r="BF153" i="5" s="1"/>
  <c r="BF355" i="1"/>
  <c r="BF157" i="5" s="1"/>
  <c r="AT118" i="4"/>
  <c r="AT13" i="1"/>
  <c r="AU13" i="1" s="1"/>
  <c r="AI80" i="8" s="1"/>
  <c r="BQ115" i="1"/>
  <c r="BQ114" i="1" s="1"/>
  <c r="BQ138" i="1" s="1"/>
  <c r="AR372" i="1"/>
  <c r="BL152" i="5"/>
  <c r="BL219" i="1" s="1"/>
  <c r="BN144" i="5"/>
  <c r="BL233" i="1"/>
  <c r="BD352" i="1"/>
  <c r="BD356" i="1"/>
  <c r="BI42" i="1"/>
  <c r="BM211" i="1"/>
  <c r="BI216" i="1"/>
  <c r="AS63" i="1"/>
  <c r="AG112" i="51"/>
  <c r="AG113" i="51" s="1"/>
  <c r="AW62" i="1"/>
  <c r="AS226" i="1"/>
  <c r="AT224" i="1"/>
  <c r="BL293" i="1"/>
  <c r="BH297" i="1"/>
  <c r="BI301" i="1" s="1"/>
  <c r="BI155" i="5" s="1"/>
  <c r="BJ293" i="1"/>
  <c r="AV70" i="4"/>
  <c r="AV84" i="5"/>
  <c r="BB172" i="4"/>
  <c r="BB176" i="4" s="1"/>
  <c r="BM156" i="5"/>
  <c r="BM354" i="1" s="1"/>
  <c r="BM369" i="1"/>
  <c r="BI158" i="4"/>
  <c r="BJ170" i="4"/>
  <c r="BJ233" i="1"/>
  <c r="BP145" i="5"/>
  <c r="BP144" i="5"/>
  <c r="BP146" i="5"/>
  <c r="BR137" i="5"/>
  <c r="BP232" i="4"/>
  <c r="BP132" i="5" s="1"/>
  <c r="BP133" i="5" s="1"/>
  <c r="BP55" i="5"/>
  <c r="BR113" i="5"/>
  <c r="AX303" i="1"/>
  <c r="AL71" i="51" s="1"/>
  <c r="CG65" i="8"/>
  <c r="BE298" i="1"/>
  <c r="BE302" i="1"/>
  <c r="BH42" i="1"/>
  <c r="BJ211" i="1"/>
  <c r="BL211" i="1"/>
  <c r="BH216" i="1"/>
  <c r="BI220" i="1" s="1"/>
  <c r="BI153" i="5" s="1"/>
  <c r="AT363" i="1"/>
  <c r="AH19" i="8" s="1"/>
  <c r="AS370" i="1"/>
  <c r="AR360" i="1"/>
  <c r="AX11" i="1"/>
  <c r="AY11" i="1" s="1"/>
  <c r="AX222" i="1"/>
  <c r="AL43" i="51" s="1"/>
  <c r="AR115" i="4"/>
  <c r="AR14" i="4" s="1"/>
  <c r="CJ44" i="8" s="1"/>
  <c r="AR121" i="4"/>
  <c r="AR15" i="4" s="1"/>
  <c r="CJ45" i="8" s="1"/>
  <c r="AR207" i="4"/>
  <c r="AR36" i="4" s="1"/>
  <c r="CJ59" i="8" s="1"/>
  <c r="AR204" i="4"/>
  <c r="AR35" i="4" s="1"/>
  <c r="CJ58" i="8" s="1"/>
  <c r="AR201" i="4"/>
  <c r="AR34" i="4" s="1"/>
  <c r="CJ57" i="8" s="1"/>
  <c r="AR216" i="4"/>
  <c r="AR198" i="4"/>
  <c r="AR33" i="4" s="1"/>
  <c r="CJ56" i="8" s="1"/>
  <c r="AR210" i="4"/>
  <c r="AR37" i="4" s="1"/>
  <c r="CJ60" i="8" s="1"/>
  <c r="AR225" i="4"/>
  <c r="AR44" i="4" s="1"/>
  <c r="CJ67" i="8" s="1"/>
  <c r="AR222" i="4"/>
  <c r="AR43" i="4" s="1"/>
  <c r="CJ66" i="8" s="1"/>
  <c r="AR228" i="4"/>
  <c r="AR45" i="4" s="1"/>
  <c r="CJ68" i="8" s="1"/>
  <c r="BH220" i="1"/>
  <c r="BH153" i="5" s="1"/>
  <c r="BH61" i="1"/>
  <c r="BB302" i="1"/>
  <c r="BB298" i="1"/>
  <c r="AS168" i="4"/>
  <c r="AS177" i="4" s="1"/>
  <c r="AZ11" i="1"/>
  <c r="AZ222" i="1"/>
  <c r="AN43" i="51" s="1"/>
  <c r="AZ231" i="1"/>
  <c r="BN138" i="4"/>
  <c r="BO138" i="4" s="1"/>
  <c r="BL140" i="4"/>
  <c r="BN140" i="4" s="1"/>
  <c r="BO140" i="4" s="1"/>
  <c r="BJ114" i="1"/>
  <c r="BK114" i="1" s="1"/>
  <c r="BH138" i="1"/>
  <c r="BJ138" i="1" s="1"/>
  <c r="BA366" i="1"/>
  <c r="BA357" i="1"/>
  <c r="AO86" i="51" s="1"/>
  <c r="AT156" i="4"/>
  <c r="AT24" i="4" s="1"/>
  <c r="CL52" i="8" s="1"/>
  <c r="AT166" i="4"/>
  <c r="AV310" i="1"/>
  <c r="AT228" i="1"/>
  <c r="AS234" i="1"/>
  <c r="BL154" i="5"/>
  <c r="BL300" i="1" s="1"/>
  <c r="BN145" i="5"/>
  <c r="BL315" i="1"/>
  <c r="CG60" i="8"/>
  <c r="BL346" i="1"/>
  <c r="BH351" i="1"/>
  <c r="BI355" i="1" s="1"/>
  <c r="BI157" i="5" s="1"/>
  <c r="BJ346" i="1"/>
  <c r="BA180" i="4"/>
  <c r="BA189" i="4" s="1"/>
  <c r="BF294" i="1"/>
  <c r="AT21" i="51" s="1"/>
  <c r="AT67" i="51" s="1"/>
  <c r="BF297" i="1"/>
  <c r="CF65" i="8"/>
  <c r="AR318" i="1"/>
  <c r="BM152" i="5"/>
  <c r="BM219" i="1" s="1"/>
  <c r="BM233" i="1"/>
  <c r="CG57" i="8"/>
  <c r="CG66" i="8"/>
  <c r="BI61" i="1"/>
  <c r="BJ219" i="1"/>
  <c r="AR226" i="1"/>
  <c r="AV160" i="4"/>
  <c r="AX160" i="4" s="1"/>
  <c r="AV176" i="4"/>
  <c r="BP116" i="5"/>
  <c r="BM293" i="1"/>
  <c r="BI297" i="1"/>
  <c r="AV370" i="1"/>
  <c r="AS360" i="1"/>
  <c r="BE352" i="1"/>
  <c r="BE356" i="1"/>
  <c r="AR63" i="1"/>
  <c r="AF112" i="51"/>
  <c r="AF113" i="51" s="1"/>
  <c r="AV62" i="1"/>
  <c r="AS87" i="4"/>
  <c r="AS468" i="1"/>
  <c r="AD61" i="8"/>
  <c r="AD45" i="8"/>
  <c r="AW363" i="1"/>
  <c r="AR26" i="1"/>
  <c r="AT465" i="1"/>
  <c r="AR466" i="1"/>
  <c r="BL158" i="4"/>
  <c r="AS157" i="4"/>
  <c r="AS164" i="4" s="1"/>
  <c r="AR156" i="4"/>
  <c r="AR24" i="4" s="1"/>
  <c r="CJ52" i="8" s="1"/>
  <c r="AR166" i="4"/>
  <c r="BJ315" i="1"/>
  <c r="BJ142" i="5"/>
  <c r="CD22" i="8"/>
  <c r="BQ145" i="5"/>
  <c r="BQ144" i="5"/>
  <c r="BQ146" i="5"/>
  <c r="BQ232" i="4"/>
  <c r="BQ132" i="5" s="1"/>
  <c r="BQ133" i="5" s="1"/>
  <c r="BQ55" i="5"/>
  <c r="BF347" i="1"/>
  <c r="AT26" i="51" s="1"/>
  <c r="AT82" i="51" s="1"/>
  <c r="BF351" i="1"/>
  <c r="AR236" i="1"/>
  <c r="CH50" i="8"/>
  <c r="AN90" i="5"/>
  <c r="AV363" i="1"/>
  <c r="AX366" i="1"/>
  <c r="AD60" i="8"/>
  <c r="AD44" i="8"/>
  <c r="BL114" i="1"/>
  <c r="BN115" i="1"/>
  <c r="BO115" i="1" s="1"/>
  <c r="AZ366" i="1"/>
  <c r="AZ357" i="1"/>
  <c r="AN86" i="51" s="1"/>
  <c r="AV234" i="1"/>
  <c r="BJ141" i="5"/>
  <c r="BP138" i="4"/>
  <c r="BR163" i="5"/>
  <c r="BJ165" i="5"/>
  <c r="BJ136" i="5"/>
  <c r="AR277" i="1"/>
  <c r="AV228" i="1"/>
  <c r="AW228" i="1"/>
  <c r="AX231" i="1"/>
  <c r="CG58" i="8"/>
  <c r="BF42" i="1"/>
  <c r="BF212" i="1"/>
  <c r="AT11" i="51" s="1"/>
  <c r="AT39" i="51" s="1"/>
  <c r="BF216" i="1"/>
  <c r="BM346" i="1"/>
  <c r="BI351" i="1"/>
  <c r="BJ369" i="1"/>
  <c r="AU11" i="1"/>
  <c r="BN128" i="5"/>
  <c r="AR89" i="4"/>
  <c r="CG56" i="8"/>
  <c r="BB356" i="1"/>
  <c r="BB352" i="1"/>
  <c r="Z24" i="8"/>
  <c r="BF158" i="4"/>
  <c r="BD58" i="5"/>
  <c r="BF58" i="5" s="1"/>
  <c r="CG44" i="8"/>
  <c r="CG68" i="8"/>
  <c r="BA303" i="1"/>
  <c r="AO71" i="51" s="1"/>
  <c r="BA313" i="1"/>
  <c r="BD180" i="4"/>
  <c r="BD189" i="4" s="1"/>
  <c r="BE181" i="4"/>
  <c r="BE188" i="4" s="1"/>
  <c r="AM25" i="1"/>
  <c r="BJ300" i="1"/>
  <c r="AT70" i="4"/>
  <c r="AV316" i="1"/>
  <c r="AS306" i="1"/>
  <c r="BQ116" i="5"/>
  <c r="BQ128" i="5" s="1"/>
  <c r="AW310" i="1"/>
  <c r="AX313" i="1"/>
  <c r="BL156" i="5"/>
  <c r="BL354" i="1" s="1"/>
  <c r="BN146" i="5"/>
  <c r="BL369" i="1"/>
  <c r="CG45" i="8"/>
  <c r="CG67" i="8"/>
  <c r="AB24" i="8"/>
  <c r="BE217" i="1"/>
  <c r="BE221" i="1"/>
  <c r="AR136" i="4"/>
  <c r="AR149" i="4" s="1"/>
  <c r="AS121" i="4"/>
  <c r="AS115" i="4"/>
  <c r="AS198" i="4"/>
  <c r="AS210" i="4"/>
  <c r="AS207" i="4"/>
  <c r="AS204" i="4"/>
  <c r="AS201" i="4"/>
  <c r="AS216" i="4"/>
  <c r="AS228" i="4"/>
  <c r="AS225" i="4"/>
  <c r="AS222" i="4"/>
  <c r="BD298" i="1"/>
  <c r="BD302" i="1"/>
  <c r="AW46" i="4"/>
  <c r="CO69" i="8" s="1"/>
  <c r="AZ231" i="4"/>
  <c r="AX231" i="4"/>
  <c r="BM154" i="5"/>
  <c r="BM300" i="1" s="1"/>
  <c r="BM315" i="1"/>
  <c r="CG59" i="8"/>
  <c r="AR431" i="1"/>
  <c r="BB221" i="1"/>
  <c r="BB217" i="1"/>
  <c r="AT310" i="1"/>
  <c r="AH18" i="8" s="1"/>
  <c r="AS316" i="1"/>
  <c r="AR306" i="1"/>
  <c r="BA11" i="1"/>
  <c r="BA231" i="1"/>
  <c r="BA222" i="1"/>
  <c r="AO43" i="51" s="1"/>
  <c r="AZ303" i="1"/>
  <c r="AN71" i="51" s="1"/>
  <c r="AZ313" i="1"/>
  <c r="BF61" i="1"/>
  <c r="BP165" i="5"/>
  <c r="BP171" i="5" s="1"/>
  <c r="BR114" i="5"/>
  <c r="BP119" i="1"/>
  <c r="BP115" i="1" s="1"/>
  <c r="AV118" i="4"/>
  <c r="AV13" i="1"/>
  <c r="AW118" i="4"/>
  <c r="AW13" i="1"/>
  <c r="BD221" i="1"/>
  <c r="BD217" i="1"/>
  <c r="BJ354" i="1"/>
  <c r="BJ140" i="5"/>
  <c r="AX357" i="1"/>
  <c r="AL86" i="51" s="1"/>
  <c r="BM170" i="5"/>
  <c r="BM170" i="4" s="1"/>
  <c r="BM182" i="4"/>
  <c r="BN182" i="4" s="1"/>
  <c r="BM169" i="5"/>
  <c r="AR88" i="4"/>
  <c r="BT116" i="5" l="1"/>
  <c r="AP33" i="5"/>
  <c r="AP36" i="5"/>
  <c r="BX163" i="5"/>
  <c r="BX165" i="5" s="1"/>
  <c r="BX114" i="5"/>
  <c r="BX137" i="5"/>
  <c r="BX113" i="5"/>
  <c r="BY163" i="5"/>
  <c r="BY138" i="4" s="1"/>
  <c r="BY140" i="4" s="1"/>
  <c r="BY114" i="5"/>
  <c r="BY119" i="1" s="1"/>
  <c r="BY137" i="5"/>
  <c r="BY113" i="5"/>
  <c r="BU144" i="5"/>
  <c r="BU145" i="5"/>
  <c r="BU146" i="5"/>
  <c r="BU115" i="1"/>
  <c r="BU114" i="1" s="1"/>
  <c r="BU138" i="1" s="1"/>
  <c r="BU165" i="5"/>
  <c r="BU138" i="4"/>
  <c r="BU140" i="4" s="1"/>
  <c r="BT128" i="5"/>
  <c r="BT232" i="4"/>
  <c r="BV113" i="5"/>
  <c r="BT55" i="5"/>
  <c r="BT171" i="5"/>
  <c r="BT182" i="4" s="1"/>
  <c r="BT170" i="5"/>
  <c r="BT170" i="4" s="1"/>
  <c r="BT169" i="5"/>
  <c r="BT145" i="5"/>
  <c r="BV137" i="5"/>
  <c r="BT146" i="5"/>
  <c r="BT144" i="5"/>
  <c r="BU116" i="5"/>
  <c r="BU128" i="5" s="1"/>
  <c r="BT119" i="1"/>
  <c r="BT115" i="1" s="1"/>
  <c r="BV114" i="5"/>
  <c r="BU55" i="5"/>
  <c r="BU232" i="4"/>
  <c r="BU132" i="5" s="1"/>
  <c r="BU133" i="5" s="1"/>
  <c r="BT138" i="4"/>
  <c r="BV163" i="5"/>
  <c r="AP60" i="5"/>
  <c r="AP63" i="5" s="1"/>
  <c r="AO63" i="5"/>
  <c r="AP49" i="4"/>
  <c r="AP51" i="4" s="1"/>
  <c r="AP65" i="4" s="1"/>
  <c r="H6" i="61"/>
  <c r="D20" i="61" s="1"/>
  <c r="E20" i="61" s="1"/>
  <c r="D11" i="61"/>
  <c r="BH181" i="4"/>
  <c r="BH188" i="4" s="1"/>
  <c r="BH180" i="4" s="1"/>
  <c r="BH189" i="4" s="1"/>
  <c r="AH44" i="8"/>
  <c r="AH60" i="8"/>
  <c r="AH42" i="8"/>
  <c r="AH58" i="8"/>
  <c r="AJ80" i="8"/>
  <c r="AL16" i="8"/>
  <c r="AK19" i="8"/>
  <c r="AP10" i="8"/>
  <c r="AP52" i="8" s="1"/>
  <c r="AO50" i="8"/>
  <c r="AO15" i="8"/>
  <c r="H7" i="61"/>
  <c r="D21" i="61" s="1"/>
  <c r="E21" i="61" s="1"/>
  <c r="AL56" i="8"/>
  <c r="H10" i="61"/>
  <c r="AK80" i="8"/>
  <c r="AN15" i="8"/>
  <c r="AN50" i="8"/>
  <c r="AJ19" i="8"/>
  <c r="AH80" i="8"/>
  <c r="BA225" i="1"/>
  <c r="BA224" i="1" s="1"/>
  <c r="AO16" i="8"/>
  <c r="AZ225" i="1"/>
  <c r="AZ224" i="1" s="1"/>
  <c r="AN16" i="8"/>
  <c r="H9" i="61"/>
  <c r="D23" i="61" s="1"/>
  <c r="E23" i="61" s="1"/>
  <c r="AH45" i="8"/>
  <c r="AH61" i="8"/>
  <c r="E11" i="61"/>
  <c r="AP8" i="8"/>
  <c r="AK18" i="8"/>
  <c r="AP11" i="8"/>
  <c r="AP53" i="8" s="1"/>
  <c r="AJ18" i="8"/>
  <c r="AN49" i="4"/>
  <c r="AN51" i="4" s="1"/>
  <c r="AN65" i="4" s="1"/>
  <c r="BN124" i="5"/>
  <c r="BN125" i="5" s="1"/>
  <c r="AN91" i="5"/>
  <c r="AN83" i="5" s="1"/>
  <c r="AN32" i="1"/>
  <c r="AN31" i="1" s="1"/>
  <c r="BQ169" i="5"/>
  <c r="BQ171" i="5"/>
  <c r="BQ182" i="4" s="1"/>
  <c r="AX225" i="1"/>
  <c r="BN162" i="5"/>
  <c r="BQ170" i="5"/>
  <c r="BQ170" i="4" s="1"/>
  <c r="AM22" i="1"/>
  <c r="CD62" i="8"/>
  <c r="AM20" i="1"/>
  <c r="Y23" i="8"/>
  <c r="Y81" i="8" s="1"/>
  <c r="CD70" i="8"/>
  <c r="AS88" i="4"/>
  <c r="AT88" i="4" s="1"/>
  <c r="AS89" i="4"/>
  <c r="AT89" i="4" s="1"/>
  <c r="BJ301" i="1"/>
  <c r="BJ155" i="5" s="1"/>
  <c r="BJ355" i="1"/>
  <c r="BJ157" i="5" s="1"/>
  <c r="BJ125" i="5"/>
  <c r="AR165" i="4"/>
  <c r="BJ220" i="1"/>
  <c r="BJ153" i="5" s="1"/>
  <c r="AT165" i="4"/>
  <c r="BF189" i="4"/>
  <c r="AT26" i="1"/>
  <c r="AT466" i="1"/>
  <c r="G38" i="61"/>
  <c r="H38" i="61" s="1"/>
  <c r="AV115" i="4"/>
  <c r="AV14" i="4" s="1"/>
  <c r="CN44" i="8" s="1"/>
  <c r="AV121" i="4"/>
  <c r="AV15" i="4" s="1"/>
  <c r="CN45" i="8" s="1"/>
  <c r="AV204" i="4"/>
  <c r="AV35" i="4" s="1"/>
  <c r="CN58" i="8" s="1"/>
  <c r="AV201" i="4"/>
  <c r="AV34" i="4" s="1"/>
  <c r="CN57" i="8" s="1"/>
  <c r="AV216" i="4"/>
  <c r="AV198" i="4"/>
  <c r="AV33" i="4" s="1"/>
  <c r="CN56" i="8" s="1"/>
  <c r="AV210" i="4"/>
  <c r="AV37" i="4" s="1"/>
  <c r="CN60" i="8" s="1"/>
  <c r="AV207" i="4"/>
  <c r="AV36" i="4" s="1"/>
  <c r="CN59" i="8" s="1"/>
  <c r="AV222" i="4"/>
  <c r="AV43" i="4" s="1"/>
  <c r="CN66" i="8" s="1"/>
  <c r="AV228" i="4"/>
  <c r="AV45" i="4" s="1"/>
  <c r="CN68" i="8" s="1"/>
  <c r="AV225" i="4"/>
  <c r="AV44" i="4" s="1"/>
  <c r="CN67" i="8" s="1"/>
  <c r="Z77" i="51"/>
  <c r="AZ310" i="1"/>
  <c r="AW70" i="4"/>
  <c r="AW84" i="5"/>
  <c r="AX84" i="5" s="1"/>
  <c r="AS34" i="4"/>
  <c r="CK57" i="8" s="1"/>
  <c r="AT201" i="4"/>
  <c r="BI352" i="1"/>
  <c r="BI356" i="1"/>
  <c r="BF356" i="1"/>
  <c r="BF352" i="1"/>
  <c r="BQ152" i="5"/>
  <c r="BQ219" i="1" s="1"/>
  <c r="BQ233" i="1"/>
  <c r="AR70" i="1"/>
  <c r="AV168" i="4"/>
  <c r="AV177" i="4" s="1"/>
  <c r="AW169" i="4"/>
  <c r="AW176" i="4" s="1"/>
  <c r="AW63" i="1"/>
  <c r="AK112" i="51"/>
  <c r="AK113" i="51" s="1"/>
  <c r="BA62" i="1"/>
  <c r="AV63" i="1"/>
  <c r="AJ112" i="51"/>
  <c r="AJ113" i="51" s="1"/>
  <c r="AZ62" i="1"/>
  <c r="BP169" i="5"/>
  <c r="BP170" i="5"/>
  <c r="BP170" i="4" s="1"/>
  <c r="BP182" i="4"/>
  <c r="AR305" i="1"/>
  <c r="AR307" i="1" s="1"/>
  <c r="AR308" i="1"/>
  <c r="AR16" i="1"/>
  <c r="BB11" i="1"/>
  <c r="BC11" i="1" s="1"/>
  <c r="BB222" i="1"/>
  <c r="AP43" i="51" s="1"/>
  <c r="BN300" i="1"/>
  <c r="BD303" i="1"/>
  <c r="AR71" i="51" s="1"/>
  <c r="BD313" i="1"/>
  <c r="AR10" i="8"/>
  <c r="AR52" i="8" s="1"/>
  <c r="AS44" i="4"/>
  <c r="CK67" i="8" s="1"/>
  <c r="AT225" i="4"/>
  <c r="AS35" i="4"/>
  <c r="CK58" i="8" s="1"/>
  <c r="AT204" i="4"/>
  <c r="AS14" i="4"/>
  <c r="CK44" i="8" s="1"/>
  <c r="AT115" i="4"/>
  <c r="CH56" i="8"/>
  <c r="BA310" i="1"/>
  <c r="BB313" i="1"/>
  <c r="CG62" i="8"/>
  <c r="BQ346" i="1"/>
  <c r="BM351" i="1"/>
  <c r="AZ234" i="1"/>
  <c r="AZ363" i="1"/>
  <c r="BB366" i="1"/>
  <c r="BL138" i="1"/>
  <c r="BN138" i="1" s="1"/>
  <c r="BN114" i="1"/>
  <c r="BO114" i="1" s="1"/>
  <c r="BQ154" i="5"/>
  <c r="BQ300" i="1" s="1"/>
  <c r="BQ315" i="1"/>
  <c r="AZ370" i="1"/>
  <c r="AW360" i="1"/>
  <c r="AR64" i="1"/>
  <c r="AR59" i="1"/>
  <c r="AR60" i="1" s="1"/>
  <c r="BE366" i="1"/>
  <c r="BE357" i="1"/>
  <c r="AS86" i="51" s="1"/>
  <c r="AS11" i="8"/>
  <c r="AS53" i="8" s="1"/>
  <c r="BJ61" i="1"/>
  <c r="BF302" i="1"/>
  <c r="BF298" i="1"/>
  <c r="BJ351" i="1"/>
  <c r="BJ347" i="1"/>
  <c r="AX26" i="51" s="1"/>
  <c r="AX82" i="51" s="1"/>
  <c r="BL301" i="1"/>
  <c r="BL155" i="5" s="1"/>
  <c r="AR90" i="4"/>
  <c r="BJ180" i="4"/>
  <c r="BN181" i="4" s="1"/>
  <c r="BN188" i="4" s="1"/>
  <c r="BL181" i="4"/>
  <c r="BL188" i="4" s="1"/>
  <c r="AZ228" i="1"/>
  <c r="AR60" i="5"/>
  <c r="AR36" i="5"/>
  <c r="AR32" i="5"/>
  <c r="AX118" i="4"/>
  <c r="AX13" i="1"/>
  <c r="AT364" i="1"/>
  <c r="AH27" i="51" s="1"/>
  <c r="AH88" i="51" s="1"/>
  <c r="AX370" i="1"/>
  <c r="BH221" i="1"/>
  <c r="BH217" i="1"/>
  <c r="BR55" i="5"/>
  <c r="BR144" i="5"/>
  <c r="BP152" i="5"/>
  <c r="BP219" i="1" s="1"/>
  <c r="BP233" i="1"/>
  <c r="Z49" i="51"/>
  <c r="BH302" i="1"/>
  <c r="BH298" i="1"/>
  <c r="AT226" i="1"/>
  <c r="AS59" i="1"/>
  <c r="AS64" i="1"/>
  <c r="BM42" i="1"/>
  <c r="BQ211" i="1"/>
  <c r="BM216" i="1"/>
  <c r="AV226" i="1"/>
  <c r="BD11" i="1"/>
  <c r="BD231" i="1"/>
  <c r="BD225" i="1" s="1"/>
  <c r="BD222" i="1"/>
  <c r="AR43" i="51" s="1"/>
  <c r="AR8" i="8"/>
  <c r="AX46" i="4"/>
  <c r="CP69" i="8" s="1"/>
  <c r="AX232" i="4"/>
  <c r="AX132" i="5" s="1"/>
  <c r="AX133" i="5" s="1"/>
  <c r="AS45" i="4"/>
  <c r="CK68" i="8" s="1"/>
  <c r="AT228" i="4"/>
  <c r="AS36" i="4"/>
  <c r="CK59" i="8" s="1"/>
  <c r="AT207" i="4"/>
  <c r="AS15" i="4"/>
  <c r="CK45" i="8" s="1"/>
  <c r="AT121" i="4"/>
  <c r="BN142" i="5"/>
  <c r="AZ316" i="1"/>
  <c r="AW306" i="1"/>
  <c r="BE180" i="4"/>
  <c r="BE189" i="4" s="1"/>
  <c r="BR138" i="4"/>
  <c r="BP140" i="4"/>
  <c r="BR140" i="4" s="1"/>
  <c r="Y27" i="8"/>
  <c r="AR25" i="1"/>
  <c r="AS236" i="1"/>
  <c r="AT236" i="1" s="1"/>
  <c r="AT237" i="1" s="1"/>
  <c r="AR237" i="1"/>
  <c r="AR240" i="1" s="1"/>
  <c r="CH45" i="8"/>
  <c r="BI298" i="1"/>
  <c r="BI302" i="1"/>
  <c r="CH58" i="8"/>
  <c r="Z92" i="51"/>
  <c r="BN233" i="1"/>
  <c r="AS318" i="1"/>
  <c r="AR319" i="1"/>
  <c r="AR322" i="1" s="1"/>
  <c r="BH356" i="1"/>
  <c r="BH352" i="1"/>
  <c r="CH44" i="8"/>
  <c r="AR34" i="5"/>
  <c r="AR359" i="1"/>
  <c r="BL42" i="1"/>
  <c r="BN211" i="1"/>
  <c r="BP211" i="1"/>
  <c r="BL216" i="1"/>
  <c r="BM220" i="1" s="1"/>
  <c r="BM153" i="5" s="1"/>
  <c r="AS10" i="8"/>
  <c r="AS52" i="8" s="1"/>
  <c r="BE303" i="1"/>
  <c r="AS71" i="51" s="1"/>
  <c r="BE313" i="1"/>
  <c r="BR145" i="5"/>
  <c r="BP154" i="5"/>
  <c r="BP300" i="1" s="1"/>
  <c r="BP315" i="1"/>
  <c r="CH66" i="8"/>
  <c r="BI58" i="5"/>
  <c r="BJ58" i="5" s="1"/>
  <c r="BJ158" i="4"/>
  <c r="BD169" i="4"/>
  <c r="BB168" i="4"/>
  <c r="BF169" i="4" s="1"/>
  <c r="BN293" i="1"/>
  <c r="BP293" i="1"/>
  <c r="BL297" i="1"/>
  <c r="BN140" i="5"/>
  <c r="AH112" i="51"/>
  <c r="AH113" i="51" s="1"/>
  <c r="AX62" i="1"/>
  <c r="AW226" i="1"/>
  <c r="AX224" i="1"/>
  <c r="BA118" i="4"/>
  <c r="BA13" i="1"/>
  <c r="AR432" i="1"/>
  <c r="AR435" i="1" s="1"/>
  <c r="AS431" i="1"/>
  <c r="AT431" i="1" s="1"/>
  <c r="AT432" i="1" s="1"/>
  <c r="BN315" i="1"/>
  <c r="AS43" i="4"/>
  <c r="CK66" i="8" s="1"/>
  <c r="AT222" i="4"/>
  <c r="BN170" i="4"/>
  <c r="BM158" i="4"/>
  <c r="BM58" i="5" s="1"/>
  <c r="CH65" i="8"/>
  <c r="AW115" i="4"/>
  <c r="AW121" i="4"/>
  <c r="AW207" i="4"/>
  <c r="AW204" i="4"/>
  <c r="AW201" i="4"/>
  <c r="AW216" i="4"/>
  <c r="AW198" i="4"/>
  <c r="AW210" i="4"/>
  <c r="AW225" i="4"/>
  <c r="AW222" i="4"/>
  <c r="AW228" i="4"/>
  <c r="BP114" i="1"/>
  <c r="BR115" i="1"/>
  <c r="BS115" i="1" s="1"/>
  <c r="BA228" i="1"/>
  <c r="BB231" i="1"/>
  <c r="AT311" i="1"/>
  <c r="AH22" i="51" s="1"/>
  <c r="AH73" i="51" s="1"/>
  <c r="AX316" i="1"/>
  <c r="AZ46" i="4"/>
  <c r="CR69" i="8" s="1"/>
  <c r="BA231" i="4"/>
  <c r="AS42" i="4"/>
  <c r="CK65" i="8" s="1"/>
  <c r="AT216" i="4"/>
  <c r="AT217" i="4" s="1"/>
  <c r="AS219" i="4"/>
  <c r="AS220" i="4" s="1"/>
  <c r="AS37" i="4"/>
  <c r="CK60" i="8" s="1"/>
  <c r="AT210" i="4"/>
  <c r="AR22" i="4"/>
  <c r="CJ50" i="8" s="1"/>
  <c r="AS137" i="4"/>
  <c r="AS145" i="4" s="1"/>
  <c r="AN53" i="1"/>
  <c r="AN54" i="1" s="1"/>
  <c r="BL355" i="1"/>
  <c r="BL157" i="5" s="1"/>
  <c r="BB357" i="1"/>
  <c r="AP86" i="51" s="1"/>
  <c r="Z62" i="51"/>
  <c r="BF217" i="1"/>
  <c r="BF221" i="1"/>
  <c r="AX228" i="1"/>
  <c r="AW234" i="1"/>
  <c r="CH59" i="8"/>
  <c r="AC24" i="8"/>
  <c r="BQ156" i="5"/>
  <c r="BQ354" i="1" s="1"/>
  <c r="BQ369" i="1"/>
  <c r="AS156" i="4"/>
  <c r="AS24" i="4" s="1"/>
  <c r="CK52" i="8" s="1"/>
  <c r="AV157" i="4"/>
  <c r="AS166" i="4"/>
  <c r="AS26" i="1"/>
  <c r="AS466" i="1"/>
  <c r="BM297" i="1"/>
  <c r="BQ293" i="1"/>
  <c r="BN136" i="5"/>
  <c r="BN165" i="5"/>
  <c r="BN219" i="1"/>
  <c r="BM61" i="1"/>
  <c r="CF70" i="8"/>
  <c r="BN346" i="1"/>
  <c r="BP346" i="1"/>
  <c r="BL351" i="1"/>
  <c r="BM355" i="1" s="1"/>
  <c r="BM157" i="5" s="1"/>
  <c r="G41" i="61"/>
  <c r="H41" i="61" s="1"/>
  <c r="AX310" i="1"/>
  <c r="AW316" i="1"/>
  <c r="AV306" i="1"/>
  <c r="BA363" i="1"/>
  <c r="BB303" i="1"/>
  <c r="AP71" i="51" s="1"/>
  <c r="AR39" i="4"/>
  <c r="CJ62" i="8" s="1"/>
  <c r="AR33" i="5"/>
  <c r="AR35" i="5"/>
  <c r="BJ216" i="1"/>
  <c r="BJ42" i="1"/>
  <c r="BJ212" i="1"/>
  <c r="AX11" i="51" s="1"/>
  <c r="AX39" i="51" s="1"/>
  <c r="AQ26" i="1"/>
  <c r="BN369" i="1"/>
  <c r="BA172" i="4"/>
  <c r="BA160" i="4" s="1"/>
  <c r="AZ172" i="4"/>
  <c r="AV87" i="4"/>
  <c r="AV468" i="1"/>
  <c r="BL220" i="1"/>
  <c r="BL153" i="5" s="1"/>
  <c r="BL61" i="1"/>
  <c r="AS372" i="1"/>
  <c r="AT372" i="1" s="1"/>
  <c r="AT373" i="1" s="1"/>
  <c r="AR373" i="1"/>
  <c r="AR376" i="1" s="1"/>
  <c r="AS33" i="4"/>
  <c r="CK56" i="8" s="1"/>
  <c r="AT198" i="4"/>
  <c r="BE11" i="1"/>
  <c r="BE222" i="1"/>
  <c r="AS43" i="51" s="1"/>
  <c r="BE231" i="1"/>
  <c r="AS8" i="8"/>
  <c r="AT306" i="1"/>
  <c r="AS305" i="1"/>
  <c r="AS308" i="1"/>
  <c r="AS16" i="1"/>
  <c r="AT87" i="4"/>
  <c r="AT468" i="1"/>
  <c r="AT469" i="1" s="1"/>
  <c r="AS277" i="1"/>
  <c r="AT277" i="1" s="1"/>
  <c r="AR278" i="1"/>
  <c r="AR281" i="1" s="1"/>
  <c r="AX363" i="1"/>
  <c r="AW370" i="1"/>
  <c r="AV360" i="1"/>
  <c r="AO30" i="1"/>
  <c r="AO90" i="5" s="1"/>
  <c r="CH67" i="8"/>
  <c r="BL58" i="5"/>
  <c r="AT360" i="1"/>
  <c r="AS359" i="1"/>
  <c r="BR116" i="5"/>
  <c r="BR117" i="5" s="1"/>
  <c r="BR123" i="5" s="1"/>
  <c r="BP128" i="5"/>
  <c r="BR128" i="5" s="1"/>
  <c r="BN141" i="5"/>
  <c r="AT229" i="1"/>
  <c r="AH12" i="51" s="1"/>
  <c r="AX234" i="1"/>
  <c r="BI181" i="4"/>
  <c r="BI188" i="4" s="1"/>
  <c r="CH68" i="8"/>
  <c r="AZ118" i="4"/>
  <c r="AZ13" i="1"/>
  <c r="AR61" i="5"/>
  <c r="AR42" i="4"/>
  <c r="CJ65" i="8" s="1"/>
  <c r="AR219" i="4"/>
  <c r="AR220" i="4" s="1"/>
  <c r="AR30" i="5"/>
  <c r="Z105" i="51"/>
  <c r="CG70" i="8"/>
  <c r="BR146" i="5"/>
  <c r="BP156" i="5"/>
  <c r="BP354" i="1" s="1"/>
  <c r="BP369" i="1"/>
  <c r="CH57" i="8"/>
  <c r="BN354" i="1"/>
  <c r="BJ297" i="1"/>
  <c r="BJ294" i="1"/>
  <c r="AX21" i="51" s="1"/>
  <c r="AX67" i="51" s="1"/>
  <c r="BI221" i="1"/>
  <c r="BI217" i="1"/>
  <c r="BD357" i="1"/>
  <c r="AR86" i="51" s="1"/>
  <c r="AR11" i="8"/>
  <c r="AR53" i="8" s="1"/>
  <c r="BD366" i="1"/>
  <c r="CH60" i="8"/>
  <c r="BR119" i="1"/>
  <c r="BU211" i="1" l="1"/>
  <c r="BY165" i="5"/>
  <c r="BY169" i="5" s="1"/>
  <c r="BY116" i="5"/>
  <c r="BY128" i="5" s="1"/>
  <c r="BU293" i="1"/>
  <c r="BV55" i="5"/>
  <c r="BT158" i="4"/>
  <c r="BT58" i="5" s="1"/>
  <c r="BT211" i="1"/>
  <c r="BT216" i="1" s="1"/>
  <c r="BV128" i="5"/>
  <c r="BU346" i="1"/>
  <c r="BT132" i="5"/>
  <c r="BT133" i="5" s="1"/>
  <c r="BY232" i="4"/>
  <c r="BY132" i="5" s="1"/>
  <c r="BY133" i="5" s="1"/>
  <c r="BY55" i="5"/>
  <c r="BV115" i="1"/>
  <c r="BW115" i="1" s="1"/>
  <c r="BT114" i="1"/>
  <c r="BY144" i="5"/>
  <c r="BY145" i="5"/>
  <c r="BY146" i="5"/>
  <c r="BV116" i="5"/>
  <c r="BV117" i="5" s="1"/>
  <c r="BY115" i="1"/>
  <c r="BY114" i="1" s="1"/>
  <c r="BY138" i="1" s="1"/>
  <c r="BV144" i="5"/>
  <c r="BV140" i="5" s="1"/>
  <c r="BT233" i="1"/>
  <c r="BT152" i="5"/>
  <c r="BT219" i="1" s="1"/>
  <c r="BV146" i="5"/>
  <c r="BV142" i="5" s="1"/>
  <c r="BT156" i="5"/>
  <c r="BT354" i="1" s="1"/>
  <c r="BT369" i="1"/>
  <c r="BU171" i="5"/>
  <c r="BU182" i="4" s="1"/>
  <c r="BV182" i="4" s="1"/>
  <c r="BU170" i="5"/>
  <c r="BU170" i="4" s="1"/>
  <c r="BU169" i="5"/>
  <c r="BX232" i="4"/>
  <c r="BZ113" i="5"/>
  <c r="BX55" i="5"/>
  <c r="BV119" i="1"/>
  <c r="BX171" i="5"/>
  <c r="BX182" i="4" s="1"/>
  <c r="BX170" i="5"/>
  <c r="BX170" i="4" s="1"/>
  <c r="BX169" i="5"/>
  <c r="BT346" i="1"/>
  <c r="BT315" i="1"/>
  <c r="BV145" i="5"/>
  <c r="BV141" i="5" s="1"/>
  <c r="BT154" i="5"/>
  <c r="BT300" i="1" s="1"/>
  <c r="BX116" i="5"/>
  <c r="BU369" i="1"/>
  <c r="BU156" i="5"/>
  <c r="BU354" i="1" s="1"/>
  <c r="BX145" i="5"/>
  <c r="BZ137" i="5"/>
  <c r="BX146" i="5"/>
  <c r="BX144" i="5"/>
  <c r="BU315" i="1"/>
  <c r="BU154" i="5"/>
  <c r="BU300" i="1" s="1"/>
  <c r="BZ114" i="5"/>
  <c r="BX119" i="1"/>
  <c r="BX115" i="1" s="1"/>
  <c r="BT293" i="1"/>
  <c r="BT140" i="4"/>
  <c r="BV140" i="4" s="1"/>
  <c r="BW140" i="4" s="1"/>
  <c r="BV138" i="4"/>
  <c r="BW138" i="4" s="1"/>
  <c r="BU233" i="1"/>
  <c r="BU152" i="5"/>
  <c r="BU219" i="1" s="1"/>
  <c r="BX138" i="4"/>
  <c r="BZ163" i="5"/>
  <c r="AO19" i="8"/>
  <c r="AO45" i="8" s="1"/>
  <c r="AN19" i="8"/>
  <c r="AN45" i="8" s="1"/>
  <c r="AN18" i="8"/>
  <c r="AN60" i="8" s="1"/>
  <c r="AP16" i="8"/>
  <c r="AP42" i="8" s="1"/>
  <c r="AO18" i="8"/>
  <c r="AO44" i="8" s="1"/>
  <c r="AP52" i="4"/>
  <c r="AP53" i="4" s="1"/>
  <c r="AO91" i="5"/>
  <c r="AO83" i="5" s="1"/>
  <c r="D24" i="61"/>
  <c r="E24" i="61" s="1"/>
  <c r="E25" i="61" s="1"/>
  <c r="AO34" i="1"/>
  <c r="AC122" i="51" s="1"/>
  <c r="AC123" i="51" s="1"/>
  <c r="AO32" i="1"/>
  <c r="AO31" i="1" s="1"/>
  <c r="BS140" i="4"/>
  <c r="BS138" i="4"/>
  <c r="H11" i="61"/>
  <c r="BB225" i="1"/>
  <c r="AP50" i="8"/>
  <c r="AP15" i="8"/>
  <c r="AJ45" i="8"/>
  <c r="AJ61" i="8"/>
  <c r="AK61" i="8"/>
  <c r="AK45" i="8"/>
  <c r="AN80" i="8"/>
  <c r="AN56" i="8"/>
  <c r="AL42" i="8"/>
  <c r="AL58" i="8"/>
  <c r="AJ44" i="8"/>
  <c r="AJ60" i="8"/>
  <c r="AN58" i="8"/>
  <c r="AN42" i="8"/>
  <c r="AL19" i="8"/>
  <c r="AL18" i="8"/>
  <c r="AO58" i="8"/>
  <c r="AO42" i="8"/>
  <c r="AL80" i="8"/>
  <c r="AK60" i="8"/>
  <c r="AK44" i="8"/>
  <c r="AO80" i="8"/>
  <c r="AO56" i="8"/>
  <c r="AF24" i="8"/>
  <c r="AN52" i="4"/>
  <c r="AN53" i="4" s="1"/>
  <c r="BR124" i="5"/>
  <c r="AN69" i="1"/>
  <c r="AN81" i="4"/>
  <c r="AN55" i="1"/>
  <c r="AN68" i="1"/>
  <c r="AN39" i="1"/>
  <c r="AN38" i="1"/>
  <c r="AN35" i="1"/>
  <c r="BN158" i="4"/>
  <c r="BR170" i="4"/>
  <c r="BQ158" i="4"/>
  <c r="BQ58" i="5" s="1"/>
  <c r="BR182" i="4"/>
  <c r="BN58" i="5"/>
  <c r="BP355" i="1"/>
  <c r="BP157" i="5" s="1"/>
  <c r="Y25" i="8"/>
  <c r="Y67" i="8" s="1"/>
  <c r="CC31" i="8"/>
  <c r="Y86" i="8"/>
  <c r="Y47" i="8"/>
  <c r="Y64" i="8"/>
  <c r="Y66" i="8"/>
  <c r="AS90" i="4"/>
  <c r="AT90" i="4"/>
  <c r="AU26" i="1"/>
  <c r="BN355" i="1"/>
  <c r="BN157" i="5" s="1"/>
  <c r="BB177" i="4"/>
  <c r="BR165" i="5"/>
  <c r="BR136" i="5"/>
  <c r="BR162" i="5"/>
  <c r="BD363" i="1"/>
  <c r="BF366" i="1"/>
  <c r="BR142" i="5"/>
  <c r="BE228" i="1"/>
  <c r="BF231" i="1"/>
  <c r="AS16" i="8"/>
  <c r="AT33" i="4"/>
  <c r="CL56" i="8" s="1"/>
  <c r="AT199" i="4"/>
  <c r="AZ160" i="4"/>
  <c r="BB160" i="4" s="1"/>
  <c r="AZ176" i="4"/>
  <c r="G39" i="61"/>
  <c r="H39" i="61" s="1"/>
  <c r="AR62" i="5"/>
  <c r="BN347" i="1"/>
  <c r="BB26" i="51" s="1"/>
  <c r="BB82" i="51" s="1"/>
  <c r="BN351" i="1"/>
  <c r="BN220" i="1"/>
  <c r="BN153" i="5" s="1"/>
  <c r="AR54" i="5"/>
  <c r="AT42" i="4"/>
  <c r="CL65" i="8" s="1"/>
  <c r="AT219" i="4"/>
  <c r="AT220" i="4" s="1"/>
  <c r="AW43" i="4"/>
  <c r="CO66" i="8" s="1"/>
  <c r="AX222" i="4"/>
  <c r="AW42" i="4"/>
  <c r="CO65" i="8" s="1"/>
  <c r="AW219" i="4"/>
  <c r="AW220" i="4" s="1"/>
  <c r="AX216" i="4"/>
  <c r="AX217" i="4" s="1"/>
  <c r="AW15" i="4"/>
  <c r="CO45" i="8" s="1"/>
  <c r="AX121" i="4"/>
  <c r="AT43" i="4"/>
  <c r="CL66" i="8" s="1"/>
  <c r="AT223" i="4"/>
  <c r="BL302" i="1"/>
  <c r="BL298" i="1"/>
  <c r="BR141" i="5"/>
  <c r="BR211" i="1"/>
  <c r="BP216" i="1"/>
  <c r="BQ220" i="1" s="1"/>
  <c r="BQ153" i="5" s="1"/>
  <c r="BP42" i="1"/>
  <c r="AV11" i="8"/>
  <c r="AV53" i="8" s="1"/>
  <c r="BH366" i="1"/>
  <c r="BH357" i="1"/>
  <c r="AV86" i="51" s="1"/>
  <c r="AV318" i="1"/>
  <c r="AS319" i="1"/>
  <c r="AS322" i="1" s="1"/>
  <c r="AT322" i="1" s="1"/>
  <c r="AT15" i="4"/>
  <c r="CL45" i="8" s="1"/>
  <c r="AT122" i="4"/>
  <c r="AT45" i="4"/>
  <c r="CL68" i="8" s="1"/>
  <c r="AT229" i="4"/>
  <c r="BD224" i="1"/>
  <c r="BD118" i="4"/>
  <c r="BD13" i="1"/>
  <c r="BM221" i="1"/>
  <c r="BM217" i="1"/>
  <c r="BN180" i="4"/>
  <c r="BR181" i="4" s="1"/>
  <c r="BP181" i="4"/>
  <c r="BP188" i="4" s="1"/>
  <c r="AT10" i="8"/>
  <c r="AT52" i="8" s="1"/>
  <c r="BF303" i="1"/>
  <c r="AT71" i="51" s="1"/>
  <c r="AX360" i="1"/>
  <c r="AW359" i="1"/>
  <c r="BQ351" i="1"/>
  <c r="BD316" i="1"/>
  <c r="BA306" i="1"/>
  <c r="CH62" i="8"/>
  <c r="AS32" i="5"/>
  <c r="AT32" i="5" s="1"/>
  <c r="AS60" i="5"/>
  <c r="AT60" i="5" s="1"/>
  <c r="BM301" i="1"/>
  <c r="BM155" i="5" s="1"/>
  <c r="BR233" i="1"/>
  <c r="AS36" i="5"/>
  <c r="AT36" i="5" s="1"/>
  <c r="AW87" i="4"/>
  <c r="AW468" i="1"/>
  <c r="AV35" i="5"/>
  <c r="AV36" i="5"/>
  <c r="AT148" i="5"/>
  <c r="AT152" i="5" s="1"/>
  <c r="AH45" i="51"/>
  <c r="AR283" i="1"/>
  <c r="AR280" i="1"/>
  <c r="BE225" i="1"/>
  <c r="AS39" i="4"/>
  <c r="CK62" i="8" s="1"/>
  <c r="AS33" i="5"/>
  <c r="AT33" i="5" s="1"/>
  <c r="BD370" i="1"/>
  <c r="BA360" i="1"/>
  <c r="AS165" i="4"/>
  <c r="BR369" i="1"/>
  <c r="AX229" i="1"/>
  <c r="AL12" i="51" s="1"/>
  <c r="AL45" i="51" s="1"/>
  <c r="BB234" i="1"/>
  <c r="BF11" i="1"/>
  <c r="BF222" i="1"/>
  <c r="AT43" i="51" s="1"/>
  <c r="AT8" i="8"/>
  <c r="AB27" i="8"/>
  <c r="AT37" i="4"/>
  <c r="CL60" i="8" s="1"/>
  <c r="AT211" i="4"/>
  <c r="AS47" i="4"/>
  <c r="CK70" i="8" s="1"/>
  <c r="BD234" i="1"/>
  <c r="AW44" i="4"/>
  <c r="CO67" i="8" s="1"/>
  <c r="AX225" i="4"/>
  <c r="AW34" i="4"/>
  <c r="CO57" i="8" s="1"/>
  <c r="AX201" i="4"/>
  <c r="AW14" i="4"/>
  <c r="CO44" i="8" s="1"/>
  <c r="AX115" i="4"/>
  <c r="AX116" i="4" s="1"/>
  <c r="CH70" i="8"/>
  <c r="AS61" i="5"/>
  <c r="AT61" i="5" s="1"/>
  <c r="AV431" i="1"/>
  <c r="AS432" i="1"/>
  <c r="AS435" i="1" s="1"/>
  <c r="AT435" i="1" s="1"/>
  <c r="BA63" i="1"/>
  <c r="AO112" i="51"/>
  <c r="AO113" i="51" s="1"/>
  <c r="BE62" i="1"/>
  <c r="BP297" i="1"/>
  <c r="BQ301" i="1" s="1"/>
  <c r="BQ155" i="5" s="1"/>
  <c r="BR293" i="1"/>
  <c r="BF172" i="4"/>
  <c r="BF176" i="4" s="1"/>
  <c r="BE310" i="1"/>
  <c r="BF313" i="1"/>
  <c r="BN42" i="1"/>
  <c r="BN216" i="1"/>
  <c r="BN212" i="1"/>
  <c r="BB11" i="51" s="1"/>
  <c r="BB39" i="51" s="1"/>
  <c r="AT318" i="1"/>
  <c r="AT319" i="1" s="1"/>
  <c r="BI303" i="1"/>
  <c r="AW71" i="51" s="1"/>
  <c r="BI313" i="1"/>
  <c r="AW10" i="8"/>
  <c r="AW52" i="8" s="1"/>
  <c r="AS25" i="1"/>
  <c r="AV236" i="1"/>
  <c r="AS237" i="1"/>
  <c r="AS240" i="1" s="1"/>
  <c r="AT240" i="1" s="1"/>
  <c r="Y28" i="8"/>
  <c r="Y68" i="8" s="1"/>
  <c r="AB23" i="8"/>
  <c r="AS30" i="5"/>
  <c r="AT30" i="5" s="1"/>
  <c r="AS62" i="5"/>
  <c r="BQ42" i="1"/>
  <c r="BQ216" i="1"/>
  <c r="AS60" i="1"/>
  <c r="AT59" i="1"/>
  <c r="BH313" i="1"/>
  <c r="AV10" i="8"/>
  <c r="AV52" i="8" s="1"/>
  <c r="BH303" i="1"/>
  <c r="AV71" i="51" s="1"/>
  <c r="BH11" i="1"/>
  <c r="BH231" i="1"/>
  <c r="BH225" i="1" s="1"/>
  <c r="BH222" i="1"/>
  <c r="AV43" i="51" s="1"/>
  <c r="AV8" i="8"/>
  <c r="AT150" i="5"/>
  <c r="AT156" i="5" s="1"/>
  <c r="AL112" i="51"/>
  <c r="AL113" i="51" s="1"/>
  <c r="BB62" i="1"/>
  <c r="BJ352" i="1"/>
  <c r="BJ356" i="1"/>
  <c r="BE363" i="1"/>
  <c r="BR315" i="1"/>
  <c r="AT35" i="4"/>
  <c r="CL58" i="8" s="1"/>
  <c r="AT205" i="4"/>
  <c r="BN301" i="1"/>
  <c r="BN155" i="5" s="1"/>
  <c r="BR219" i="1"/>
  <c r="BQ61" i="1"/>
  <c r="BI357" i="1"/>
  <c r="AW86" i="51" s="1"/>
  <c r="AW11" i="8"/>
  <c r="AW53" i="8" s="1"/>
  <c r="BI366" i="1"/>
  <c r="BB310" i="1"/>
  <c r="BA316" i="1"/>
  <c r="AZ306" i="1"/>
  <c r="AV60" i="5"/>
  <c r="AV34" i="5"/>
  <c r="BI11" i="1"/>
  <c r="BI231" i="1"/>
  <c r="BI225" i="1" s="1"/>
  <c r="BI222" i="1"/>
  <c r="AW43" i="51" s="1"/>
  <c r="AW8" i="8"/>
  <c r="AR47" i="4"/>
  <c r="CJ70" i="8" s="1"/>
  <c r="AZ115" i="4"/>
  <c r="AZ14" i="4" s="1"/>
  <c r="CR44" i="8" s="1"/>
  <c r="AZ121" i="4"/>
  <c r="AZ15" i="4" s="1"/>
  <c r="CR45" i="8" s="1"/>
  <c r="AZ201" i="4"/>
  <c r="AZ34" i="4" s="1"/>
  <c r="CR57" i="8" s="1"/>
  <c r="AZ216" i="4"/>
  <c r="AZ198" i="4"/>
  <c r="AZ33" i="4" s="1"/>
  <c r="CR56" i="8" s="1"/>
  <c r="AZ210" i="4"/>
  <c r="AZ37" i="4" s="1"/>
  <c r="CR60" i="8" s="1"/>
  <c r="AZ207" i="4"/>
  <c r="AZ36" i="4" s="1"/>
  <c r="CR59" i="8" s="1"/>
  <c r="AZ204" i="4"/>
  <c r="AZ35" i="4" s="1"/>
  <c r="CR58" i="8" s="1"/>
  <c r="AZ228" i="4"/>
  <c r="AZ45" i="4" s="1"/>
  <c r="CR68" i="8" s="1"/>
  <c r="AZ225" i="4"/>
  <c r="AZ44" i="4" s="1"/>
  <c r="CR67" i="8" s="1"/>
  <c r="AZ222" i="4"/>
  <c r="AZ43" i="4" s="1"/>
  <c r="CR66" i="8" s="1"/>
  <c r="AX364" i="1"/>
  <c r="AL27" i="51" s="1"/>
  <c r="AL88" i="51" s="1"/>
  <c r="BB370" i="1"/>
  <c r="AT278" i="1"/>
  <c r="AS307" i="1"/>
  <c r="AT305" i="1"/>
  <c r="AT307" i="1" s="1"/>
  <c r="AV372" i="1"/>
  <c r="AS373" i="1"/>
  <c r="AS376" i="1" s="1"/>
  <c r="AT376" i="1" s="1"/>
  <c r="Z27" i="8"/>
  <c r="AX311" i="1"/>
  <c r="AL22" i="51" s="1"/>
  <c r="AL73" i="51" s="1"/>
  <c r="BB316" i="1"/>
  <c r="BL356" i="1"/>
  <c r="BL352" i="1"/>
  <c r="BN61" i="1"/>
  <c r="BQ297" i="1"/>
  <c r="AV26" i="1"/>
  <c r="AV466" i="1"/>
  <c r="AW465" i="1"/>
  <c r="AZ465" i="1" s="1"/>
  <c r="AV164" i="4"/>
  <c r="AX157" i="4"/>
  <c r="AX164" i="4" s="1"/>
  <c r="BR354" i="1"/>
  <c r="AD24" i="8"/>
  <c r="AQ25" i="1"/>
  <c r="AE24" i="8" s="1"/>
  <c r="BA46" i="4"/>
  <c r="CS69" i="8" s="1"/>
  <c r="BB231" i="4"/>
  <c r="BD231" i="4"/>
  <c r="BP138" i="1"/>
  <c r="BR138" i="1" s="1"/>
  <c r="BR114" i="1"/>
  <c r="BS114" i="1" s="1"/>
  <c r="AW37" i="4"/>
  <c r="CO60" i="8" s="1"/>
  <c r="AX210" i="4"/>
  <c r="AW35" i="4"/>
  <c r="CO58" i="8" s="1"/>
  <c r="AX204" i="4"/>
  <c r="AR437" i="1"/>
  <c r="AR434" i="1"/>
  <c r="BN294" i="1"/>
  <c r="BB21" i="51" s="1"/>
  <c r="BB67" i="51" s="1"/>
  <c r="BN297" i="1"/>
  <c r="AR361" i="1"/>
  <c r="AR321" i="1"/>
  <c r="AR327" i="1"/>
  <c r="AR242" i="1"/>
  <c r="AR246" i="1"/>
  <c r="AR239" i="1"/>
  <c r="AR179" i="1"/>
  <c r="AT36" i="4"/>
  <c r="CL59" i="8" s="1"/>
  <c r="AT208" i="4"/>
  <c r="BP220" i="1"/>
  <c r="BP153" i="5" s="1"/>
  <c r="BP61" i="1"/>
  <c r="BB228" i="1"/>
  <c r="BA234" i="1"/>
  <c r="BJ189" i="4"/>
  <c r="BR300" i="1"/>
  <c r="AS34" i="5"/>
  <c r="AT34" i="5" s="1"/>
  <c r="BB118" i="4"/>
  <c r="BB13" i="1"/>
  <c r="BC13" i="1" s="1"/>
  <c r="BP158" i="4"/>
  <c r="AV59" i="1"/>
  <c r="AV60" i="1" s="1"/>
  <c r="AV64" i="1"/>
  <c r="AW59" i="1"/>
  <c r="AW64" i="1"/>
  <c r="AV39" i="4"/>
  <c r="CN62" i="8" s="1"/>
  <c r="AV33" i="5"/>
  <c r="AV30" i="5"/>
  <c r="BB224" i="1"/>
  <c r="BA226" i="1"/>
  <c r="BJ298" i="1"/>
  <c r="BJ302" i="1"/>
  <c r="AZ63" i="1"/>
  <c r="AN112" i="51"/>
  <c r="AN113" i="51" s="1"/>
  <c r="BD62" i="1"/>
  <c r="BI180" i="4"/>
  <c r="BI189" i="4" s="1"/>
  <c r="AS361" i="1"/>
  <c r="AT359" i="1"/>
  <c r="AV359" i="1"/>
  <c r="AV277" i="1"/>
  <c r="AS278" i="1"/>
  <c r="AS281" i="1" s="1"/>
  <c r="AS20" i="1"/>
  <c r="AS18" i="1"/>
  <c r="AT16" i="1"/>
  <c r="AU16" i="1" s="1"/>
  <c r="AT308" i="1"/>
  <c r="AS15" i="8"/>
  <c r="AS50" i="8"/>
  <c r="BE118" i="4"/>
  <c r="BE13" i="1"/>
  <c r="AV88" i="4"/>
  <c r="AR375" i="1"/>
  <c r="AR378" i="1"/>
  <c r="AR382" i="1"/>
  <c r="BJ217" i="1"/>
  <c r="BJ221" i="1"/>
  <c r="AV305" i="1"/>
  <c r="AV307" i="1" s="1"/>
  <c r="AV308" i="1"/>
  <c r="AV16" i="1"/>
  <c r="BR346" i="1"/>
  <c r="BP351" i="1"/>
  <c r="BQ355" i="1" s="1"/>
  <c r="BQ157" i="5" s="1"/>
  <c r="BM302" i="1"/>
  <c r="BM298" i="1"/>
  <c r="AS70" i="1"/>
  <c r="AS136" i="4"/>
  <c r="AS149" i="4" s="1"/>
  <c r="AU145" i="4"/>
  <c r="AZ70" i="4"/>
  <c r="AZ84" i="5"/>
  <c r="AT149" i="5"/>
  <c r="AT154" i="5" s="1"/>
  <c r="AW45" i="4"/>
  <c r="CO68" i="8" s="1"/>
  <c r="AX228" i="4"/>
  <c r="AW33" i="4"/>
  <c r="CO56" i="8" s="1"/>
  <c r="AX198" i="4"/>
  <c r="AW36" i="4"/>
  <c r="CO59" i="8" s="1"/>
  <c r="AX207" i="4"/>
  <c r="BA115" i="4"/>
  <c r="BA121" i="4"/>
  <c r="BA204" i="4"/>
  <c r="BA201" i="4"/>
  <c r="BA216" i="4"/>
  <c r="BA198" i="4"/>
  <c r="BA210" i="4"/>
  <c r="BA207" i="4"/>
  <c r="BA222" i="4"/>
  <c r="BA228" i="4"/>
  <c r="BA225" i="4"/>
  <c r="AX226" i="1"/>
  <c r="BP301" i="1"/>
  <c r="BP155" i="5" s="1"/>
  <c r="BL217" i="1"/>
  <c r="BL221" i="1"/>
  <c r="AZ226" i="1"/>
  <c r="AP30" i="1"/>
  <c r="G40" i="61"/>
  <c r="H40" i="61" s="1"/>
  <c r="AM30" i="1"/>
  <c r="AX306" i="1"/>
  <c r="AW305" i="1"/>
  <c r="AW308" i="1"/>
  <c r="AW16" i="1"/>
  <c r="AS35" i="5"/>
  <c r="AT35" i="5" s="1"/>
  <c r="AX70" i="4"/>
  <c r="AR15" i="8"/>
  <c r="AR50" i="8"/>
  <c r="BD228" i="1"/>
  <c r="AR16" i="8"/>
  <c r="AO53" i="1"/>
  <c r="BR140" i="5"/>
  <c r="BL180" i="4"/>
  <c r="BL189" i="4" s="1"/>
  <c r="BM181" i="4"/>
  <c r="BM188" i="4" s="1"/>
  <c r="BB363" i="1"/>
  <c r="BA370" i="1"/>
  <c r="AZ360" i="1"/>
  <c r="BM356" i="1"/>
  <c r="BM352" i="1"/>
  <c r="AV89" i="4"/>
  <c r="AT14" i="4"/>
  <c r="CL44" i="8" s="1"/>
  <c r="AT116" i="4"/>
  <c r="AT44" i="4"/>
  <c r="CL67" i="8" s="1"/>
  <c r="AT226" i="4"/>
  <c r="BD310" i="1"/>
  <c r="AR20" i="1"/>
  <c r="AR18" i="1"/>
  <c r="AY13" i="1"/>
  <c r="AM80" i="8" s="1"/>
  <c r="AW168" i="4"/>
  <c r="AW177" i="4" s="1"/>
  <c r="AT11" i="8"/>
  <c r="AT53" i="8" s="1"/>
  <c r="BF357" i="1"/>
  <c r="AT86" i="51" s="1"/>
  <c r="AT34" i="4"/>
  <c r="CL57" i="8" s="1"/>
  <c r="AT202" i="4"/>
  <c r="AV61" i="5"/>
  <c r="AV42" i="4"/>
  <c r="CN65" i="8" s="1"/>
  <c r="AV219" i="4"/>
  <c r="AV220" i="4" s="1"/>
  <c r="AV32" i="5"/>
  <c r="AT70" i="1"/>
  <c r="BU297" i="1" l="1"/>
  <c r="BT42" i="1"/>
  <c r="BY171" i="5"/>
  <c r="BY182" i="4" s="1"/>
  <c r="BY170" i="5"/>
  <c r="BU216" i="1"/>
  <c r="BU217" i="1" s="1"/>
  <c r="BU42" i="1"/>
  <c r="BX211" i="1"/>
  <c r="BX216" i="1" s="1"/>
  <c r="BX158" i="4"/>
  <c r="BX58" i="5" s="1"/>
  <c r="BZ55" i="5"/>
  <c r="BV211" i="1"/>
  <c r="BV212" i="1" s="1"/>
  <c r="BJ11" i="51" s="1"/>
  <c r="BJ39" i="51" s="1"/>
  <c r="BZ119" i="1"/>
  <c r="BV165" i="5"/>
  <c r="BV136" i="5"/>
  <c r="BV123" i="5"/>
  <c r="BV162" i="5"/>
  <c r="BV124" i="5"/>
  <c r="BT301" i="1"/>
  <c r="BT155" i="5" s="1"/>
  <c r="BX132" i="5"/>
  <c r="BX133" i="5" s="1"/>
  <c r="BV300" i="1"/>
  <c r="BY156" i="5"/>
  <c r="BY354" i="1" s="1"/>
  <c r="BY369" i="1"/>
  <c r="BV315" i="1"/>
  <c r="BU158" i="4"/>
  <c r="BV170" i="4"/>
  <c r="BY154" i="5"/>
  <c r="BY300" i="1" s="1"/>
  <c r="BY315" i="1"/>
  <c r="BV346" i="1"/>
  <c r="BT351" i="1"/>
  <c r="BU355" i="1" s="1"/>
  <c r="BU157" i="5" s="1"/>
  <c r="BX346" i="1"/>
  <c r="BY233" i="1"/>
  <c r="BY152" i="5"/>
  <c r="BY219" i="1" s="1"/>
  <c r="BT138" i="1"/>
  <c r="BV138" i="1" s="1"/>
  <c r="BV114" i="1"/>
  <c r="BW114" i="1" s="1"/>
  <c r="BY170" i="4"/>
  <c r="BX140" i="4"/>
  <c r="BZ140" i="4" s="1"/>
  <c r="BZ138" i="4"/>
  <c r="BX233" i="1"/>
  <c r="BZ144" i="5"/>
  <c r="BZ140" i="5" s="1"/>
  <c r="BX152" i="5"/>
  <c r="BX219" i="1" s="1"/>
  <c r="BT355" i="1"/>
  <c r="BT157" i="5" s="1"/>
  <c r="BY211" i="1"/>
  <c r="BU220" i="1"/>
  <c r="BU153" i="5" s="1"/>
  <c r="BV219" i="1"/>
  <c r="BU61" i="1"/>
  <c r="BZ146" i="5"/>
  <c r="BZ142" i="5" s="1"/>
  <c r="BX369" i="1"/>
  <c r="BX156" i="5"/>
  <c r="BX354" i="1" s="1"/>
  <c r="BZ182" i="4"/>
  <c r="BV233" i="1"/>
  <c r="BT220" i="1"/>
  <c r="BT153" i="5" s="1"/>
  <c r="BT61" i="1"/>
  <c r="AN44" i="8"/>
  <c r="BX154" i="5"/>
  <c r="BX300" i="1" s="1"/>
  <c r="BX301" i="1" s="1"/>
  <c r="BX155" i="5" s="1"/>
  <c r="BZ145" i="5"/>
  <c r="BZ141" i="5" s="1"/>
  <c r="BX315" i="1"/>
  <c r="BY293" i="1"/>
  <c r="BY297" i="1" s="1"/>
  <c r="BV354" i="1"/>
  <c r="BU298" i="1"/>
  <c r="BU302" i="1"/>
  <c r="BT217" i="1"/>
  <c r="BT221" i="1"/>
  <c r="BT297" i="1"/>
  <c r="BV293" i="1"/>
  <c r="BX293" i="1"/>
  <c r="BV369" i="1"/>
  <c r="BX114" i="1"/>
  <c r="BZ115" i="1"/>
  <c r="BZ116" i="5"/>
  <c r="BZ117" i="5" s="1"/>
  <c r="BZ124" i="5" s="1"/>
  <c r="BX128" i="5"/>
  <c r="BZ128" i="5" s="1"/>
  <c r="BU351" i="1"/>
  <c r="BY346" i="1"/>
  <c r="BY351" i="1" s="1"/>
  <c r="AP58" i="8"/>
  <c r="AO61" i="8"/>
  <c r="AO60" i="8"/>
  <c r="AP83" i="5"/>
  <c r="AO87" i="5"/>
  <c r="AP19" i="8"/>
  <c r="AP45" i="8" s="1"/>
  <c r="AO69" i="1"/>
  <c r="AO81" i="4"/>
  <c r="AP34" i="1"/>
  <c r="AP39" i="1" s="1"/>
  <c r="AP90" i="5"/>
  <c r="AP91" i="5" s="1"/>
  <c r="AN61" i="8"/>
  <c r="AP18" i="8"/>
  <c r="AP60" i="8" s="1"/>
  <c r="AP32" i="1"/>
  <c r="AP31" i="1" s="1"/>
  <c r="AO68" i="1"/>
  <c r="AO39" i="1"/>
  <c r="AO89" i="1" s="1"/>
  <c r="AO38" i="1"/>
  <c r="AO35" i="1"/>
  <c r="AO54" i="1"/>
  <c r="AP53" i="1"/>
  <c r="AP54" i="1" s="1"/>
  <c r="AL44" i="8"/>
  <c r="AL60" i="8"/>
  <c r="AL61" i="8"/>
  <c r="AL45" i="8"/>
  <c r="AP80" i="8"/>
  <c r="AP56" i="8"/>
  <c r="AG24" i="8"/>
  <c r="AN71" i="1"/>
  <c r="AN72" i="1" s="1"/>
  <c r="BR188" i="4"/>
  <c r="BT181" i="4" s="1"/>
  <c r="BT188" i="4" s="1"/>
  <c r="CF40" i="8"/>
  <c r="AN97" i="1"/>
  <c r="AN146" i="1"/>
  <c r="AN89" i="1"/>
  <c r="AN56" i="1"/>
  <c r="AN51" i="1"/>
  <c r="AN52" i="1" s="1"/>
  <c r="AW88" i="4"/>
  <c r="AX88" i="4" s="1"/>
  <c r="AM28" i="1"/>
  <c r="Z25" i="8"/>
  <c r="Z67" i="8" s="1"/>
  <c r="Z47" i="8"/>
  <c r="Z64" i="8"/>
  <c r="Z86" i="8"/>
  <c r="Z66" i="8"/>
  <c r="CD31" i="8"/>
  <c r="BR355" i="1"/>
  <c r="BR157" i="5" s="1"/>
  <c r="AW89" i="4"/>
  <c r="AX89" i="4" s="1"/>
  <c r="BR220" i="1"/>
  <c r="BR153" i="5" s="1"/>
  <c r="AB28" i="8"/>
  <c r="AB68" i="8" s="1"/>
  <c r="BJ225" i="1"/>
  <c r="BI224" i="1"/>
  <c r="BA14" i="4"/>
  <c r="CS44" i="8" s="1"/>
  <c r="BB115" i="4"/>
  <c r="BB116" i="4" s="1"/>
  <c r="BM313" i="1"/>
  <c r="BA10" i="8"/>
  <c r="BA52" i="8" s="1"/>
  <c r="BM303" i="1"/>
  <c r="BA71" i="51" s="1"/>
  <c r="BE63" i="1"/>
  <c r="AS112" i="51"/>
  <c r="AS113" i="51" s="1"/>
  <c r="BI62" i="1"/>
  <c r="AS283" i="1"/>
  <c r="AS280" i="1"/>
  <c r="AV361" i="1"/>
  <c r="AZ59" i="1"/>
  <c r="AZ60" i="1" s="1"/>
  <c r="AZ64" i="1"/>
  <c r="AX59" i="1"/>
  <c r="AW60" i="1"/>
  <c r="AT241" i="1"/>
  <c r="AT246" i="1"/>
  <c r="AT239" i="1"/>
  <c r="AT242" i="1"/>
  <c r="BN298" i="1"/>
  <c r="BN302" i="1"/>
  <c r="AX35" i="4"/>
  <c r="CP58" i="8" s="1"/>
  <c r="AX205" i="4"/>
  <c r="BB46" i="4"/>
  <c r="CT69" i="8" s="1"/>
  <c r="BB232" i="4"/>
  <c r="BB132" i="5" s="1"/>
  <c r="BB133" i="5" s="1"/>
  <c r="AW26" i="1"/>
  <c r="AW466" i="1"/>
  <c r="BQ302" i="1"/>
  <c r="BQ298" i="1"/>
  <c r="Z28" i="8"/>
  <c r="Z68" i="8" s="1"/>
  <c r="AW372" i="1"/>
  <c r="AX372" i="1" s="1"/>
  <c r="AX373" i="1" s="1"/>
  <c r="AV373" i="1"/>
  <c r="AV376" i="1" s="1"/>
  <c r="AZ39" i="4"/>
  <c r="CR62" i="8" s="1"/>
  <c r="AZ33" i="5"/>
  <c r="AZ32" i="5"/>
  <c r="BI118" i="4"/>
  <c r="BI13" i="1"/>
  <c r="AB66" i="8"/>
  <c r="AB64" i="8"/>
  <c r="AB81" i="8"/>
  <c r="AB47" i="8"/>
  <c r="AB86" i="8"/>
  <c r="Y30" i="8"/>
  <c r="AS239" i="1"/>
  <c r="AS242" i="1"/>
  <c r="AS246" i="1"/>
  <c r="BF168" i="4"/>
  <c r="BJ169" i="4" s="1"/>
  <c r="BH169" i="4"/>
  <c r="AX34" i="4"/>
  <c r="CP57" i="8" s="1"/>
  <c r="AX202" i="4"/>
  <c r="BD63" i="1"/>
  <c r="AR112" i="51"/>
  <c r="AR113" i="51" s="1"/>
  <c r="BH62" i="1"/>
  <c r="BD121" i="4"/>
  <c r="BD15" i="4" s="1"/>
  <c r="BD115" i="4"/>
  <c r="BD14" i="4" s="1"/>
  <c r="BD198" i="4"/>
  <c r="BD33" i="4" s="1"/>
  <c r="BD210" i="4"/>
  <c r="BD37" i="4" s="1"/>
  <c r="BD207" i="4"/>
  <c r="BD36" i="4" s="1"/>
  <c r="BD204" i="4"/>
  <c r="BD35" i="4" s="1"/>
  <c r="BD201" i="4"/>
  <c r="BD34" i="4" s="1"/>
  <c r="BD216" i="4"/>
  <c r="BD228" i="4"/>
  <c r="BD45" i="4" s="1"/>
  <c r="BD225" i="4"/>
  <c r="BD44" i="4" s="1"/>
  <c r="BD222" i="4"/>
  <c r="BD43" i="4" s="1"/>
  <c r="BP217" i="1"/>
  <c r="BP221" i="1"/>
  <c r="AW30" i="5"/>
  <c r="AX30" i="5" s="1"/>
  <c r="AX43" i="4"/>
  <c r="CP66" i="8" s="1"/>
  <c r="AX223" i="4"/>
  <c r="AR63" i="5"/>
  <c r="AR51" i="5" s="1"/>
  <c r="AT16" i="8"/>
  <c r="AZ359" i="1"/>
  <c r="BA45" i="4"/>
  <c r="CS68" i="8" s="1"/>
  <c r="BB228" i="4"/>
  <c r="BF310" i="1"/>
  <c r="AR18" i="8"/>
  <c r="BE316" i="1"/>
  <c r="BD306" i="1"/>
  <c r="BA43" i="4"/>
  <c r="CS66" i="8" s="1"/>
  <c r="BB222" i="4"/>
  <c r="AW39" i="4"/>
  <c r="CO62" i="8" s="1"/>
  <c r="AW33" i="5"/>
  <c r="AX33" i="5" s="1"/>
  <c r="AT377" i="1"/>
  <c r="AT382" i="1"/>
  <c r="AT375" i="1"/>
  <c r="AT378" i="1"/>
  <c r="BA11" i="8"/>
  <c r="BA53" i="8" s="1"/>
  <c r="BM366" i="1"/>
  <c r="BM357" i="1"/>
  <c r="BA86" i="51" s="1"/>
  <c r="BF228" i="1"/>
  <c r="BE234" i="1"/>
  <c r="AR80" i="8"/>
  <c r="AR56" i="8"/>
  <c r="AW307" i="1"/>
  <c r="AX305" i="1"/>
  <c r="AX307" i="1" s="1"/>
  <c r="BA36" i="4"/>
  <c r="CS59" i="8" s="1"/>
  <c r="BB207" i="4"/>
  <c r="BA34" i="4"/>
  <c r="CS57" i="8" s="1"/>
  <c r="BB201" i="4"/>
  <c r="AX36" i="4"/>
  <c r="CP59" i="8" s="1"/>
  <c r="AX208" i="4"/>
  <c r="AX45" i="4"/>
  <c r="CP68" i="8" s="1"/>
  <c r="AX229" i="4"/>
  <c r="AS22" i="4"/>
  <c r="CK50" i="8" s="1"/>
  <c r="AT136" i="4"/>
  <c r="AV20" i="1"/>
  <c r="AV18" i="1"/>
  <c r="AR394" i="1"/>
  <c r="AR395" i="1"/>
  <c r="AR386" i="1"/>
  <c r="AR387" i="1" s="1"/>
  <c r="AS56" i="8"/>
  <c r="AS80" i="8"/>
  <c r="AV278" i="1"/>
  <c r="AV281" i="1" s="1"/>
  <c r="AW277" i="1"/>
  <c r="AX277" i="1" s="1"/>
  <c r="AT361" i="1"/>
  <c r="AX10" i="8"/>
  <c r="AX52" i="8" s="1"/>
  <c r="BJ303" i="1"/>
  <c r="AX71" i="51" s="1"/>
  <c r="AP112" i="51"/>
  <c r="AP113" i="51" s="1"/>
  <c r="BF62" i="1"/>
  <c r="BR301" i="1"/>
  <c r="BR155" i="5" s="1"/>
  <c r="AR30" i="1"/>
  <c r="AF27" i="8" s="1"/>
  <c r="AR250" i="1"/>
  <c r="AR258" i="1"/>
  <c r="AW34" i="5"/>
  <c r="AX34" i="5" s="1"/>
  <c r="BA70" i="4"/>
  <c r="BA84" i="5"/>
  <c r="BB84" i="5" s="1"/>
  <c r="AZ11" i="8"/>
  <c r="AZ53" i="8" s="1"/>
  <c r="BL366" i="1"/>
  <c r="BL357" i="1"/>
  <c r="AZ86" i="51" s="1"/>
  <c r="AX149" i="5"/>
  <c r="AX154" i="5" s="1"/>
  <c r="AV90" i="4"/>
  <c r="AZ34" i="5"/>
  <c r="AZ42" i="4"/>
  <c r="CR65" i="8" s="1"/>
  <c r="AZ219" i="4"/>
  <c r="AZ220" i="4" s="1"/>
  <c r="BI363" i="1"/>
  <c r="AS19" i="8"/>
  <c r="BH370" i="1"/>
  <c r="BE360" i="1"/>
  <c r="AV15" i="8"/>
  <c r="AV50" i="8"/>
  <c r="BH228" i="1"/>
  <c r="AV16" i="8"/>
  <c r="BQ217" i="1"/>
  <c r="BQ221" i="1"/>
  <c r="BD172" i="4"/>
  <c r="BE172" i="4"/>
  <c r="BE160" i="4" s="1"/>
  <c r="AW36" i="5"/>
  <c r="AX36" i="5" s="1"/>
  <c r="BF118" i="4"/>
  <c r="BF13" i="1"/>
  <c r="AX148" i="5"/>
  <c r="AX152" i="5" s="1"/>
  <c r="BA359" i="1"/>
  <c r="BB360" i="1"/>
  <c r="AR49" i="4"/>
  <c r="AT281" i="1"/>
  <c r="BQ356" i="1"/>
  <c r="BQ352" i="1"/>
  <c r="BM11" i="1"/>
  <c r="BM231" i="1"/>
  <c r="BM222" i="1"/>
  <c r="BA43" i="51" s="1"/>
  <c r="BA8" i="8"/>
  <c r="BG11" i="1"/>
  <c r="BD226" i="1"/>
  <c r="AW318" i="1"/>
  <c r="AX318" i="1" s="1"/>
  <c r="AX319" i="1" s="1"/>
  <c r="AV319" i="1"/>
  <c r="AV322" i="1" s="1"/>
  <c r="BJ366" i="1"/>
  <c r="BH363" i="1"/>
  <c r="BR42" i="1"/>
  <c r="BR212" i="1"/>
  <c r="BF11" i="51" s="1"/>
  <c r="BF39" i="51" s="1"/>
  <c r="BR216" i="1"/>
  <c r="AX42" i="4"/>
  <c r="CP65" i="8" s="1"/>
  <c r="AX219" i="4"/>
  <c r="AX220" i="4" s="1"/>
  <c r="AW61" i="5"/>
  <c r="AX61" i="5" s="1"/>
  <c r="AT62" i="5"/>
  <c r="AT39" i="4"/>
  <c r="CL62" i="8" s="1"/>
  <c r="BH234" i="1"/>
  <c r="AR22" i="1"/>
  <c r="AF23" i="8" s="1"/>
  <c r="BA33" i="4"/>
  <c r="CS56" i="8" s="1"/>
  <c r="BB198" i="4"/>
  <c r="AV47" i="4"/>
  <c r="AR42" i="8"/>
  <c r="AR58" i="8"/>
  <c r="AX87" i="4"/>
  <c r="AX468" i="1"/>
  <c r="BA42" i="4"/>
  <c r="CS65" i="8" s="1"/>
  <c r="BA219" i="4"/>
  <c r="BA220" i="4" s="1"/>
  <c r="BB216" i="4"/>
  <c r="BB217" i="4" s="1"/>
  <c r="BB364" i="1"/>
  <c r="AP27" i="51" s="1"/>
  <c r="AP88" i="51" s="1"/>
  <c r="BF370" i="1"/>
  <c r="BM180" i="4"/>
  <c r="BM189" i="4" s="1"/>
  <c r="AW20" i="1"/>
  <c r="AW18" i="1"/>
  <c r="AX16" i="1"/>
  <c r="AY16" i="1" s="1"/>
  <c r="AX308" i="1"/>
  <c r="BA44" i="4"/>
  <c r="CS67" i="8" s="1"/>
  <c r="BB225" i="4"/>
  <c r="BA37" i="4"/>
  <c r="CS60" i="8" s="1"/>
  <c r="BB210" i="4"/>
  <c r="BA35" i="4"/>
  <c r="CS58" i="8" s="1"/>
  <c r="BB204" i="4"/>
  <c r="AW35" i="5"/>
  <c r="AX35" i="5" s="1"/>
  <c r="AW62" i="5"/>
  <c r="BP352" i="1"/>
  <c r="BP356" i="1"/>
  <c r="BJ11" i="1"/>
  <c r="BK11" i="1" s="1"/>
  <c r="BJ222" i="1"/>
  <c r="AX43" i="51" s="1"/>
  <c r="AX8" i="8"/>
  <c r="BB226" i="1"/>
  <c r="AV62" i="5"/>
  <c r="BB229" i="1"/>
  <c r="AP12" i="51" s="1"/>
  <c r="AP45" i="51" s="1"/>
  <c r="BF234" i="1"/>
  <c r="AT321" i="1"/>
  <c r="AT327" i="1"/>
  <c r="AT323" i="1"/>
  <c r="AX37" i="4"/>
  <c r="CP60" i="8" s="1"/>
  <c r="AX211" i="4"/>
  <c r="AX156" i="4"/>
  <c r="AX24" i="4" s="1"/>
  <c r="CP52" i="8" s="1"/>
  <c r="AX166" i="4"/>
  <c r="AX465" i="1"/>
  <c r="AS382" i="1"/>
  <c r="AS375" i="1"/>
  <c r="AS378" i="1"/>
  <c r="AX150" i="5"/>
  <c r="AX156" i="5" s="1"/>
  <c r="AZ61" i="5"/>
  <c r="AZ35" i="5"/>
  <c r="AZ36" i="5"/>
  <c r="BB311" i="1"/>
  <c r="AP22" i="51" s="1"/>
  <c r="AP73" i="51" s="1"/>
  <c r="BF316" i="1"/>
  <c r="BR61" i="1"/>
  <c r="BH118" i="4"/>
  <c r="BH13" i="1"/>
  <c r="BH310" i="1"/>
  <c r="AV25" i="1"/>
  <c r="AJ24" i="8" s="1"/>
  <c r="AW236" i="1"/>
  <c r="AV237" i="1"/>
  <c r="AV240" i="1" s="1"/>
  <c r="BI310" i="1"/>
  <c r="BJ313" i="1"/>
  <c r="BN221" i="1"/>
  <c r="BN217" i="1"/>
  <c r="AS18" i="8"/>
  <c r="BH316" i="1"/>
  <c r="BE306" i="1"/>
  <c r="BR294" i="1"/>
  <c r="BF21" i="51" s="1"/>
  <c r="BF67" i="51" s="1"/>
  <c r="BR297" i="1"/>
  <c r="AS434" i="1"/>
  <c r="AX14" i="4"/>
  <c r="CP44" i="8" s="1"/>
  <c r="AX44" i="4"/>
  <c r="CP67" i="8" s="1"/>
  <c r="AX226" i="4"/>
  <c r="AT15" i="8"/>
  <c r="AT50" i="8"/>
  <c r="AS49" i="4"/>
  <c r="AR286" i="1"/>
  <c r="BA305" i="1"/>
  <c r="BB306" i="1"/>
  <c r="BA308" i="1"/>
  <c r="BA16" i="1"/>
  <c r="BN189" i="4"/>
  <c r="AZ10" i="8"/>
  <c r="AZ52" i="8" s="1"/>
  <c r="BL303" i="1"/>
  <c r="AZ71" i="51" s="1"/>
  <c r="BL313" i="1"/>
  <c r="AZ168" i="4"/>
  <c r="AZ177" i="4" s="1"/>
  <c r="BA169" i="4"/>
  <c r="BA176" i="4" s="1"/>
  <c r="AS58" i="8"/>
  <c r="AS42" i="8"/>
  <c r="BR125" i="5"/>
  <c r="BL11" i="1"/>
  <c r="BL231" i="1"/>
  <c r="BL225" i="1" s="1"/>
  <c r="BL222" i="1"/>
  <c r="AZ43" i="51" s="1"/>
  <c r="AZ8" i="8"/>
  <c r="BA15" i="4"/>
  <c r="CS45" i="8" s="1"/>
  <c r="BB121" i="4"/>
  <c r="AX33" i="4"/>
  <c r="CP56" i="8" s="1"/>
  <c r="AX199" i="4"/>
  <c r="AZ87" i="4"/>
  <c r="AZ468" i="1"/>
  <c r="BR351" i="1"/>
  <c r="BR347" i="1"/>
  <c r="BF26" i="51" s="1"/>
  <c r="BF82" i="51" s="1"/>
  <c r="BE115" i="4"/>
  <c r="BE121" i="4"/>
  <c r="BE201" i="4"/>
  <c r="BE216" i="4"/>
  <c r="BE198" i="4"/>
  <c r="BE210" i="4"/>
  <c r="BE207" i="4"/>
  <c r="BE204" i="4"/>
  <c r="BE228" i="4"/>
  <c r="BE225" i="4"/>
  <c r="BE222" i="4"/>
  <c r="AT18" i="1"/>
  <c r="AU18" i="1" s="1"/>
  <c r="AT20" i="1"/>
  <c r="AU20" i="1" s="1"/>
  <c r="AS22" i="1"/>
  <c r="BR158" i="4"/>
  <c r="BP58" i="5"/>
  <c r="BR58" i="5" s="1"/>
  <c r="AR331" i="1"/>
  <c r="AR339" i="1"/>
  <c r="AT434" i="1"/>
  <c r="AT436" i="1"/>
  <c r="BD46" i="4"/>
  <c r="BE231" i="4"/>
  <c r="AV156" i="4"/>
  <c r="AV24" i="4" s="1"/>
  <c r="CN52" i="8" s="1"/>
  <c r="AV166" i="4"/>
  <c r="AW157" i="4"/>
  <c r="AW164" i="4" s="1"/>
  <c r="AV70" i="1"/>
  <c r="AZ60" i="5"/>
  <c r="AZ30" i="5"/>
  <c r="AW15" i="8"/>
  <c r="AW50" i="8"/>
  <c r="BI228" i="1"/>
  <c r="BJ231" i="1"/>
  <c r="AW16" i="8"/>
  <c r="AZ305" i="1"/>
  <c r="AZ307" i="1" s="1"/>
  <c r="AZ308" i="1"/>
  <c r="AZ16" i="1"/>
  <c r="BJ357" i="1"/>
  <c r="AX86" i="51" s="1"/>
  <c r="AX11" i="8"/>
  <c r="AX53" i="8" s="1"/>
  <c r="BH224" i="1"/>
  <c r="AT60" i="1"/>
  <c r="AT63" i="1"/>
  <c r="AT64" i="1" s="1"/>
  <c r="AB25" i="8"/>
  <c r="AB67" i="8" s="1"/>
  <c r="CF31" i="8"/>
  <c r="AM34" i="1"/>
  <c r="AT25" i="1"/>
  <c r="AS179" i="1"/>
  <c r="BP298" i="1"/>
  <c r="BP302" i="1"/>
  <c r="BA64" i="1"/>
  <c r="BA59" i="1"/>
  <c r="AW431" i="1"/>
  <c r="AX431" i="1" s="1"/>
  <c r="AX432" i="1" s="1"/>
  <c r="AV432" i="1"/>
  <c r="AV435" i="1" s="1"/>
  <c r="AW32" i="5"/>
  <c r="AX32" i="5" s="1"/>
  <c r="AW60" i="5"/>
  <c r="AX60" i="5" s="1"/>
  <c r="BF225" i="1"/>
  <c r="BE224" i="1"/>
  <c r="AW361" i="1"/>
  <c r="AX359" i="1"/>
  <c r="BP180" i="4"/>
  <c r="BP189" i="4" s="1"/>
  <c r="BQ181" i="4"/>
  <c r="BQ188" i="4" s="1"/>
  <c r="AO51" i="1"/>
  <c r="AS327" i="1"/>
  <c r="AS321" i="1"/>
  <c r="AX15" i="4"/>
  <c r="CP45" i="8" s="1"/>
  <c r="AX122" i="4"/>
  <c r="AW47" i="4"/>
  <c r="CO70" i="8" s="1"/>
  <c r="AT47" i="4"/>
  <c r="CL70" i="8" s="1"/>
  <c r="BN352" i="1"/>
  <c r="BN356" i="1"/>
  <c r="BF363" i="1"/>
  <c r="AR19" i="8"/>
  <c r="BE370" i="1"/>
  <c r="BD360" i="1"/>
  <c r="BU221" i="1" l="1"/>
  <c r="BV216" i="1"/>
  <c r="BV221" i="1" s="1"/>
  <c r="BV42" i="1"/>
  <c r="BV125" i="5"/>
  <c r="BZ162" i="5"/>
  <c r="AP38" i="1"/>
  <c r="BV220" i="1"/>
  <c r="BV153" i="5" s="1"/>
  <c r="BZ300" i="1"/>
  <c r="AP68" i="1"/>
  <c r="BX138" i="1"/>
  <c r="BZ138" i="1" s="1"/>
  <c r="BZ114" i="1"/>
  <c r="BV355" i="1"/>
  <c r="BV157" i="5" s="1"/>
  <c r="BY216" i="1"/>
  <c r="BY42" i="1"/>
  <c r="BV158" i="4"/>
  <c r="BU58" i="5"/>
  <c r="BV58" i="5" s="1"/>
  <c r="BZ293" i="1"/>
  <c r="BX297" i="1"/>
  <c r="BY298" i="1"/>
  <c r="BY302" i="1"/>
  <c r="BV294" i="1"/>
  <c r="BJ21" i="51" s="1"/>
  <c r="BJ67" i="51" s="1"/>
  <c r="BV297" i="1"/>
  <c r="BU181" i="4"/>
  <c r="BU188" i="4" s="1"/>
  <c r="BU180" i="4" s="1"/>
  <c r="BU189" i="4" s="1"/>
  <c r="BT180" i="4"/>
  <c r="BT189" i="4" s="1"/>
  <c r="BT298" i="1"/>
  <c r="BT302" i="1"/>
  <c r="BX220" i="1"/>
  <c r="BX153" i="5" s="1"/>
  <c r="BX61" i="1"/>
  <c r="BY61" i="1"/>
  <c r="BZ219" i="1"/>
  <c r="BY220" i="1"/>
  <c r="BY153" i="5" s="1"/>
  <c r="BY356" i="1"/>
  <c r="BY352" i="1"/>
  <c r="BU222" i="1"/>
  <c r="BI43" i="51" s="1"/>
  <c r="BU231" i="1"/>
  <c r="BZ233" i="1"/>
  <c r="BU352" i="1"/>
  <c r="BU356" i="1"/>
  <c r="BX355" i="1"/>
  <c r="BX157" i="5" s="1"/>
  <c r="BX351" i="1"/>
  <c r="BY355" i="1" s="1"/>
  <c r="BY157" i="5" s="1"/>
  <c r="BZ346" i="1"/>
  <c r="BZ369" i="1"/>
  <c r="BZ123" i="5"/>
  <c r="BZ125" i="5" s="1"/>
  <c r="BZ136" i="5"/>
  <c r="BZ165" i="5"/>
  <c r="BT222" i="1"/>
  <c r="BH43" i="51" s="1"/>
  <c r="BT231" i="1"/>
  <c r="BT225" i="1" s="1"/>
  <c r="BT352" i="1"/>
  <c r="BT356" i="1"/>
  <c r="BZ354" i="1"/>
  <c r="BX42" i="1"/>
  <c r="BV351" i="1"/>
  <c r="BV347" i="1"/>
  <c r="BJ26" i="51" s="1"/>
  <c r="BJ82" i="51" s="1"/>
  <c r="BV301" i="1"/>
  <c r="BV155" i="5" s="1"/>
  <c r="BX221" i="1"/>
  <c r="BX217" i="1"/>
  <c r="BU313" i="1"/>
  <c r="BU303" i="1"/>
  <c r="BI71" i="51" s="1"/>
  <c r="BV61" i="1"/>
  <c r="BZ170" i="4"/>
  <c r="BY158" i="4"/>
  <c r="BZ315" i="1"/>
  <c r="BU301" i="1"/>
  <c r="BU155" i="5" s="1"/>
  <c r="BZ211" i="1"/>
  <c r="AP89" i="1"/>
  <c r="AP61" i="8"/>
  <c r="AP35" i="1"/>
  <c r="AD122" i="51"/>
  <c r="AD123" i="51" s="1"/>
  <c r="AO71" i="1"/>
  <c r="AO72" i="1" s="1"/>
  <c r="AP69" i="1"/>
  <c r="AP81" i="4"/>
  <c r="AP44" i="8"/>
  <c r="AO52" i="1"/>
  <c r="AP51" i="1"/>
  <c r="AO55" i="1"/>
  <c r="AO56" i="1" s="1"/>
  <c r="AP148" i="1"/>
  <c r="AP146" i="1"/>
  <c r="AP157" i="1" s="1"/>
  <c r="AP154" i="1"/>
  <c r="AP167" i="1" s="1"/>
  <c r="AP97" i="1"/>
  <c r="CG40" i="8"/>
  <c r="AO40" i="1"/>
  <c r="AO97" i="1"/>
  <c r="AO146" i="1"/>
  <c r="AO157" i="1" s="1"/>
  <c r="BR180" i="4"/>
  <c r="BV181" i="4" s="1"/>
  <c r="BV188" i="4" s="1"/>
  <c r="AS28" i="1"/>
  <c r="AG25" i="8" s="1"/>
  <c r="AG23" i="8"/>
  <c r="AF64" i="8"/>
  <c r="AF66" i="8"/>
  <c r="AF47" i="8"/>
  <c r="AF81" i="8"/>
  <c r="AH24" i="8"/>
  <c r="AV49" i="4"/>
  <c r="CN70" i="8"/>
  <c r="AN80" i="4"/>
  <c r="AN83" i="4" s="1"/>
  <c r="AN157" i="1"/>
  <c r="AN29" i="5"/>
  <c r="AN37" i="5" s="1"/>
  <c r="AN237" i="4"/>
  <c r="AN239" i="4" s="1"/>
  <c r="AN145" i="1"/>
  <c r="AN156" i="1" s="1"/>
  <c r="CF17" i="8"/>
  <c r="AW90" i="4"/>
  <c r="AX90" i="4"/>
  <c r="BE16" i="1"/>
  <c r="AH13" i="51"/>
  <c r="AH49" i="51" s="1"/>
  <c r="F6" i="61"/>
  <c r="G6" i="61" s="1"/>
  <c r="AH33" i="51"/>
  <c r="AH105" i="51" s="1"/>
  <c r="F10" i="61"/>
  <c r="G10" i="61" s="1"/>
  <c r="AH23" i="51"/>
  <c r="AH77" i="51" s="1"/>
  <c r="F8" i="61"/>
  <c r="G8" i="61" s="1"/>
  <c r="AH28" i="51"/>
  <c r="AH92" i="51" s="1"/>
  <c r="F9" i="61"/>
  <c r="G9" i="61" s="1"/>
  <c r="CC32" i="8"/>
  <c r="AZ89" i="4"/>
  <c r="AZ88" i="4"/>
  <c r="AR384" i="1"/>
  <c r="AR388" i="1" s="1"/>
  <c r="AR390" i="1" s="1"/>
  <c r="AX165" i="4"/>
  <c r="BF177" i="4"/>
  <c r="AX62" i="5"/>
  <c r="BE226" i="1"/>
  <c r="BF224" i="1"/>
  <c r="BD10" i="8"/>
  <c r="BD52" i="8" s="1"/>
  <c r="BP303" i="1"/>
  <c r="BD71" i="51" s="1"/>
  <c r="BP313" i="1"/>
  <c r="AZ431" i="1"/>
  <c r="AW432" i="1"/>
  <c r="AW435" i="1" s="1"/>
  <c r="AX435" i="1" s="1"/>
  <c r="BL234" i="1"/>
  <c r="AW56" i="8"/>
  <c r="AW80" i="8"/>
  <c r="BE46" i="4"/>
  <c r="BF231" i="4"/>
  <c r="BH231" i="4"/>
  <c r="BE42" i="4"/>
  <c r="BF216" i="4"/>
  <c r="BF217" i="4" s="1"/>
  <c r="BE219" i="4"/>
  <c r="BE220" i="4" s="1"/>
  <c r="BA30" i="5"/>
  <c r="BB30" i="5" s="1"/>
  <c r="BL310" i="1"/>
  <c r="BB308" i="1"/>
  <c r="BB16" i="1"/>
  <c r="BC16" i="1" s="1"/>
  <c r="AV18" i="8"/>
  <c r="BJ310" i="1"/>
  <c r="BI316" i="1"/>
  <c r="BH306" i="1"/>
  <c r="BF364" i="1"/>
  <c r="AT27" i="51" s="1"/>
  <c r="AT88" i="51" s="1"/>
  <c r="AT19" i="8"/>
  <c r="BJ370" i="1"/>
  <c r="BQ180" i="4"/>
  <c r="BQ189" i="4" s="1"/>
  <c r="BA60" i="1"/>
  <c r="BB59" i="1"/>
  <c r="BH226" i="1"/>
  <c r="BD359" i="1"/>
  <c r="BN357" i="1"/>
  <c r="BB86" i="51" s="1"/>
  <c r="BB11" i="8"/>
  <c r="BB53" i="8" s="1"/>
  <c r="AV437" i="1"/>
  <c r="AV434" i="1"/>
  <c r="AW42" i="8"/>
  <c r="AW58" i="8"/>
  <c r="AV165" i="4"/>
  <c r="BE44" i="4"/>
  <c r="BF225" i="4"/>
  <c r="BE37" i="4"/>
  <c r="BF210" i="4"/>
  <c r="BE15" i="4"/>
  <c r="BF121" i="4"/>
  <c r="BR356" i="1"/>
  <c r="BR352" i="1"/>
  <c r="AX39" i="4"/>
  <c r="CP62" i="8" s="1"/>
  <c r="AZ15" i="8"/>
  <c r="AZ50" i="8"/>
  <c r="BL118" i="4"/>
  <c r="BL13" i="1"/>
  <c r="BA168" i="4"/>
  <c r="BA177" i="4" s="1"/>
  <c r="AT56" i="8"/>
  <c r="AT80" i="8"/>
  <c r="BR302" i="1"/>
  <c r="BR298" i="1"/>
  <c r="AW18" i="8"/>
  <c r="BL316" i="1"/>
  <c r="BI306" i="1"/>
  <c r="BH115" i="4"/>
  <c r="BH14" i="4" s="1"/>
  <c r="BH121" i="4"/>
  <c r="BH15" i="4" s="1"/>
  <c r="BH207" i="4"/>
  <c r="BH36" i="4" s="1"/>
  <c r="BH204" i="4"/>
  <c r="BH35" i="4" s="1"/>
  <c r="BH201" i="4"/>
  <c r="BH34" i="4" s="1"/>
  <c r="BH216" i="4"/>
  <c r="BH198" i="4"/>
  <c r="BH33" i="4" s="1"/>
  <c r="BH210" i="4"/>
  <c r="BH37" i="4" s="1"/>
  <c r="BH225" i="4"/>
  <c r="BH44" i="4" s="1"/>
  <c r="BH222" i="4"/>
  <c r="BH43" i="4" s="1"/>
  <c r="BH228" i="4"/>
  <c r="BH45" i="4" s="1"/>
  <c r="BA47" i="4"/>
  <c r="CS70" i="8" s="1"/>
  <c r="BA39" i="4"/>
  <c r="CS62" i="8" s="1"/>
  <c r="BA33" i="5"/>
  <c r="BB33" i="5" s="1"/>
  <c r="AR74" i="4"/>
  <c r="AR23" i="1"/>
  <c r="CJ31" i="8" s="1"/>
  <c r="AF115" i="51"/>
  <c r="AR28" i="1"/>
  <c r="AX47" i="4"/>
  <c r="CP70" i="8" s="1"/>
  <c r="AV321" i="1"/>
  <c r="AV327" i="1"/>
  <c r="AT283" i="1"/>
  <c r="AT280" i="1"/>
  <c r="AT30" i="1" s="1"/>
  <c r="AH27" i="8" s="1"/>
  <c r="AT282" i="1"/>
  <c r="BQ11" i="1"/>
  <c r="BQ231" i="1"/>
  <c r="BQ225" i="1" s="1"/>
  <c r="BQ222" i="1"/>
  <c r="BE43" i="51" s="1"/>
  <c r="BE8" i="8"/>
  <c r="BJ228" i="1"/>
  <c r="BI234" i="1"/>
  <c r="AV56" i="8"/>
  <c r="AV80" i="8"/>
  <c r="AS45" i="8"/>
  <c r="AS61" i="8"/>
  <c r="AZ47" i="4"/>
  <c r="BL363" i="1"/>
  <c r="BN366" i="1"/>
  <c r="AR53" i="1"/>
  <c r="AR54" i="1" s="1"/>
  <c r="AR251" i="1"/>
  <c r="AR248" i="1"/>
  <c r="AV280" i="1"/>
  <c r="AV283" i="1"/>
  <c r="BB34" i="4"/>
  <c r="CT57" i="8" s="1"/>
  <c r="BB202" i="4"/>
  <c r="BB43" i="4"/>
  <c r="CT66" i="8" s="1"/>
  <c r="BB223" i="4"/>
  <c r="AT58" i="8"/>
  <c r="AT42" i="8"/>
  <c r="BD42" i="4"/>
  <c r="BD62" i="5" s="1"/>
  <c r="BD219" i="4"/>
  <c r="BD220" i="4" s="1"/>
  <c r="CV60" i="8"/>
  <c r="AZ62" i="5"/>
  <c r="AV378" i="1"/>
  <c r="AV382" i="1"/>
  <c r="AV375" i="1"/>
  <c r="BB70" i="4"/>
  <c r="BB14" i="4"/>
  <c r="CT44" i="8" s="1"/>
  <c r="AT179" i="1"/>
  <c r="AU25" i="1"/>
  <c r="AI24" i="8" s="1"/>
  <c r="AX16" i="8"/>
  <c r="AW166" i="4"/>
  <c r="AW156" i="4"/>
  <c r="AW24" i="4" s="1"/>
  <c r="CO52" i="8" s="1"/>
  <c r="AZ157" i="4"/>
  <c r="AS74" i="4"/>
  <c r="AS23" i="1"/>
  <c r="CK31" i="8" s="1"/>
  <c r="AG115" i="51"/>
  <c r="BE45" i="4"/>
  <c r="BF228" i="4"/>
  <c r="BE33" i="4"/>
  <c r="BF198" i="4"/>
  <c r="BE14" i="4"/>
  <c r="BF115" i="4"/>
  <c r="BF116" i="4" s="1"/>
  <c r="BB15" i="4"/>
  <c r="CT45" i="8" s="1"/>
  <c r="BB122" i="4"/>
  <c r="BL224" i="1"/>
  <c r="AS60" i="8"/>
  <c r="AS44" i="8"/>
  <c r="BN11" i="1"/>
  <c r="BN222" i="1"/>
  <c r="BB43" i="51" s="1"/>
  <c r="BB8" i="8"/>
  <c r="AW25" i="1"/>
  <c r="AK24" i="8" s="1"/>
  <c r="AZ236" i="1"/>
  <c r="AW237" i="1"/>
  <c r="AW240" i="1" s="1"/>
  <c r="AX240" i="1" s="1"/>
  <c r="BH63" i="1"/>
  <c r="AV112" i="51"/>
  <c r="AV113" i="51" s="1"/>
  <c r="BL62" i="1"/>
  <c r="AS394" i="1"/>
  <c r="AS395" i="1"/>
  <c r="AS386" i="1"/>
  <c r="AS384" i="1" s="1"/>
  <c r="AX26" i="1"/>
  <c r="AX466" i="1"/>
  <c r="AX469" i="1"/>
  <c r="AT339" i="1"/>
  <c r="BB148" i="5"/>
  <c r="BB152" i="5" s="1"/>
  <c r="BJ118" i="4"/>
  <c r="BJ13" i="1"/>
  <c r="BK13" i="1" s="1"/>
  <c r="BB35" i="4"/>
  <c r="CT58" i="8" s="1"/>
  <c r="BB205" i="4"/>
  <c r="BB44" i="4"/>
  <c r="CT67" i="8" s="1"/>
  <c r="BB226" i="4"/>
  <c r="AT49" i="4"/>
  <c r="BR221" i="1"/>
  <c r="BR217" i="1"/>
  <c r="BJ363" i="1"/>
  <c r="AV19" i="8"/>
  <c r="BI370" i="1"/>
  <c r="BH360" i="1"/>
  <c r="BA15" i="8"/>
  <c r="BA50" i="8"/>
  <c r="BM228" i="1"/>
  <c r="BN231" i="1"/>
  <c r="BA16" i="8"/>
  <c r="BA361" i="1"/>
  <c r="BB359" i="1"/>
  <c r="AT112" i="51"/>
  <c r="AT113" i="51" s="1"/>
  <c r="BJ62" i="1"/>
  <c r="BA87" i="4"/>
  <c r="BA468" i="1"/>
  <c r="AR90" i="5"/>
  <c r="AR83" i="5" s="1"/>
  <c r="AX278" i="1"/>
  <c r="BA36" i="5"/>
  <c r="BB36" i="5" s="1"/>
  <c r="BA61" i="5"/>
  <c r="BB61" i="5" s="1"/>
  <c r="AR44" i="8"/>
  <c r="AR60" i="8"/>
  <c r="BB45" i="4"/>
  <c r="CT68" i="8" s="1"/>
  <c r="BB229" i="4"/>
  <c r="BD61" i="5"/>
  <c r="CV66" i="8"/>
  <c r="BD36" i="5"/>
  <c r="CV57" i="8"/>
  <c r="BD39" i="4"/>
  <c r="BD33" i="5"/>
  <c r="CV56" i="8"/>
  <c r="BJ172" i="4"/>
  <c r="AZ26" i="1"/>
  <c r="BA465" i="1"/>
  <c r="AZ466" i="1"/>
  <c r="AX60" i="1"/>
  <c r="AX63" i="1"/>
  <c r="AX64" i="1" s="1"/>
  <c r="BA32" i="5"/>
  <c r="BB32" i="5" s="1"/>
  <c r="AX236" i="1"/>
  <c r="BP366" i="1"/>
  <c r="BP357" i="1"/>
  <c r="BD86" i="51" s="1"/>
  <c r="BD11" i="8"/>
  <c r="BD53" i="8" s="1"/>
  <c r="BA34" i="5"/>
  <c r="BB34" i="5" s="1"/>
  <c r="BA60" i="5"/>
  <c r="BB60" i="5" s="1"/>
  <c r="AX18" i="1"/>
  <c r="AX20" i="1"/>
  <c r="AW22" i="1"/>
  <c r="AK23" i="8" s="1"/>
  <c r="BB42" i="4"/>
  <c r="CT65" i="8" s="1"/>
  <c r="BB219" i="4"/>
  <c r="BB220" i="4" s="1"/>
  <c r="BM118" i="4"/>
  <c r="BM13" i="1"/>
  <c r="BD160" i="4"/>
  <c r="BF160" i="4" s="1"/>
  <c r="BD176" i="4"/>
  <c r="BF360" i="1"/>
  <c r="BE359" i="1"/>
  <c r="AV22" i="1"/>
  <c r="AT22" i="4"/>
  <c r="CL50" i="8" s="1"/>
  <c r="AX137" i="4"/>
  <c r="AX145" i="4" s="1"/>
  <c r="AV137" i="4"/>
  <c r="AV145" i="4" s="1"/>
  <c r="AU136" i="4"/>
  <c r="AT149" i="4"/>
  <c r="BB36" i="4"/>
  <c r="CT59" i="8" s="1"/>
  <c r="BB208" i="4"/>
  <c r="BM363" i="1"/>
  <c r="BF311" i="1"/>
  <c r="AT22" i="51" s="1"/>
  <c r="AT73" i="51" s="1"/>
  <c r="AT18" i="8"/>
  <c r="BJ316" i="1"/>
  <c r="BA62" i="5"/>
  <c r="AZ361" i="1"/>
  <c r="BP11" i="1"/>
  <c r="BP222" i="1"/>
  <c r="BD43" i="51" s="1"/>
  <c r="BP231" i="1"/>
  <c r="BP225" i="1" s="1"/>
  <c r="BD8" i="8"/>
  <c r="BD60" i="5"/>
  <c r="CV67" i="8"/>
  <c r="BD34" i="5"/>
  <c r="CV58" i="8"/>
  <c r="BD32" i="5"/>
  <c r="CV44" i="8"/>
  <c r="BD59" i="1"/>
  <c r="BD60" i="1" s="1"/>
  <c r="BD64" i="1"/>
  <c r="AS30" i="1"/>
  <c r="AG27" i="8" s="1"/>
  <c r="AS258" i="1"/>
  <c r="AS250" i="1"/>
  <c r="Y31" i="8"/>
  <c r="BI121" i="4"/>
  <c r="BI115" i="4"/>
  <c r="BI198" i="4"/>
  <c r="BI210" i="4"/>
  <c r="BI207" i="4"/>
  <c r="BI204" i="4"/>
  <c r="BI201" i="4"/>
  <c r="BI216" i="4"/>
  <c r="BI228" i="4"/>
  <c r="BI225" i="4"/>
  <c r="BI222" i="4"/>
  <c r="BE10" i="8"/>
  <c r="BE52" i="8" s="1"/>
  <c r="BQ303" i="1"/>
  <c r="BE71" i="51" s="1"/>
  <c r="BQ313" i="1"/>
  <c r="AW70" i="1"/>
  <c r="AS286" i="1"/>
  <c r="BI226" i="1"/>
  <c r="BJ224" i="1"/>
  <c r="AB30" i="8"/>
  <c r="AS339" i="1"/>
  <c r="AS331" i="1"/>
  <c r="AX361" i="1"/>
  <c r="AR45" i="8"/>
  <c r="AR61" i="8"/>
  <c r="BE35" i="4"/>
  <c r="BF204" i="4"/>
  <c r="AZ20" i="1"/>
  <c r="AZ18" i="1"/>
  <c r="BD70" i="4"/>
  <c r="BD84" i="5"/>
  <c r="CV69" i="8"/>
  <c r="AR332" i="1"/>
  <c r="AR329" i="1"/>
  <c r="AT22" i="1"/>
  <c r="AH23" i="8" s="1"/>
  <c r="BE43" i="4"/>
  <c r="BF222" i="4"/>
  <c r="BE36" i="4"/>
  <c r="BF207" i="4"/>
  <c r="BE34" i="4"/>
  <c r="BF201" i="4"/>
  <c r="BL228" i="1"/>
  <c r="AZ16" i="8"/>
  <c r="BA20" i="1"/>
  <c r="BA18" i="1"/>
  <c r="BA307" i="1"/>
  <c r="BB305" i="1"/>
  <c r="BB307" i="1" s="1"/>
  <c r="BF306" i="1"/>
  <c r="BE305" i="1"/>
  <c r="BE308" i="1"/>
  <c r="AV246" i="1"/>
  <c r="AV239" i="1"/>
  <c r="AV242" i="1"/>
  <c r="AV179" i="1"/>
  <c r="BB149" i="5"/>
  <c r="BB154" i="5" s="1"/>
  <c r="AX15" i="8"/>
  <c r="AX50" i="8"/>
  <c r="BB37" i="4"/>
  <c r="CT60" i="8" s="1"/>
  <c r="BB211" i="4"/>
  <c r="BB150" i="5"/>
  <c r="BB156" i="5" s="1"/>
  <c r="BB33" i="4"/>
  <c r="CT56" i="8" s="1"/>
  <c r="BB199" i="4"/>
  <c r="AZ318" i="1"/>
  <c r="AW319" i="1"/>
  <c r="AW322" i="1" s="1"/>
  <c r="AX322" i="1" s="1"/>
  <c r="BM225" i="1"/>
  <c r="BE11" i="8"/>
  <c r="BE53" i="8" s="1"/>
  <c r="BQ366" i="1"/>
  <c r="BQ357" i="1"/>
  <c r="BE86" i="51" s="1"/>
  <c r="AV58" i="8"/>
  <c r="AV42" i="8"/>
  <c r="AW19" i="8"/>
  <c r="BL370" i="1"/>
  <c r="BI360" i="1"/>
  <c r="AZ277" i="1"/>
  <c r="AW278" i="1"/>
  <c r="AW281" i="1" s="1"/>
  <c r="AS54" i="5"/>
  <c r="BA35" i="5"/>
  <c r="BB35" i="5" s="1"/>
  <c r="BF229" i="1"/>
  <c r="AT12" i="51" s="1"/>
  <c r="AT45" i="51" s="1"/>
  <c r="BJ234" i="1"/>
  <c r="AT395" i="1"/>
  <c r="AT394" i="1"/>
  <c r="AW49" i="4"/>
  <c r="BD305" i="1"/>
  <c r="BD307" i="1" s="1"/>
  <c r="BD308" i="1"/>
  <c r="BD16" i="1"/>
  <c r="CV68" i="8"/>
  <c r="BD35" i="5"/>
  <c r="CV59" i="8"/>
  <c r="BD30" i="5"/>
  <c r="CV45" i="8"/>
  <c r="BG13" i="1"/>
  <c r="AM39" i="1"/>
  <c r="Z30" i="8"/>
  <c r="BI63" i="1"/>
  <c r="AW112" i="51"/>
  <c r="AW113" i="51" s="1"/>
  <c r="BM62" i="1"/>
  <c r="AZ372" i="1"/>
  <c r="AW373" i="1"/>
  <c r="BN303" i="1"/>
  <c r="BB71" i="51" s="1"/>
  <c r="BB10" i="8"/>
  <c r="BB52" i="8" s="1"/>
  <c r="AT258" i="1"/>
  <c r="BE59" i="1"/>
  <c r="BE64" i="1"/>
  <c r="BM310" i="1"/>
  <c r="BN313" i="1"/>
  <c r="BZ220" i="1" l="1"/>
  <c r="BZ153" i="5" s="1"/>
  <c r="BV217" i="1"/>
  <c r="BT11" i="1"/>
  <c r="BT118" i="4" s="1"/>
  <c r="AP71" i="1"/>
  <c r="BX222" i="1"/>
  <c r="BL43" i="51" s="1"/>
  <c r="BX231" i="1"/>
  <c r="BV298" i="1"/>
  <c r="BV302" i="1"/>
  <c r="BY217" i="1"/>
  <c r="BY221" i="1"/>
  <c r="BT224" i="1"/>
  <c r="BZ158" i="4"/>
  <c r="BY58" i="5"/>
  <c r="BZ58" i="5" s="1"/>
  <c r="BU11" i="1"/>
  <c r="BU357" i="1"/>
  <c r="BI86" i="51" s="1"/>
  <c r="BU366" i="1"/>
  <c r="BZ61" i="1"/>
  <c r="BV356" i="1"/>
  <c r="BV352" i="1"/>
  <c r="BT13" i="1"/>
  <c r="BX62" i="1" s="1"/>
  <c r="BY303" i="1"/>
  <c r="BM71" i="51" s="1"/>
  <c r="BY313" i="1"/>
  <c r="BX302" i="1"/>
  <c r="BX298" i="1"/>
  <c r="BZ355" i="1"/>
  <c r="BZ157" i="5" s="1"/>
  <c r="BT303" i="1"/>
  <c r="BH71" i="51" s="1"/>
  <c r="BT313" i="1"/>
  <c r="BV313" i="1" s="1"/>
  <c r="BZ294" i="1"/>
  <c r="BN21" i="51" s="1"/>
  <c r="BN67" i="51" s="1"/>
  <c r="BZ297" i="1"/>
  <c r="BZ301" i="1"/>
  <c r="BZ155" i="5" s="1"/>
  <c r="BT357" i="1"/>
  <c r="BH86" i="51" s="1"/>
  <c r="BT366" i="1"/>
  <c r="BU228" i="1"/>
  <c r="BX234" i="1" s="1"/>
  <c r="BV231" i="1"/>
  <c r="BY301" i="1"/>
  <c r="BY155" i="5" s="1"/>
  <c r="BU310" i="1"/>
  <c r="BZ351" i="1"/>
  <c r="BZ347" i="1"/>
  <c r="BN26" i="51" s="1"/>
  <c r="BN82" i="51" s="1"/>
  <c r="BU225" i="1"/>
  <c r="BV222" i="1"/>
  <c r="BJ43" i="51" s="1"/>
  <c r="BX181" i="4"/>
  <c r="BX188" i="4" s="1"/>
  <c r="BV180" i="4"/>
  <c r="BZ181" i="4" s="1"/>
  <c r="BZ188" i="4" s="1"/>
  <c r="BZ42" i="1"/>
  <c r="BZ216" i="1"/>
  <c r="BZ212" i="1"/>
  <c r="BN11" i="51" s="1"/>
  <c r="BN39" i="51" s="1"/>
  <c r="BX352" i="1"/>
  <c r="BX356" i="1"/>
  <c r="BT228" i="1"/>
  <c r="BY357" i="1"/>
  <c r="BM86" i="51" s="1"/>
  <c r="BY366" i="1"/>
  <c r="AO80" i="4"/>
  <c r="AO83" i="4" s="1"/>
  <c r="AO84" i="4" s="1"/>
  <c r="AO237" i="4"/>
  <c r="AO29" i="5"/>
  <c r="AO37" i="5" s="1"/>
  <c r="AO93" i="5" s="1"/>
  <c r="AP72" i="1"/>
  <c r="AP80" i="4"/>
  <c r="AP83" i="4" s="1"/>
  <c r="AN84" i="4"/>
  <c r="AN96" i="4" s="1"/>
  <c r="AR96" i="4" s="1"/>
  <c r="AS96" i="4" s="1"/>
  <c r="AV96" i="4" s="1"/>
  <c r="AW96" i="4" s="1"/>
  <c r="AP237" i="4"/>
  <c r="AP239" i="4" s="1"/>
  <c r="AO239" i="4" s="1"/>
  <c r="AP29" i="5"/>
  <c r="AP37" i="5" s="1"/>
  <c r="AP145" i="1"/>
  <c r="AP156" i="1" s="1"/>
  <c r="AP147" i="1"/>
  <c r="AP158" i="1" s="1"/>
  <c r="AO145" i="1"/>
  <c r="AO156" i="1" s="1"/>
  <c r="AP153" i="1"/>
  <c r="AP159" i="1" s="1"/>
  <c r="AP168" i="1"/>
  <c r="CG17" i="8"/>
  <c r="AP55" i="1"/>
  <c r="AP56" i="1" s="1"/>
  <c r="AP52" i="1"/>
  <c r="AG119" i="51"/>
  <c r="BR189" i="4"/>
  <c r="AV28" i="1"/>
  <c r="AJ25" i="8" s="1"/>
  <c r="AJ23" i="8"/>
  <c r="AK66" i="8"/>
  <c r="AK81" i="8"/>
  <c r="AK64" i="8"/>
  <c r="AK47" i="8"/>
  <c r="AG47" i="8"/>
  <c r="AG81" i="8"/>
  <c r="AH47" i="8"/>
  <c r="AH81" i="8"/>
  <c r="AR32" i="1"/>
  <c r="AR31" i="1" s="1"/>
  <c r="AF25" i="8"/>
  <c r="AF67" i="8" s="1"/>
  <c r="AZ49" i="4"/>
  <c r="CR70" i="8"/>
  <c r="Y82" i="8"/>
  <c r="BE18" i="1"/>
  <c r="BE20" i="1"/>
  <c r="BE22" i="1" s="1"/>
  <c r="AH18" i="51"/>
  <c r="AH62" i="51" s="1"/>
  <c r="F7" i="61"/>
  <c r="G7" i="61" s="1"/>
  <c r="G11" i="61" s="1"/>
  <c r="F11" i="61" s="1"/>
  <c r="F15" i="61" s="1"/>
  <c r="G15" i="61" s="1"/>
  <c r="G16" i="61" s="1"/>
  <c r="CD32" i="8"/>
  <c r="AZ90" i="4"/>
  <c r="AR385" i="1"/>
  <c r="AX323" i="1"/>
  <c r="AL23" i="51" s="1"/>
  <c r="AL77" i="51" s="1"/>
  <c r="AX327" i="1"/>
  <c r="AX321" i="1"/>
  <c r="BB39" i="4"/>
  <c r="CT62" i="8" s="1"/>
  <c r="BF34" i="4"/>
  <c r="BF202" i="4"/>
  <c r="BI45" i="4"/>
  <c r="BJ228" i="4"/>
  <c r="BI15" i="4"/>
  <c r="BJ121" i="4"/>
  <c r="Y38" i="8"/>
  <c r="Y73" i="8" s="1"/>
  <c r="BD15" i="8"/>
  <c r="BD50" i="8"/>
  <c r="BF359" i="1"/>
  <c r="BE361" i="1"/>
  <c r="BM115" i="4"/>
  <c r="BM121" i="4"/>
  <c r="BM207" i="4"/>
  <c r="BM204" i="4"/>
  <c r="BM201" i="4"/>
  <c r="BM216" i="4"/>
  <c r="BM198" i="4"/>
  <c r="BM210" i="4"/>
  <c r="BM225" i="4"/>
  <c r="BM222" i="4"/>
  <c r="BM228" i="4"/>
  <c r="AX22" i="1"/>
  <c r="AL23" i="8" s="1"/>
  <c r="AW280" i="1"/>
  <c r="AW283" i="1"/>
  <c r="AX56" i="8"/>
  <c r="AX80" i="8"/>
  <c r="AX242" i="1"/>
  <c r="AX246" i="1"/>
  <c r="BF305" i="1"/>
  <c r="BF307" i="1" s="1"/>
  <c r="BE307" i="1"/>
  <c r="BF36" i="4"/>
  <c r="BF208" i="4"/>
  <c r="BE34" i="5"/>
  <c r="BF34" i="5" s="1"/>
  <c r="CW58" i="8"/>
  <c r="BI43" i="4"/>
  <c r="BJ222" i="4"/>
  <c r="BI34" i="4"/>
  <c r="BJ201" i="4"/>
  <c r="BI33" i="4"/>
  <c r="BJ198" i="4"/>
  <c r="Y34" i="8"/>
  <c r="Y70" i="8" s="1"/>
  <c r="BP228" i="1"/>
  <c r="BD16" i="8"/>
  <c r="BF149" i="5"/>
  <c r="BF154" i="5" s="1"/>
  <c r="AV74" i="4"/>
  <c r="AV23" i="1"/>
  <c r="CN31" i="8" s="1"/>
  <c r="AJ115" i="51"/>
  <c r="BM63" i="1"/>
  <c r="BA112" i="51"/>
  <c r="BA113" i="51" s="1"/>
  <c r="BQ62" i="1"/>
  <c r="BB47" i="4"/>
  <c r="CT70" i="8" s="1"/>
  <c r="BA26" i="1"/>
  <c r="BD465" i="1"/>
  <c r="BA466" i="1"/>
  <c r="BH359" i="1"/>
  <c r="AS387" i="1"/>
  <c r="AT386" i="1"/>
  <c r="AT387" i="1" s="1"/>
  <c r="BH64" i="1"/>
  <c r="BH59" i="1"/>
  <c r="BH60" i="1" s="1"/>
  <c r="AW28" i="1"/>
  <c r="AK25" i="8" s="1"/>
  <c r="AK67" i="8" s="1"/>
  <c r="AX25" i="1"/>
  <c r="AL24" i="8" s="1"/>
  <c r="AW179" i="1"/>
  <c r="BN118" i="4"/>
  <c r="BN13" i="1"/>
  <c r="BO13" i="1" s="1"/>
  <c r="BL226" i="1"/>
  <c r="BF14" i="4"/>
  <c r="BF45" i="4"/>
  <c r="BF229" i="4"/>
  <c r="AG86" i="8"/>
  <c r="BB157" i="4"/>
  <c r="BB164" i="4" s="1"/>
  <c r="AZ164" i="4"/>
  <c r="AY18" i="1"/>
  <c r="AX281" i="1"/>
  <c r="BQ118" i="4"/>
  <c r="BQ13" i="1"/>
  <c r="BU62" i="1" s="1"/>
  <c r="AT286" i="1"/>
  <c r="AF119" i="51"/>
  <c r="AF120" i="51" s="1"/>
  <c r="AR77" i="4"/>
  <c r="BH60" i="5"/>
  <c r="BH36" i="5"/>
  <c r="BH32" i="5"/>
  <c r="BL63" i="1"/>
  <c r="AZ112" i="51"/>
  <c r="AZ113" i="51" s="1"/>
  <c r="BP62" i="1"/>
  <c r="CW60" i="8"/>
  <c r="AX436" i="1"/>
  <c r="AL33" i="51" s="1"/>
  <c r="AL105" i="51" s="1"/>
  <c r="AX437" i="1"/>
  <c r="AX434" i="1"/>
  <c r="BB60" i="1"/>
  <c r="BB63" i="1"/>
  <c r="BB64" i="1" s="1"/>
  <c r="BJ311" i="1"/>
  <c r="AX22" i="51" s="1"/>
  <c r="AX73" i="51" s="1"/>
  <c r="AX18" i="8"/>
  <c r="BN316" i="1"/>
  <c r="BA88" i="4"/>
  <c r="BB88" i="4" s="1"/>
  <c r="AW437" i="1"/>
  <c r="AW434" i="1"/>
  <c r="BD20" i="1"/>
  <c r="BD18" i="1"/>
  <c r="BE60" i="1"/>
  <c r="BF59" i="1"/>
  <c r="BI59" i="1"/>
  <c r="BI64" i="1"/>
  <c r="CD40" i="8"/>
  <c r="BF148" i="5"/>
  <c r="BF152" i="5" s="1"/>
  <c r="BA277" i="1"/>
  <c r="BB277" i="1" s="1"/>
  <c r="AZ278" i="1"/>
  <c r="AZ281" i="1" s="1"/>
  <c r="BJ360" i="1"/>
  <c r="BI359" i="1"/>
  <c r="BQ363" i="1"/>
  <c r="BT370" i="1" s="1"/>
  <c r="AW321" i="1"/>
  <c r="AW327" i="1"/>
  <c r="AV30" i="1"/>
  <c r="AV250" i="1"/>
  <c r="AV258" i="1"/>
  <c r="BF308" i="1"/>
  <c r="BE35" i="5"/>
  <c r="BF35" i="5" s="1"/>
  <c r="CW59" i="8"/>
  <c r="AT74" i="4"/>
  <c r="AT23" i="1"/>
  <c r="CL31" i="8" s="1"/>
  <c r="AH115" i="51"/>
  <c r="AR330" i="1"/>
  <c r="AR333" i="1"/>
  <c r="AR335" i="1" s="1"/>
  <c r="AZ22" i="1"/>
  <c r="AN23" i="8" s="1"/>
  <c r="AM335" i="1"/>
  <c r="AS332" i="1"/>
  <c r="AT331" i="1"/>
  <c r="AT332" i="1" s="1"/>
  <c r="AS329" i="1"/>
  <c r="BQ310" i="1"/>
  <c r="BT316" i="1" s="1"/>
  <c r="BR313" i="1"/>
  <c r="BI44" i="4"/>
  <c r="BJ225" i="4"/>
  <c r="BI35" i="4"/>
  <c r="BJ204" i="4"/>
  <c r="BI14" i="4"/>
  <c r="BJ115" i="4"/>
  <c r="BJ116" i="4" s="1"/>
  <c r="AS90" i="5"/>
  <c r="AS83" i="5" s="1"/>
  <c r="AT83" i="5" s="1"/>
  <c r="AS32" i="1"/>
  <c r="AS34" i="1"/>
  <c r="AG28" i="8" s="1"/>
  <c r="BP224" i="1"/>
  <c r="AV136" i="4"/>
  <c r="AV149" i="4" s="1"/>
  <c r="AY20" i="1"/>
  <c r="BD168" i="4"/>
  <c r="BD177" i="4" s="1"/>
  <c r="BE169" i="4"/>
  <c r="BE176" i="4" s="1"/>
  <c r="AS385" i="1"/>
  <c r="AT384" i="1"/>
  <c r="AX237" i="1"/>
  <c r="AX241" i="1" s="1"/>
  <c r="AL13" i="51" s="1"/>
  <c r="AL49" i="51" s="1"/>
  <c r="AZ70" i="1"/>
  <c r="AU30" i="1"/>
  <c r="AI27" i="8" s="1"/>
  <c r="BA58" i="8"/>
  <c r="BA42" i="8"/>
  <c r="AW242" i="1"/>
  <c r="AW246" i="1"/>
  <c r="AW239" i="1"/>
  <c r="BB15" i="8"/>
  <c r="BB50" i="8"/>
  <c r="BE32" i="5"/>
  <c r="BF32" i="5" s="1"/>
  <c r="CW44" i="8"/>
  <c r="BE62" i="5"/>
  <c r="BF62" i="5" s="1"/>
  <c r="CW68" i="8"/>
  <c r="AG117" i="51"/>
  <c r="BB87" i="4"/>
  <c r="BB468" i="1"/>
  <c r="AV286" i="1"/>
  <c r="AR249" i="1"/>
  <c r="AR252" i="1"/>
  <c r="AR254" i="1" s="1"/>
  <c r="BN363" i="1"/>
  <c r="AZ19" i="8"/>
  <c r="BM370" i="1"/>
  <c r="BL360" i="1"/>
  <c r="BJ229" i="1"/>
  <c r="AX12" i="51" s="1"/>
  <c r="AX45" i="51" s="1"/>
  <c r="BN234" i="1"/>
  <c r="BR225" i="1"/>
  <c r="BQ224" i="1"/>
  <c r="AV339" i="1"/>
  <c r="AV331" i="1"/>
  <c r="AF116" i="51"/>
  <c r="AF117" i="51"/>
  <c r="BA49" i="4"/>
  <c r="BH34" i="5"/>
  <c r="BJ306" i="1"/>
  <c r="BI305" i="1"/>
  <c r="BI308" i="1"/>
  <c r="BI16" i="1"/>
  <c r="BO11" i="1"/>
  <c r="AZ56" i="8"/>
  <c r="AZ80" i="8"/>
  <c r="AX49" i="4"/>
  <c r="BF15" i="4"/>
  <c r="BF122" i="4"/>
  <c r="BF44" i="4"/>
  <c r="BF226" i="4"/>
  <c r="BD361" i="1"/>
  <c r="AT61" i="8"/>
  <c r="AT45" i="8"/>
  <c r="AV60" i="8"/>
  <c r="AV44" i="8"/>
  <c r="BB18" i="1"/>
  <c r="BC18" i="1" s="1"/>
  <c r="BB20" i="1"/>
  <c r="BH46" i="4"/>
  <c r="BI231" i="4"/>
  <c r="BA431" i="1"/>
  <c r="AZ432" i="1"/>
  <c r="AZ435" i="1" s="1"/>
  <c r="BF226" i="1"/>
  <c r="BA18" i="8"/>
  <c r="BP316" i="1"/>
  <c r="BM306" i="1"/>
  <c r="BH172" i="4"/>
  <c r="BI172" i="4"/>
  <c r="BI160" i="4" s="1"/>
  <c r="BB16" i="8"/>
  <c r="AV45" i="8"/>
  <c r="AV61" i="8"/>
  <c r="BF33" i="4"/>
  <c r="BF199" i="4"/>
  <c r="AS77" i="4"/>
  <c r="BD47" i="4"/>
  <c r="BD49" i="4" s="1"/>
  <c r="CV65" i="8"/>
  <c r="AF86" i="8"/>
  <c r="BH39" i="4"/>
  <c r="BH33" i="5"/>
  <c r="BH35" i="5"/>
  <c r="BE30" i="5"/>
  <c r="BF30" i="5" s="1"/>
  <c r="CW45" i="8"/>
  <c r="BE60" i="5"/>
  <c r="BF60" i="5" s="1"/>
  <c r="CW67" i="8"/>
  <c r="BF150" i="5"/>
  <c r="BF156" i="5" s="1"/>
  <c r="BH305" i="1"/>
  <c r="BH307" i="1" s="1"/>
  <c r="BH308" i="1"/>
  <c r="BH16" i="1"/>
  <c r="BN310" i="1"/>
  <c r="AZ18" i="8"/>
  <c r="BM316" i="1"/>
  <c r="BL306" i="1"/>
  <c r="BF42" i="4"/>
  <c r="BF219" i="4"/>
  <c r="BF220" i="4" s="1"/>
  <c r="BF46" i="4"/>
  <c r="BF232" i="4"/>
  <c r="BF132" i="5" s="1"/>
  <c r="BF133" i="5" s="1"/>
  <c r="BP310" i="1"/>
  <c r="BA372" i="1"/>
  <c r="AZ373" i="1"/>
  <c r="AZ376" i="1" s="1"/>
  <c r="AS63" i="5"/>
  <c r="AS51" i="5" s="1"/>
  <c r="AT54" i="5"/>
  <c r="AT63" i="5" s="1"/>
  <c r="AZ58" i="8"/>
  <c r="AZ42" i="8"/>
  <c r="BF43" i="4"/>
  <c r="BF223" i="4"/>
  <c r="BD87" i="4"/>
  <c r="BD468" i="1"/>
  <c r="AB31" i="8"/>
  <c r="BJ226" i="1"/>
  <c r="BI36" i="4"/>
  <c r="BJ207" i="4"/>
  <c r="BP363" i="1"/>
  <c r="BR366" i="1"/>
  <c r="AT90" i="5"/>
  <c r="AJ40" i="1"/>
  <c r="AL40" i="1" s="1"/>
  <c r="Z31" i="8"/>
  <c r="AW45" i="8"/>
  <c r="AW61" i="8"/>
  <c r="AM254" i="1"/>
  <c r="BM224" i="1"/>
  <c r="BN225" i="1"/>
  <c r="BA318" i="1"/>
  <c r="BB318" i="1" s="1"/>
  <c r="AZ319" i="1"/>
  <c r="AZ322" i="1" s="1"/>
  <c r="BA22" i="1"/>
  <c r="AO23" i="8" s="1"/>
  <c r="BN228" i="1"/>
  <c r="BM234" i="1"/>
  <c r="BE36" i="5"/>
  <c r="BF36" i="5" s="1"/>
  <c r="CW57" i="8"/>
  <c r="BE61" i="5"/>
  <c r="BF61" i="5" s="1"/>
  <c r="CW66" i="8"/>
  <c r="BF35" i="4"/>
  <c r="BF205" i="4"/>
  <c r="BF16" i="1"/>
  <c r="BG16" i="1" s="1"/>
  <c r="BI42" i="4"/>
  <c r="BJ216" i="4"/>
  <c r="BJ217" i="4" s="1"/>
  <c r="BI219" i="4"/>
  <c r="BI220" i="4" s="1"/>
  <c r="BI37" i="4"/>
  <c r="BJ210" i="4"/>
  <c r="Y69" i="8"/>
  <c r="Y36" i="8"/>
  <c r="AS53" i="1"/>
  <c r="AT250" i="1"/>
  <c r="AT251" i="1" s="1"/>
  <c r="AS251" i="1"/>
  <c r="AS248" i="1"/>
  <c r="BP118" i="4"/>
  <c r="BP13" i="1"/>
  <c r="BT62" i="1" s="1"/>
  <c r="AT60" i="8"/>
  <c r="AT44" i="8"/>
  <c r="BA19" i="8"/>
  <c r="BP370" i="1"/>
  <c r="BM360" i="1"/>
  <c r="AW74" i="4"/>
  <c r="AW23" i="1"/>
  <c r="CO31" i="8" s="1"/>
  <c r="AK115" i="51"/>
  <c r="BB465" i="1"/>
  <c r="BJ176" i="4"/>
  <c r="CV62" i="8"/>
  <c r="AR34" i="1"/>
  <c r="AF28" i="8" s="1"/>
  <c r="AF68" i="8" s="1"/>
  <c r="BB361" i="1"/>
  <c r="BP234" i="1"/>
  <c r="BA56" i="8"/>
  <c r="BA80" i="8"/>
  <c r="BJ364" i="1"/>
  <c r="AX27" i="51" s="1"/>
  <c r="AX88" i="51" s="1"/>
  <c r="AX19" i="8"/>
  <c r="BN370" i="1"/>
  <c r="BR11" i="1"/>
  <c r="BR222" i="1"/>
  <c r="BF43" i="51" s="1"/>
  <c r="BF8" i="8"/>
  <c r="AX112" i="51"/>
  <c r="AX113" i="51" s="1"/>
  <c r="BN62" i="1"/>
  <c r="AM390" i="1"/>
  <c r="AX70" i="1"/>
  <c r="AY26" i="1"/>
  <c r="AZ25" i="1"/>
  <c r="BA236" i="1"/>
  <c r="BB236" i="1" s="1"/>
  <c r="AZ237" i="1"/>
  <c r="AZ240" i="1" s="1"/>
  <c r="BA89" i="4"/>
  <c r="BB89" i="4" s="1"/>
  <c r="BE39" i="4"/>
  <c r="BE33" i="5"/>
  <c r="BF33" i="5" s="1"/>
  <c r="CW56" i="8"/>
  <c r="AW165" i="4"/>
  <c r="AX58" i="8"/>
  <c r="AX42" i="8"/>
  <c r="AT28" i="1"/>
  <c r="AV395" i="1"/>
  <c r="AV394" i="1"/>
  <c r="AV386" i="1"/>
  <c r="AV387" i="1" s="1"/>
  <c r="BB62" i="5"/>
  <c r="BE15" i="8"/>
  <c r="BE50" i="8"/>
  <c r="BQ228" i="1"/>
  <c r="BT234" i="1" s="1"/>
  <c r="BR231" i="1"/>
  <c r="BE16" i="8"/>
  <c r="AU22" i="1"/>
  <c r="AI23" i="8" s="1"/>
  <c r="BH61" i="5"/>
  <c r="BH42" i="4"/>
  <c r="BH62" i="5" s="1"/>
  <c r="BH219" i="4"/>
  <c r="BH220" i="4" s="1"/>
  <c r="BH30" i="5"/>
  <c r="AW44" i="8"/>
  <c r="AW60" i="8"/>
  <c r="BF10" i="8"/>
  <c r="BF52" i="8" s="1"/>
  <c r="BR303" i="1"/>
  <c r="BF71" i="51" s="1"/>
  <c r="BL115" i="4"/>
  <c r="BL14" i="4" s="1"/>
  <c r="BL121" i="4"/>
  <c r="BL15" i="4" s="1"/>
  <c r="BL204" i="4"/>
  <c r="BL35" i="4" s="1"/>
  <c r="BL201" i="4"/>
  <c r="BL34" i="4" s="1"/>
  <c r="BL216" i="4"/>
  <c r="BL198" i="4"/>
  <c r="BL33" i="4" s="1"/>
  <c r="BL210" i="4"/>
  <c r="BL37" i="4" s="1"/>
  <c r="BL207" i="4"/>
  <c r="BL36" i="4" s="1"/>
  <c r="BL222" i="4"/>
  <c r="BL43" i="4" s="1"/>
  <c r="BL228" i="4"/>
  <c r="BL45" i="4" s="1"/>
  <c r="BL225" i="4"/>
  <c r="BL44" i="4" s="1"/>
  <c r="BF11" i="8"/>
  <c r="BF53" i="8" s="1"/>
  <c r="BR357" i="1"/>
  <c r="BF86" i="51" s="1"/>
  <c r="BF37" i="4"/>
  <c r="BF211" i="4"/>
  <c r="CF32" i="8"/>
  <c r="BE47" i="4"/>
  <c r="CW65" i="8"/>
  <c r="BE70" i="4"/>
  <c r="BE84" i="5"/>
  <c r="BF84" i="5" s="1"/>
  <c r="CW69" i="8"/>
  <c r="BV189" i="4" l="1"/>
  <c r="BU224" i="1"/>
  <c r="BV225" i="1"/>
  <c r="BT226" i="1"/>
  <c r="BX357" i="1"/>
  <c r="BL86" i="51" s="1"/>
  <c r="BX366" i="1"/>
  <c r="BV357" i="1"/>
  <c r="BJ86" i="51" s="1"/>
  <c r="BZ352" i="1"/>
  <c r="BZ356" i="1"/>
  <c r="BX303" i="1"/>
  <c r="BL71" i="51" s="1"/>
  <c r="BX313" i="1"/>
  <c r="BY222" i="1"/>
  <c r="BM43" i="51" s="1"/>
  <c r="BY231" i="1"/>
  <c r="BY225" i="1" s="1"/>
  <c r="BZ217" i="1"/>
  <c r="BZ221" i="1"/>
  <c r="BV366" i="1"/>
  <c r="BU363" i="1"/>
  <c r="BY363" i="1"/>
  <c r="BY360" i="1" s="1"/>
  <c r="BU306" i="1"/>
  <c r="BX316" i="1"/>
  <c r="BZ298" i="1"/>
  <c r="BZ302" i="1"/>
  <c r="BY310" i="1"/>
  <c r="BY306" i="1" s="1"/>
  <c r="BV303" i="1"/>
  <c r="BJ71" i="51" s="1"/>
  <c r="BZ180" i="4"/>
  <c r="BZ189" i="4" s="1"/>
  <c r="BT310" i="1"/>
  <c r="BX225" i="1"/>
  <c r="BX228" i="1"/>
  <c r="BY181" i="4"/>
  <c r="BY188" i="4" s="1"/>
  <c r="BY180" i="4" s="1"/>
  <c r="BY189" i="4" s="1"/>
  <c r="BX180" i="4"/>
  <c r="BX189" i="4" s="1"/>
  <c r="BY11" i="1"/>
  <c r="BU13" i="1"/>
  <c r="BU118" i="4"/>
  <c r="BV11" i="1"/>
  <c r="BT216" i="4"/>
  <c r="BT115" i="4"/>
  <c r="BT14" i="4" s="1"/>
  <c r="BT121" i="4"/>
  <c r="BT15" i="4" s="1"/>
  <c r="BT198" i="4"/>
  <c r="BT33" i="4" s="1"/>
  <c r="BT222" i="4"/>
  <c r="BT43" i="4" s="1"/>
  <c r="BT207" i="4"/>
  <c r="BT36" i="4" s="1"/>
  <c r="BT204" i="4"/>
  <c r="BT35" i="4" s="1"/>
  <c r="BT225" i="4"/>
  <c r="BT44" i="4" s="1"/>
  <c r="BT210" i="4"/>
  <c r="BT37" i="4" s="1"/>
  <c r="BT201" i="4"/>
  <c r="BT34" i="4" s="1"/>
  <c r="BT228" i="4"/>
  <c r="BT45" i="4" s="1"/>
  <c r="BX11" i="1"/>
  <c r="BV228" i="1"/>
  <c r="BU234" i="1"/>
  <c r="BT363" i="1"/>
  <c r="BH112" i="51"/>
  <c r="BT63" i="1"/>
  <c r="AP84" i="4"/>
  <c r="AP96" i="4" s="1"/>
  <c r="AO240" i="4"/>
  <c r="AO242" i="4" s="1"/>
  <c r="AQ239" i="4"/>
  <c r="AT96" i="4"/>
  <c r="AJ67" i="8"/>
  <c r="AJ119" i="51"/>
  <c r="AJ120" i="51" s="1"/>
  <c r="AP166" i="1"/>
  <c r="AP170" i="1"/>
  <c r="AL81" i="8"/>
  <c r="AL66" i="8"/>
  <c r="AL64" i="8"/>
  <c r="AL47" i="8"/>
  <c r="AO81" i="8"/>
  <c r="AO47" i="8"/>
  <c r="AO66" i="8"/>
  <c r="AO64" i="8"/>
  <c r="AN81" i="8"/>
  <c r="AN47" i="8"/>
  <c r="AN66" i="8"/>
  <c r="AN64" i="8"/>
  <c r="AI81" i="8"/>
  <c r="AI47" i="8"/>
  <c r="AJ81" i="8"/>
  <c r="AJ66" i="8"/>
  <c r="AJ64" i="8"/>
  <c r="AJ47" i="8"/>
  <c r="AJ27" i="8"/>
  <c r="AT34" i="1"/>
  <c r="AH28" i="8" s="1"/>
  <c r="AH25" i="8"/>
  <c r="AN24" i="8"/>
  <c r="X76" i="8"/>
  <c r="AZ96" i="4"/>
  <c r="BA96" i="4" s="1"/>
  <c r="BB96" i="4" s="1"/>
  <c r="AX96" i="4"/>
  <c r="Y76" i="8"/>
  <c r="AB69" i="8"/>
  <c r="AK74" i="1"/>
  <c r="AK175" i="1"/>
  <c r="AT91" i="5"/>
  <c r="Y83" i="8"/>
  <c r="AX239" i="1"/>
  <c r="AX258" i="1" s="1"/>
  <c r="BB237" i="1"/>
  <c r="CW70" i="8"/>
  <c r="CX60" i="8"/>
  <c r="BF16" i="8"/>
  <c r="AZ246" i="1"/>
  <c r="AZ239" i="1"/>
  <c r="AZ242" i="1"/>
  <c r="AK116" i="51"/>
  <c r="AK117" i="51"/>
  <c r="AT53" i="1"/>
  <c r="BN229" i="1"/>
  <c r="BB12" i="51" s="1"/>
  <c r="BB45" i="51" s="1"/>
  <c r="BR234" i="1"/>
  <c r="Z69" i="8"/>
  <c r="BI35" i="5"/>
  <c r="BJ35" i="5" s="1"/>
  <c r="BN306" i="1"/>
  <c r="BM305" i="1"/>
  <c r="BM308" i="1"/>
  <c r="BD431" i="1"/>
  <c r="BA432" i="1"/>
  <c r="BA435" i="1" s="1"/>
  <c r="BB435" i="1" s="1"/>
  <c r="BI307" i="1"/>
  <c r="BJ305" i="1"/>
  <c r="BJ307" i="1" s="1"/>
  <c r="BP226" i="1"/>
  <c r="BI32" i="5"/>
  <c r="BJ32" i="5" s="1"/>
  <c r="AS330" i="1"/>
  <c r="AT329" i="1"/>
  <c r="BB278" i="1"/>
  <c r="BF60" i="1"/>
  <c r="BF63" i="1"/>
  <c r="BF64" i="1" s="1"/>
  <c r="AS78" i="4"/>
  <c r="CK32" i="8" s="1"/>
  <c r="BB42" i="8"/>
  <c r="BB58" i="8"/>
  <c r="BI46" i="4"/>
  <c r="BI47" i="4" s="1"/>
  <c r="BJ231" i="4"/>
  <c r="BL231" i="4"/>
  <c r="CX45" i="8"/>
  <c r="BI20" i="1"/>
  <c r="BI18" i="1"/>
  <c r="BJ308" i="1"/>
  <c r="BJ16" i="1"/>
  <c r="BK16" i="1" s="1"/>
  <c r="BR224" i="1"/>
  <c r="BQ226" i="1"/>
  <c r="BJ148" i="5"/>
  <c r="BJ152" i="5" s="1"/>
  <c r="AZ61" i="8"/>
  <c r="AZ45" i="8"/>
  <c r="AW250" i="1"/>
  <c r="AW258" i="1"/>
  <c r="AS37" i="1"/>
  <c r="AS55" i="1"/>
  <c r="AS68" i="1"/>
  <c r="AG122" i="51"/>
  <c r="AS35" i="1"/>
  <c r="BJ35" i="4"/>
  <c r="BJ205" i="4"/>
  <c r="AH117" i="51"/>
  <c r="BE19" i="8"/>
  <c r="BQ360" i="1"/>
  <c r="BI361" i="1"/>
  <c r="BJ359" i="1"/>
  <c r="BD22" i="1"/>
  <c r="BQ63" i="1"/>
  <c r="BE112" i="51"/>
  <c r="BE113" i="51" s="1"/>
  <c r="AX282" i="1"/>
  <c r="AL18" i="51" s="1"/>
  <c r="AL62" i="51" s="1"/>
  <c r="AX283" i="1"/>
  <c r="AX280" i="1"/>
  <c r="CX44" i="8"/>
  <c r="AK119" i="51"/>
  <c r="AK120" i="51" s="1"/>
  <c r="BA90" i="4"/>
  <c r="AR81" i="4"/>
  <c r="AR69" i="1"/>
  <c r="BM64" i="1"/>
  <c r="BM59" i="1"/>
  <c r="AJ116" i="51"/>
  <c r="AJ117" i="51"/>
  <c r="Y37" i="8"/>
  <c r="Y72" i="8" s="1"/>
  <c r="BJ33" i="4"/>
  <c r="BJ199" i="4"/>
  <c r="BJ43" i="4"/>
  <c r="BJ223" i="4"/>
  <c r="AB82" i="8"/>
  <c r="AW286" i="1"/>
  <c r="BM44" i="4"/>
  <c r="BN225" i="4"/>
  <c r="BM34" i="4"/>
  <c r="BN201" i="4"/>
  <c r="BM14" i="4"/>
  <c r="BN115" i="4"/>
  <c r="BN116" i="4" s="1"/>
  <c r="BI30" i="5"/>
  <c r="BJ30" i="5" s="1"/>
  <c r="BE87" i="4"/>
  <c r="BE468" i="1"/>
  <c r="BL35" i="5"/>
  <c r="AZ28" i="1"/>
  <c r="AN25" i="8" s="1"/>
  <c r="AN67" i="8" s="1"/>
  <c r="AZ179" i="1"/>
  <c r="BP115" i="4"/>
  <c r="BP14" i="4" s="1"/>
  <c r="BP121" i="4"/>
  <c r="BP15" i="4" s="1"/>
  <c r="BP201" i="4"/>
  <c r="BP34" i="4" s="1"/>
  <c r="BP216" i="4"/>
  <c r="BP198" i="4"/>
  <c r="BP33" i="4" s="1"/>
  <c r="BP210" i="4"/>
  <c r="BP37" i="4" s="1"/>
  <c r="BP207" i="4"/>
  <c r="BP36" i="4" s="1"/>
  <c r="BP204" i="4"/>
  <c r="BP35" i="4" s="1"/>
  <c r="BP228" i="4"/>
  <c r="BP45" i="4" s="1"/>
  <c r="BP225" i="4"/>
  <c r="BP44" i="4" s="1"/>
  <c r="BP222" i="4"/>
  <c r="BP43" i="4" s="1"/>
  <c r="BM226" i="1"/>
  <c r="BN224" i="1"/>
  <c r="Z34" i="8"/>
  <c r="Z70" i="8" s="1"/>
  <c r="AT51" i="5"/>
  <c r="BH20" i="1"/>
  <c r="BH18" i="1"/>
  <c r="BB22" i="1"/>
  <c r="BI60" i="5"/>
  <c r="BJ60" i="5" s="1"/>
  <c r="AH86" i="8"/>
  <c r="BJ59" i="1"/>
  <c r="BI60" i="1"/>
  <c r="BD88" i="4"/>
  <c r="BL64" i="1"/>
  <c r="BL59" i="1"/>
  <c r="BL60" i="1" s="1"/>
  <c r="AR78" i="4"/>
  <c r="CJ32" i="8" s="1"/>
  <c r="BB156" i="4"/>
  <c r="BB24" i="4" s="1"/>
  <c r="CT52" i="8" s="1"/>
  <c r="BB166" i="4"/>
  <c r="BB112" i="51"/>
  <c r="BB113" i="51" s="1"/>
  <c r="BR62" i="1"/>
  <c r="BR228" i="1"/>
  <c r="BV234" i="1" s="1"/>
  <c r="BQ234" i="1"/>
  <c r="AM89" i="1"/>
  <c r="BI36" i="5"/>
  <c r="BJ36" i="5" s="1"/>
  <c r="AX74" i="4"/>
  <c r="AX23" i="1"/>
  <c r="CP31" i="8" s="1"/>
  <c r="AL115" i="51"/>
  <c r="BM43" i="4"/>
  <c r="BN222" i="4"/>
  <c r="BM42" i="4"/>
  <c r="BN216" i="4"/>
  <c r="BN217" i="4" s="1"/>
  <c r="BM219" i="4"/>
  <c r="BM220" i="4" s="1"/>
  <c r="BM15" i="4"/>
  <c r="BN121" i="4"/>
  <c r="BJ15" i="4"/>
  <c r="BJ122" i="4"/>
  <c r="CX57" i="8"/>
  <c r="AX339" i="1"/>
  <c r="BE74" i="4"/>
  <c r="BE23" i="1"/>
  <c r="AS115" i="51"/>
  <c r="AS23" i="8"/>
  <c r="BL60" i="5"/>
  <c r="BL34" i="5"/>
  <c r="BE80" i="8"/>
  <c r="BE56" i="8"/>
  <c r="BJ150" i="5"/>
  <c r="BJ156" i="5" s="1"/>
  <c r="BN360" i="1"/>
  <c r="BM359" i="1"/>
  <c r="BP63" i="1"/>
  <c r="BD112" i="51"/>
  <c r="BD113" i="51" s="1"/>
  <c r="AT248" i="1"/>
  <c r="AS249" i="1"/>
  <c r="BJ37" i="4"/>
  <c r="BJ211" i="4"/>
  <c r="BF18" i="1"/>
  <c r="BG18" i="1" s="1"/>
  <c r="BF20" i="1"/>
  <c r="BB319" i="1"/>
  <c r="BM16" i="1"/>
  <c r="BR363" i="1"/>
  <c r="BV370" i="1" s="1"/>
  <c r="BD19" i="8"/>
  <c r="BQ370" i="1"/>
  <c r="BP360" i="1"/>
  <c r="BD372" i="1"/>
  <c r="BA373" i="1"/>
  <c r="BA376" i="1" s="1"/>
  <c r="BB376" i="1" s="1"/>
  <c r="BF47" i="4"/>
  <c r="CX65" i="8"/>
  <c r="BN311" i="1"/>
  <c r="BB22" i="51" s="1"/>
  <c r="BB73" i="51" s="1"/>
  <c r="BB18" i="8"/>
  <c r="BR316" i="1"/>
  <c r="BL39" i="4"/>
  <c r="BL33" i="5"/>
  <c r="BL30" i="5"/>
  <c r="BH47" i="4"/>
  <c r="BH49" i="4" s="1"/>
  <c r="AH119" i="51"/>
  <c r="BE49" i="4"/>
  <c r="CW62" i="8"/>
  <c r="BD89" i="4"/>
  <c r="BR118" i="4"/>
  <c r="BR13" i="1"/>
  <c r="AR37" i="1"/>
  <c r="AR55" i="1"/>
  <c r="AR68" i="1"/>
  <c r="AF122" i="51"/>
  <c r="AF123" i="51" s="1"/>
  <c r="AR35" i="1"/>
  <c r="BJ168" i="4"/>
  <c r="BN169" i="4" s="1"/>
  <c r="BL169" i="4"/>
  <c r="AW77" i="4"/>
  <c r="BS11" i="1"/>
  <c r="BA74" i="4"/>
  <c r="BA23" i="1"/>
  <c r="CS31" i="8" s="1"/>
  <c r="AO115" i="51"/>
  <c r="BD318" i="1"/>
  <c r="BA319" i="1"/>
  <c r="BA322" i="1" s="1"/>
  <c r="BB322" i="1" s="1"/>
  <c r="Z38" i="8"/>
  <c r="AT32" i="1"/>
  <c r="BB372" i="1"/>
  <c r="BL305" i="1"/>
  <c r="BL307" i="1" s="1"/>
  <c r="BL16" i="1"/>
  <c r="BL308" i="1"/>
  <c r="CV70" i="8"/>
  <c r="BA60" i="8"/>
  <c r="BA44" i="8"/>
  <c r="AZ434" i="1"/>
  <c r="AZ437" i="1"/>
  <c r="BH70" i="4"/>
  <c r="BH84" i="5"/>
  <c r="AV332" i="1"/>
  <c r="AV329" i="1"/>
  <c r="BB19" i="8"/>
  <c r="BN364" i="1"/>
  <c r="BB27" i="51" s="1"/>
  <c r="BB88" i="51" s="1"/>
  <c r="BR370" i="1"/>
  <c r="BB90" i="4"/>
  <c r="AS31" i="1"/>
  <c r="BI34" i="5"/>
  <c r="BJ34" i="5" s="1"/>
  <c r="AZ74" i="4"/>
  <c r="AZ23" i="1"/>
  <c r="CR31" i="8" s="1"/>
  <c r="AN115" i="51"/>
  <c r="AT77" i="4"/>
  <c r="AV53" i="1"/>
  <c r="AV54" i="1" s="1"/>
  <c r="AV251" i="1"/>
  <c r="AV248" i="1"/>
  <c r="AW331" i="1"/>
  <c r="AW339" i="1"/>
  <c r="BA278" i="1"/>
  <c r="BA281" i="1" s="1"/>
  <c r="BB281" i="1" s="1"/>
  <c r="BD277" i="1"/>
  <c r="AX60" i="8"/>
  <c r="AX44" i="8"/>
  <c r="AV384" i="1"/>
  <c r="BH361" i="1"/>
  <c r="BD26" i="1"/>
  <c r="BE465" i="1"/>
  <c r="BF465" i="1" s="1"/>
  <c r="BD466" i="1"/>
  <c r="AR22" i="8" s="1"/>
  <c r="AR63" i="8" s="1"/>
  <c r="AY22" i="1"/>
  <c r="AM23" i="8" s="1"/>
  <c r="BD58" i="8"/>
  <c r="BD42" i="8"/>
  <c r="Y39" i="8"/>
  <c r="Y74" i="8" s="1"/>
  <c r="BI39" i="4"/>
  <c r="BI33" i="5"/>
  <c r="BJ33" i="5" s="1"/>
  <c r="BI61" i="5"/>
  <c r="BJ61" i="5" s="1"/>
  <c r="CX59" i="8"/>
  <c r="BM37" i="4"/>
  <c r="BN210" i="4"/>
  <c r="BM35" i="4"/>
  <c r="BN204" i="4"/>
  <c r="BJ45" i="4"/>
  <c r="BJ229" i="4"/>
  <c r="BL36" i="5"/>
  <c r="AX45" i="8"/>
  <c r="AX61" i="8"/>
  <c r="BJ42" i="4"/>
  <c r="BJ219" i="4"/>
  <c r="BJ220" i="4" s="1"/>
  <c r="BF70" i="4"/>
  <c r="CX69" i="8"/>
  <c r="AZ60" i="8"/>
  <c r="AZ44" i="8"/>
  <c r="AT385" i="1"/>
  <c r="AT388" i="1"/>
  <c r="BL61" i="5"/>
  <c r="BL42" i="4"/>
  <c r="BL219" i="4"/>
  <c r="BL220" i="4" s="1"/>
  <c r="BL32" i="5"/>
  <c r="BE58" i="8"/>
  <c r="BE42" i="8"/>
  <c r="BA25" i="1"/>
  <c r="BD236" i="1"/>
  <c r="BA237" i="1"/>
  <c r="BA240" i="1" s="1"/>
  <c r="BB240" i="1" s="1"/>
  <c r="BF15" i="8"/>
  <c r="BF50" i="8"/>
  <c r="BB26" i="1"/>
  <c r="BB469" i="1"/>
  <c r="BB466" i="1"/>
  <c r="BA45" i="8"/>
  <c r="BA61" i="8"/>
  <c r="CX58" i="8"/>
  <c r="AZ321" i="1"/>
  <c r="AZ327" i="1"/>
  <c r="Z36" i="8"/>
  <c r="BJ36" i="4"/>
  <c r="BJ208" i="4"/>
  <c r="AB34" i="8"/>
  <c r="AB83" i="8" s="1"/>
  <c r="CX66" i="8"/>
  <c r="AZ382" i="1"/>
  <c r="AZ375" i="1"/>
  <c r="AZ378" i="1"/>
  <c r="BR310" i="1"/>
  <c r="BV316" i="1" s="1"/>
  <c r="BD18" i="8"/>
  <c r="BQ316" i="1"/>
  <c r="BP306" i="1"/>
  <c r="BF39" i="4"/>
  <c r="CX56" i="8"/>
  <c r="BH160" i="4"/>
  <c r="BJ160" i="4" s="1"/>
  <c r="BH176" i="4"/>
  <c r="BB431" i="1"/>
  <c r="BB432" i="1" s="1"/>
  <c r="CX67" i="8"/>
  <c r="BL359" i="1"/>
  <c r="BB80" i="8"/>
  <c r="BB56" i="8"/>
  <c r="BE168" i="4"/>
  <c r="BE177" i="4" s="1"/>
  <c r="AV22" i="4"/>
  <c r="CN50" i="8" s="1"/>
  <c r="AW137" i="4"/>
  <c r="AW145" i="4" s="1"/>
  <c r="BJ14" i="4"/>
  <c r="BJ44" i="4"/>
  <c r="BJ226" i="4"/>
  <c r="BE18" i="8"/>
  <c r="BQ306" i="1"/>
  <c r="BC20" i="1"/>
  <c r="AV90" i="5"/>
  <c r="AV83" i="5" s="1"/>
  <c r="AV32" i="1"/>
  <c r="AV34" i="1"/>
  <c r="AJ28" i="8" s="1"/>
  <c r="AJ68" i="8" s="1"/>
  <c r="AZ283" i="1"/>
  <c r="AZ280" i="1"/>
  <c r="BJ149" i="5"/>
  <c r="BJ154" i="5" s="1"/>
  <c r="AU28" i="1"/>
  <c r="AI25" i="8" s="1"/>
  <c r="BQ115" i="4"/>
  <c r="BQ121" i="4"/>
  <c r="BQ204" i="4"/>
  <c r="BQ201" i="4"/>
  <c r="BQ216" i="4"/>
  <c r="BQ198" i="4"/>
  <c r="BQ210" i="4"/>
  <c r="BQ207" i="4"/>
  <c r="BQ222" i="4"/>
  <c r="BQ228" i="4"/>
  <c r="BQ225" i="4"/>
  <c r="AZ156" i="4"/>
  <c r="AZ24" i="4" s="1"/>
  <c r="CR52" i="8" s="1"/>
  <c r="BA157" i="4"/>
  <c r="BA164" i="4" s="1"/>
  <c r="AZ166" i="4"/>
  <c r="CX68" i="8"/>
  <c r="AX28" i="1"/>
  <c r="AL25" i="8" s="1"/>
  <c r="AL67" i="8" s="1"/>
  <c r="AX179" i="1"/>
  <c r="AY25" i="1"/>
  <c r="AM24" i="8" s="1"/>
  <c r="BA70" i="1"/>
  <c r="AV77" i="4"/>
  <c r="AK183" i="1"/>
  <c r="AK184" i="1" s="1"/>
  <c r="BJ34" i="4"/>
  <c r="BJ202" i="4"/>
  <c r="Z82" i="8"/>
  <c r="BM45" i="4"/>
  <c r="BN228" i="4"/>
  <c r="BM33" i="4"/>
  <c r="BN198" i="4"/>
  <c r="BM36" i="4"/>
  <c r="BN207" i="4"/>
  <c r="BF361" i="1"/>
  <c r="BD56" i="8"/>
  <c r="BD80" i="8"/>
  <c r="BI62" i="5"/>
  <c r="BJ62" i="5" s="1"/>
  <c r="BB49" i="4"/>
  <c r="BD96" i="4" l="1"/>
  <c r="AT68" i="1"/>
  <c r="AT35" i="1"/>
  <c r="AU34" i="1"/>
  <c r="AI28" i="8" s="1"/>
  <c r="BY234" i="1"/>
  <c r="BZ303" i="1"/>
  <c r="BN71" i="51" s="1"/>
  <c r="BV229" i="1"/>
  <c r="BJ12" i="51" s="1"/>
  <c r="BJ45" i="51" s="1"/>
  <c r="BZ234" i="1"/>
  <c r="BT219" i="4"/>
  <c r="BT220" i="4" s="1"/>
  <c r="BT42" i="4"/>
  <c r="BX118" i="4"/>
  <c r="BX13" i="1"/>
  <c r="BV13" i="1"/>
  <c r="BW13" i="1" s="1"/>
  <c r="BV118" i="4"/>
  <c r="BW11" i="1"/>
  <c r="BX224" i="1"/>
  <c r="BY224" i="1"/>
  <c r="BZ225" i="1"/>
  <c r="BY16" i="1"/>
  <c r="BZ366" i="1"/>
  <c r="BX363" i="1"/>
  <c r="BV310" i="1"/>
  <c r="BU316" i="1"/>
  <c r="BT306" i="1"/>
  <c r="BV306" i="1" s="1"/>
  <c r="BU305" i="1"/>
  <c r="BU308" i="1"/>
  <c r="BU216" i="4"/>
  <c r="BU121" i="4"/>
  <c r="BU115" i="4"/>
  <c r="BU210" i="4"/>
  <c r="BU204" i="4"/>
  <c r="BU198" i="4"/>
  <c r="BU225" i="4"/>
  <c r="BU228" i="4"/>
  <c r="BU207" i="4"/>
  <c r="BU201" i="4"/>
  <c r="BU222" i="4"/>
  <c r="BX310" i="1"/>
  <c r="BU63" i="1"/>
  <c r="BI112" i="51"/>
  <c r="BI113" i="51" s="1"/>
  <c r="BY62" i="1"/>
  <c r="BY359" i="1"/>
  <c r="BT64" i="1"/>
  <c r="BT59" i="1"/>
  <c r="BT60" i="1" s="1"/>
  <c r="BY118" i="4"/>
  <c r="BY13" i="1"/>
  <c r="BX370" i="1"/>
  <c r="BU360" i="1"/>
  <c r="BU16" i="1" s="1"/>
  <c r="BV62" i="1"/>
  <c r="BH113" i="51"/>
  <c r="BY308" i="1"/>
  <c r="BY305" i="1"/>
  <c r="BZ11" i="1"/>
  <c r="BZ222" i="1"/>
  <c r="BN43" i="51" s="1"/>
  <c r="BT39" i="4"/>
  <c r="BZ357" i="1"/>
  <c r="BN86" i="51" s="1"/>
  <c r="BV363" i="1"/>
  <c r="BU370" i="1"/>
  <c r="BT360" i="1"/>
  <c r="BZ313" i="1"/>
  <c r="BY228" i="1"/>
  <c r="BZ228" i="1" s="1"/>
  <c r="BZ229" i="1" s="1"/>
  <c r="BN12" i="51" s="1"/>
  <c r="BN45" i="51" s="1"/>
  <c r="BZ231" i="1"/>
  <c r="BU226" i="1"/>
  <c r="BV224" i="1"/>
  <c r="AH122" i="51"/>
  <c r="AM81" i="8"/>
  <c r="AM66" i="8"/>
  <c r="AM64" i="8"/>
  <c r="AM47" i="8"/>
  <c r="BC22" i="1"/>
  <c r="AP23" i="8"/>
  <c r="AG30" i="8"/>
  <c r="AO24" i="8"/>
  <c r="AF30" i="8"/>
  <c r="Z83" i="8"/>
  <c r="AL74" i="1"/>
  <c r="AL175" i="1"/>
  <c r="AL180" i="1" s="1"/>
  <c r="AK185" i="1"/>
  <c r="AK186" i="1" s="1"/>
  <c r="AL184" i="1"/>
  <c r="AL185" i="1" s="1"/>
  <c r="AL186" i="1" s="1"/>
  <c r="AK180" i="1"/>
  <c r="AK176" i="1"/>
  <c r="AL176" i="1" s="1"/>
  <c r="AR71" i="1"/>
  <c r="BN16" i="1"/>
  <c r="BN20" i="1" s="1"/>
  <c r="BD90" i="4"/>
  <c r="BB165" i="4"/>
  <c r="BJ177" i="4"/>
  <c r="BE89" i="4"/>
  <c r="BF89" i="4" s="1"/>
  <c r="BE88" i="4"/>
  <c r="BF88" i="4" s="1"/>
  <c r="BB242" i="1"/>
  <c r="BB241" i="1"/>
  <c r="AP13" i="51" s="1"/>
  <c r="AP49" i="51" s="1"/>
  <c r="BB246" i="1"/>
  <c r="BB239" i="1"/>
  <c r="BQ44" i="4"/>
  <c r="BT60" i="5" s="1"/>
  <c r="BR225" i="4"/>
  <c r="BB282" i="1"/>
  <c r="AP18" i="51" s="1"/>
  <c r="AP62" i="51" s="1"/>
  <c r="BB280" i="1"/>
  <c r="BB283" i="1"/>
  <c r="BF49" i="4"/>
  <c r="CX62" i="8"/>
  <c r="BF56" i="8"/>
  <c r="BF80" i="8"/>
  <c r="BN150" i="5"/>
  <c r="BN156" i="5" s="1"/>
  <c r="BF22" i="1"/>
  <c r="BG22" i="1" s="1"/>
  <c r="AS117" i="51"/>
  <c r="AS116" i="51"/>
  <c r="BQ59" i="1"/>
  <c r="BQ64" i="1"/>
  <c r="AQ390" i="1"/>
  <c r="BG20" i="1"/>
  <c r="AS39" i="1"/>
  <c r="AG31" i="8" s="1"/>
  <c r="AW251" i="1"/>
  <c r="AX250" i="1"/>
  <c r="AX251" i="1" s="1"/>
  <c r="AW248" i="1"/>
  <c r="BN148" i="5"/>
  <c r="BN152" i="5" s="1"/>
  <c r="BM39" i="4"/>
  <c r="BM33" i="5"/>
  <c r="BN33" i="5" s="1"/>
  <c r="BQ45" i="4"/>
  <c r="BR228" i="4"/>
  <c r="BQ15" i="4"/>
  <c r="BR121" i="4"/>
  <c r="AQ254" i="1"/>
  <c r="BA28" i="1"/>
  <c r="AO25" i="8" s="1"/>
  <c r="AO67" i="8" s="1"/>
  <c r="BB25" i="1"/>
  <c r="BA179" i="1"/>
  <c r="Z39" i="8"/>
  <c r="Z74" i="8" s="1"/>
  <c r="BF26" i="1"/>
  <c r="BF466" i="1"/>
  <c r="AT22" i="8" s="1"/>
  <c r="AT63" i="8" s="1"/>
  <c r="AZ77" i="4"/>
  <c r="BB45" i="8"/>
  <c r="BB61" i="8"/>
  <c r="AV330" i="1"/>
  <c r="AV333" i="1"/>
  <c r="AV335" i="1" s="1"/>
  <c r="BH87" i="4"/>
  <c r="BH468" i="1"/>
  <c r="BL20" i="1"/>
  <c r="BL18" i="1"/>
  <c r="BB373" i="1"/>
  <c r="BB375" i="1" s="1"/>
  <c r="BN172" i="4"/>
  <c r="BN176" i="4" s="1"/>
  <c r="BN149" i="5"/>
  <c r="BN154" i="5" s="1"/>
  <c r="BE372" i="1"/>
  <c r="BF372" i="1" s="1"/>
  <c r="BD373" i="1"/>
  <c r="BD376" i="1" s="1"/>
  <c r="BR364" i="1"/>
  <c r="BF27" i="51" s="1"/>
  <c r="BF88" i="51" s="1"/>
  <c r="BF19" i="8"/>
  <c r="BM20" i="1"/>
  <c r="BM18" i="1"/>
  <c r="CW31" i="8"/>
  <c r="BE77" i="4"/>
  <c r="BN42" i="4"/>
  <c r="BN219" i="4"/>
  <c r="BN220" i="4" s="1"/>
  <c r="BN226" i="1"/>
  <c r="BP34" i="5"/>
  <c r="BP42" i="4"/>
  <c r="BP62" i="5" s="1"/>
  <c r="BP219" i="4"/>
  <c r="BP220" i="4" s="1"/>
  <c r="AN119" i="51"/>
  <c r="AN120" i="51" s="1"/>
  <c r="BM36" i="5"/>
  <c r="BN36" i="5" s="1"/>
  <c r="BQ359" i="1"/>
  <c r="BR360" i="1"/>
  <c r="CC10" i="8"/>
  <c r="BR226" i="1"/>
  <c r="BJ18" i="1"/>
  <c r="BK18" i="1" s="1"/>
  <c r="BJ20" i="1"/>
  <c r="BK20" i="1" s="1"/>
  <c r="BL46" i="4"/>
  <c r="BL47" i="4" s="1"/>
  <c r="BM231" i="4"/>
  <c r="BN33" i="4"/>
  <c r="BN199" i="4"/>
  <c r="AL183" i="1"/>
  <c r="BQ37" i="4"/>
  <c r="BR210" i="4"/>
  <c r="BQ35" i="4"/>
  <c r="BR204" i="4"/>
  <c r="AV37" i="1"/>
  <c r="AJ30" i="8" s="1"/>
  <c r="AV55" i="1"/>
  <c r="AV68" i="1"/>
  <c r="AJ122" i="51"/>
  <c r="AJ123" i="51" s="1"/>
  <c r="AV35" i="1"/>
  <c r="BE60" i="8"/>
  <c r="BE44" i="8"/>
  <c r="AV54" i="5"/>
  <c r="CD9" i="8"/>
  <c r="BB70" i="1"/>
  <c r="BC26" i="1"/>
  <c r="BD25" i="1"/>
  <c r="BE236" i="1"/>
  <c r="BF236" i="1" s="1"/>
  <c r="BD237" i="1"/>
  <c r="BD240" i="1" s="1"/>
  <c r="BA280" i="1"/>
  <c r="BA283" i="1"/>
  <c r="BE318" i="1"/>
  <c r="BF318" i="1" s="1"/>
  <c r="BD319" i="1"/>
  <c r="BD322" i="1" s="1"/>
  <c r="BD45" i="8"/>
  <c r="BD61" i="8"/>
  <c r="AT249" i="1"/>
  <c r="AT252" i="1"/>
  <c r="BM61" i="5"/>
  <c r="BN61" i="5" s="1"/>
  <c r="BR229" i="1"/>
  <c r="BF12" i="51" s="1"/>
  <c r="BF45" i="51" s="1"/>
  <c r="BH22" i="1"/>
  <c r="AZ165" i="4"/>
  <c r="BQ33" i="4"/>
  <c r="BR198" i="4"/>
  <c r="BE96" i="4"/>
  <c r="BD60" i="8"/>
  <c r="BD44" i="8"/>
  <c r="AB70" i="8"/>
  <c r="BN36" i="4"/>
  <c r="BN208" i="4"/>
  <c r="BN45" i="4"/>
  <c r="BN229" i="4"/>
  <c r="CD17" i="8"/>
  <c r="AV78" i="4"/>
  <c r="CN32" i="8" s="1"/>
  <c r="BA156" i="4"/>
  <c r="BA24" i="4" s="1"/>
  <c r="CS52" i="8" s="1"/>
  <c r="BA166" i="4"/>
  <c r="BD157" i="4"/>
  <c r="BQ43" i="4"/>
  <c r="BT61" i="5" s="1"/>
  <c r="BR222" i="4"/>
  <c r="BQ42" i="4"/>
  <c r="BR216" i="4"/>
  <c r="BR217" i="4" s="1"/>
  <c r="BQ219" i="4"/>
  <c r="BQ220" i="4" s="1"/>
  <c r="BQ14" i="4"/>
  <c r="BT32" i="5" s="1"/>
  <c r="BR115" i="4"/>
  <c r="BR116" i="4" s="1"/>
  <c r="BI169" i="4"/>
  <c r="BI176" i="4" s="1"/>
  <c r="BH168" i="4"/>
  <c r="BH177" i="4" s="1"/>
  <c r="BR311" i="1"/>
  <c r="BF22" i="51" s="1"/>
  <c r="BF73" i="51" s="1"/>
  <c r="BF18" i="8"/>
  <c r="BB382" i="1"/>
  <c r="BB323" i="1"/>
  <c r="AP23" i="51" s="1"/>
  <c r="AP77" i="51" s="1"/>
  <c r="BB321" i="1"/>
  <c r="BB327" i="1"/>
  <c r="BA246" i="1"/>
  <c r="BA239" i="1"/>
  <c r="BA242" i="1"/>
  <c r="AS388" i="1"/>
  <c r="AT390" i="1"/>
  <c r="BN35" i="4"/>
  <c r="BN205" i="4"/>
  <c r="BI49" i="4"/>
  <c r="BE26" i="1"/>
  <c r="BH465" i="1"/>
  <c r="BE466" i="1"/>
  <c r="AS22" i="8" s="1"/>
  <c r="AS63" i="8" s="1"/>
  <c r="AV385" i="1"/>
  <c r="AV388" i="1"/>
  <c r="AV390" i="1" s="1"/>
  <c r="BD278" i="1"/>
  <c r="BD281" i="1" s="1"/>
  <c r="BE277" i="1"/>
  <c r="AV249" i="1"/>
  <c r="AV252" i="1"/>
  <c r="AV254" i="1" s="1"/>
  <c r="AT78" i="4"/>
  <c r="CL32" i="8" s="1"/>
  <c r="AS81" i="4"/>
  <c r="AS69" i="1"/>
  <c r="AS71" i="1" s="1"/>
  <c r="AT31" i="1"/>
  <c r="BA321" i="1"/>
  <c r="BA327" i="1"/>
  <c r="AO116" i="51"/>
  <c r="AO117" i="51"/>
  <c r="AW78" i="4"/>
  <c r="CO32" i="8" s="1"/>
  <c r="AR51" i="1"/>
  <c r="AR52" i="1" s="1"/>
  <c r="AR56" i="1"/>
  <c r="BP359" i="1"/>
  <c r="BP59" i="1"/>
  <c r="BP60" i="1" s="1"/>
  <c r="BP64" i="1"/>
  <c r="BN15" i="4"/>
  <c r="BN122" i="4"/>
  <c r="AL117" i="51"/>
  <c r="AL116" i="51"/>
  <c r="AM237" i="4"/>
  <c r="BJ60" i="1"/>
  <c r="BJ63" i="1"/>
  <c r="BJ64" i="1" s="1"/>
  <c r="Z37" i="8"/>
  <c r="Z72" i="8" s="1"/>
  <c r="BP61" i="5"/>
  <c r="BP35" i="5"/>
  <c r="BP36" i="5"/>
  <c r="BN14" i="4"/>
  <c r="BN44" i="4"/>
  <c r="BN226" i="4"/>
  <c r="BJ361" i="1"/>
  <c r="BE61" i="8"/>
  <c r="BE45" i="8"/>
  <c r="BI22" i="1"/>
  <c r="BJ46" i="4"/>
  <c r="BJ47" i="4" s="1"/>
  <c r="BJ232" i="4"/>
  <c r="BJ132" i="5" s="1"/>
  <c r="BJ133" i="5" s="1"/>
  <c r="AT330" i="1"/>
  <c r="AT333" i="1"/>
  <c r="BA437" i="1"/>
  <c r="BA434" i="1"/>
  <c r="BM307" i="1"/>
  <c r="BN305" i="1"/>
  <c r="BN307" i="1" s="1"/>
  <c r="AZ30" i="1"/>
  <c r="AZ258" i="1"/>
  <c r="AZ250" i="1"/>
  <c r="BF58" i="8"/>
  <c r="BF42" i="8"/>
  <c r="BN37" i="4"/>
  <c r="BN211" i="4"/>
  <c r="AX331" i="1"/>
  <c r="AX332" i="1" s="1"/>
  <c r="AW332" i="1"/>
  <c r="AW329" i="1"/>
  <c r="BF112" i="51"/>
  <c r="BF113" i="51" s="1"/>
  <c r="BB44" i="8"/>
  <c r="BB60" i="8"/>
  <c r="BM361" i="1"/>
  <c r="BN359" i="1"/>
  <c r="BP39" i="4"/>
  <c r="BP33" i="5"/>
  <c r="BP32" i="5"/>
  <c r="BN34" i="4"/>
  <c r="BN202" i="4"/>
  <c r="BJ39" i="4"/>
  <c r="BM35" i="5"/>
  <c r="BN35" i="5" s="1"/>
  <c r="BM62" i="5"/>
  <c r="AL119" i="51"/>
  <c r="AL120" i="51" s="1"/>
  <c r="AY28" i="1"/>
  <c r="AM25" i="8" s="1"/>
  <c r="AM67" i="8" s="1"/>
  <c r="BQ36" i="4"/>
  <c r="BR207" i="4"/>
  <c r="BQ34" i="4"/>
  <c r="BR201" i="4"/>
  <c r="AZ286" i="1"/>
  <c r="AV31" i="1"/>
  <c r="BQ305" i="1"/>
  <c r="BR306" i="1"/>
  <c r="BQ308" i="1"/>
  <c r="BQ16" i="1"/>
  <c r="AW136" i="4"/>
  <c r="AW149" i="4" s="1"/>
  <c r="AY145" i="4"/>
  <c r="BL361" i="1"/>
  <c r="BP305" i="1"/>
  <c r="BP307" i="1" s="1"/>
  <c r="BP308" i="1"/>
  <c r="BP16" i="1"/>
  <c r="AZ394" i="1"/>
  <c r="AZ395" i="1"/>
  <c r="AZ386" i="1"/>
  <c r="AZ387" i="1" s="1"/>
  <c r="AZ339" i="1"/>
  <c r="AZ331" i="1"/>
  <c r="BF87" i="4"/>
  <c r="BF468" i="1"/>
  <c r="BF469" i="1" s="1"/>
  <c r="BM34" i="5"/>
  <c r="BN34" i="5" s="1"/>
  <c r="BD70" i="1"/>
  <c r="AN117" i="51"/>
  <c r="AN116" i="51"/>
  <c r="BB436" i="1"/>
  <c r="AP33" i="51" s="1"/>
  <c r="AP105" i="51" s="1"/>
  <c r="BB437" i="1"/>
  <c r="BB434" i="1"/>
  <c r="Z73" i="8"/>
  <c r="AQ335" i="1"/>
  <c r="BA77" i="4"/>
  <c r="AR39" i="1"/>
  <c r="AF31" i="8" s="1"/>
  <c r="AT37" i="1"/>
  <c r="BL62" i="5"/>
  <c r="CX70" i="8"/>
  <c r="BA382" i="1"/>
  <c r="BA375" i="1"/>
  <c r="BS13" i="1"/>
  <c r="AS66" i="8"/>
  <c r="AS64" i="8"/>
  <c r="AS47" i="8"/>
  <c r="BM30" i="5"/>
  <c r="BN30" i="5" s="1"/>
  <c r="BN43" i="4"/>
  <c r="BN223" i="4"/>
  <c r="AX77" i="4"/>
  <c r="AK194" i="1"/>
  <c r="BB74" i="4"/>
  <c r="BB23" i="1"/>
  <c r="CT31" i="8" s="1"/>
  <c r="AP115" i="51"/>
  <c r="BP60" i="5"/>
  <c r="BP30" i="5"/>
  <c r="BM32" i="5"/>
  <c r="BN32" i="5" s="1"/>
  <c r="BM60" i="5"/>
  <c r="BN60" i="5" s="1"/>
  <c r="AQ238" i="4"/>
  <c r="BN59" i="1"/>
  <c r="BM60" i="1"/>
  <c r="AX286" i="1"/>
  <c r="BD74" i="4"/>
  <c r="BD23" i="1"/>
  <c r="AR115" i="51"/>
  <c r="AR23" i="8"/>
  <c r="AS56" i="1"/>
  <c r="BI70" i="4"/>
  <c r="BI84" i="5"/>
  <c r="BJ84" i="5" s="1"/>
  <c r="BE431" i="1"/>
  <c r="BF431" i="1" s="1"/>
  <c r="BF432" i="1" s="1"/>
  <c r="BD432" i="1"/>
  <c r="BD435" i="1" s="1"/>
  <c r="BN308" i="1"/>
  <c r="BT62" i="5" l="1"/>
  <c r="BZ148" i="5"/>
  <c r="BZ152" i="5" s="1"/>
  <c r="BU20" i="1"/>
  <c r="BU22" i="1" s="1"/>
  <c r="BU18" i="1"/>
  <c r="BU33" i="4"/>
  <c r="BU33" i="5" s="1"/>
  <c r="BV198" i="4"/>
  <c r="BJ112" i="51"/>
  <c r="BJ113" i="51" s="1"/>
  <c r="BZ62" i="1"/>
  <c r="BV226" i="1"/>
  <c r="BY361" i="1"/>
  <c r="BV204" i="4"/>
  <c r="BU35" i="4"/>
  <c r="BV311" i="1"/>
  <c r="BJ22" i="51" s="1"/>
  <c r="BJ73" i="51" s="1"/>
  <c r="BZ316" i="1"/>
  <c r="BX63" i="1"/>
  <c r="BL112" i="51"/>
  <c r="BV210" i="4"/>
  <c r="BU37" i="4"/>
  <c r="BZ363" i="1"/>
  <c r="BZ364" i="1" s="1"/>
  <c r="BN27" i="51" s="1"/>
  <c r="BN88" i="51" s="1"/>
  <c r="BY370" i="1"/>
  <c r="BX360" i="1"/>
  <c r="BX216" i="4"/>
  <c r="BX115" i="4"/>
  <c r="BX14" i="4" s="1"/>
  <c r="BX121" i="4"/>
  <c r="BX15" i="4" s="1"/>
  <c r="BX201" i="4"/>
  <c r="BX34" i="4" s="1"/>
  <c r="BX207" i="4"/>
  <c r="BX36" i="4" s="1"/>
  <c r="BX225" i="4"/>
  <c r="BX44" i="4" s="1"/>
  <c r="BX222" i="4"/>
  <c r="BX43" i="4" s="1"/>
  <c r="BX210" i="4"/>
  <c r="BX37" i="4" s="1"/>
  <c r="BX228" i="4"/>
  <c r="BX45" i="4" s="1"/>
  <c r="BX198" i="4"/>
  <c r="BX33" i="4" s="1"/>
  <c r="BX204" i="4"/>
  <c r="BX35" i="4" s="1"/>
  <c r="BU14" i="4"/>
  <c r="BU32" i="5" s="1"/>
  <c r="BV115" i="4"/>
  <c r="BU359" i="1"/>
  <c r="BU59" i="1"/>
  <c r="BU64" i="1"/>
  <c r="BU15" i="4"/>
  <c r="BV121" i="4"/>
  <c r="BZ118" i="4"/>
  <c r="BZ13" i="1"/>
  <c r="BN112" i="51" s="1"/>
  <c r="BU42" i="4"/>
  <c r="BU219" i="4"/>
  <c r="BU220" i="4" s="1"/>
  <c r="BV216" i="4"/>
  <c r="BY20" i="1"/>
  <c r="BY22" i="1" s="1"/>
  <c r="BY18" i="1"/>
  <c r="BY63" i="1"/>
  <c r="BM112" i="51"/>
  <c r="BZ310" i="1"/>
  <c r="BZ311" i="1" s="1"/>
  <c r="BN22" i="51" s="1"/>
  <c r="BN73" i="51" s="1"/>
  <c r="BY316" i="1"/>
  <c r="BX306" i="1"/>
  <c r="BV360" i="1"/>
  <c r="BV16" i="1" s="1"/>
  <c r="BT359" i="1"/>
  <c r="BT361" i="1" s="1"/>
  <c r="BY216" i="4"/>
  <c r="BY115" i="4"/>
  <c r="BY121" i="4"/>
  <c r="BY204" i="4"/>
  <c r="BY198" i="4"/>
  <c r="BY225" i="4"/>
  <c r="BY207" i="4"/>
  <c r="BY201" i="4"/>
  <c r="BY210" i="4"/>
  <c r="BY222" i="4"/>
  <c r="BY228" i="4"/>
  <c r="BV222" i="4"/>
  <c r="BU43" i="4"/>
  <c r="BU61" i="5" s="1"/>
  <c r="BV61" i="5" s="1"/>
  <c r="BZ224" i="1"/>
  <c r="BZ226" i="1" s="1"/>
  <c r="BY226" i="1"/>
  <c r="BV148" i="5"/>
  <c r="BV152" i="5" s="1"/>
  <c r="BY307" i="1"/>
  <c r="BU34" i="4"/>
  <c r="BV201" i="4"/>
  <c r="BV364" i="1"/>
  <c r="BJ27" i="51" s="1"/>
  <c r="BJ88" i="51" s="1"/>
  <c r="BZ370" i="1"/>
  <c r="BV207" i="4"/>
  <c r="BU36" i="4"/>
  <c r="BU35" i="5" s="1"/>
  <c r="BV308" i="1"/>
  <c r="BX226" i="1"/>
  <c r="BU45" i="4"/>
  <c r="BV228" i="4"/>
  <c r="BU307" i="1"/>
  <c r="BU44" i="4"/>
  <c r="BU60" i="5" s="1"/>
  <c r="BV60" i="5" s="1"/>
  <c r="BV225" i="4"/>
  <c r="BT305" i="1"/>
  <c r="BT307" i="1" s="1"/>
  <c r="BT16" i="1"/>
  <c r="BT308" i="1"/>
  <c r="BT30" i="5"/>
  <c r="BT35" i="5"/>
  <c r="BT33" i="5"/>
  <c r="BT34" i="5"/>
  <c r="BT36" i="5"/>
  <c r="BU34" i="5"/>
  <c r="BU30" i="5"/>
  <c r="AP24" i="8"/>
  <c r="AN27" i="8"/>
  <c r="AP81" i="8"/>
  <c r="AP64" i="8"/>
  <c r="AP66" i="8"/>
  <c r="AP47" i="8"/>
  <c r="AF82" i="8"/>
  <c r="AH30" i="8"/>
  <c r="AG82" i="8"/>
  <c r="AF69" i="8"/>
  <c r="BC25" i="1"/>
  <c r="AN74" i="1"/>
  <c r="AN175" i="1"/>
  <c r="BO16" i="1"/>
  <c r="AR80" i="4"/>
  <c r="AR83" i="4" s="1"/>
  <c r="BB377" i="1"/>
  <c r="AP28" i="51" s="1"/>
  <c r="AP92" i="51" s="1"/>
  <c r="AK197" i="1"/>
  <c r="AK195" i="1"/>
  <c r="AK196" i="1" s="1"/>
  <c r="BN18" i="1"/>
  <c r="AR72" i="1"/>
  <c r="BF90" i="4"/>
  <c r="BE90" i="4"/>
  <c r="BA165" i="4"/>
  <c r="BF373" i="1"/>
  <c r="BH277" i="1"/>
  <c r="BE278" i="1"/>
  <c r="BE281" i="1" s="1"/>
  <c r="BF281" i="1" s="1"/>
  <c r="BR14" i="4"/>
  <c r="BF157" i="4"/>
  <c r="BF164" i="4" s="1"/>
  <c r="BD164" i="4"/>
  <c r="BF237" i="1"/>
  <c r="BR35" i="4"/>
  <c r="BR205" i="4"/>
  <c r="BN39" i="4"/>
  <c r="BL70" i="4"/>
  <c r="BL84" i="5"/>
  <c r="BQ361" i="1"/>
  <c r="BR359" i="1"/>
  <c r="BE78" i="4"/>
  <c r="BD382" i="1"/>
  <c r="BD375" i="1"/>
  <c r="BD378" i="1"/>
  <c r="BN168" i="4"/>
  <c r="BR169" i="4" s="1"/>
  <c r="BP169" i="4"/>
  <c r="BF70" i="1"/>
  <c r="BB28" i="1"/>
  <c r="AP25" i="8" s="1"/>
  <c r="AP67" i="8" s="1"/>
  <c r="BB179" i="1"/>
  <c r="BQ30" i="5"/>
  <c r="BR30" i="5" s="1"/>
  <c r="AW249" i="1"/>
  <c r="AX248" i="1"/>
  <c r="BF74" i="4"/>
  <c r="BF23" i="1"/>
  <c r="AT115" i="51"/>
  <c r="AT23" i="8"/>
  <c r="AZ384" i="1"/>
  <c r="BB30" i="1"/>
  <c r="BB258" i="1"/>
  <c r="BB77" i="4"/>
  <c r="BA78" i="4"/>
  <c r="CS32" i="8" s="1"/>
  <c r="AV81" i="4"/>
  <c r="AV69" i="1"/>
  <c r="AV71" i="1" s="1"/>
  <c r="BR34" i="4"/>
  <c r="BR202" i="4"/>
  <c r="BJ49" i="4"/>
  <c r="CC18" i="8"/>
  <c r="BI74" i="4"/>
  <c r="BI23" i="1"/>
  <c r="AW115" i="51"/>
  <c r="AW23" i="8"/>
  <c r="AM240" i="4"/>
  <c r="BA331" i="1"/>
  <c r="BA339" i="1"/>
  <c r="BE70" i="1"/>
  <c r="AU390" i="1"/>
  <c r="AS390" i="1"/>
  <c r="BD437" i="1"/>
  <c r="BD434" i="1"/>
  <c r="BN60" i="1"/>
  <c r="BN63" i="1"/>
  <c r="BN64" i="1" s="1"/>
  <c r="AX78" i="4"/>
  <c r="CP32" i="8" s="1"/>
  <c r="BN62" i="5"/>
  <c r="BH89" i="4"/>
  <c r="AR96" i="1"/>
  <c r="AR89" i="1"/>
  <c r="AF34" i="8" s="1"/>
  <c r="AF70" i="8" s="1"/>
  <c r="BN22" i="1"/>
  <c r="BP20" i="1"/>
  <c r="BP18" i="1"/>
  <c r="AW22" i="4"/>
  <c r="CO50" i="8" s="1"/>
  <c r="AX136" i="4"/>
  <c r="BR308" i="1"/>
  <c r="BR16" i="1"/>
  <c r="BS16" i="1" s="1"/>
  <c r="BQ36" i="5"/>
  <c r="BR36" i="5" s="1"/>
  <c r="BH88" i="4"/>
  <c r="AX329" i="1"/>
  <c r="AW330" i="1"/>
  <c r="AZ53" i="1"/>
  <c r="AZ54" i="1" s="1"/>
  <c r="AZ251" i="1"/>
  <c r="AZ248" i="1"/>
  <c r="BP361" i="1"/>
  <c r="BQ32" i="5"/>
  <c r="BR32" i="5" s="1"/>
  <c r="BR43" i="4"/>
  <c r="BR223" i="4"/>
  <c r="BR33" i="4"/>
  <c r="BR199" i="4"/>
  <c r="BR148" i="5"/>
  <c r="BR152" i="5" s="1"/>
  <c r="BF319" i="1"/>
  <c r="BA286" i="1"/>
  <c r="BE25" i="1"/>
  <c r="BH236" i="1"/>
  <c r="BE237" i="1"/>
  <c r="BE240" i="1" s="1"/>
  <c r="AV39" i="1"/>
  <c r="AJ31" i="8" s="1"/>
  <c r="BQ34" i="5"/>
  <c r="BR34" i="5" s="1"/>
  <c r="AN85" i="5"/>
  <c r="BB395" i="1"/>
  <c r="AZ78" i="4"/>
  <c r="CR32" i="8" s="1"/>
  <c r="BR45" i="4"/>
  <c r="BR229" i="4"/>
  <c r="AS96" i="1"/>
  <c r="AS89" i="1"/>
  <c r="AG34" i="8" s="1"/>
  <c r="BD77" i="4"/>
  <c r="BG26" i="1"/>
  <c r="AZ332" i="1"/>
  <c r="AZ329" i="1"/>
  <c r="BQ20" i="1"/>
  <c r="BQ18" i="1"/>
  <c r="BQ307" i="1"/>
  <c r="BR305" i="1"/>
  <c r="BR307" i="1" s="1"/>
  <c r="BR36" i="4"/>
  <c r="BR208" i="4"/>
  <c r="BJ70" i="4"/>
  <c r="AT81" i="4"/>
  <c r="AT69" i="1"/>
  <c r="AT71" i="1" s="1"/>
  <c r="BD280" i="1"/>
  <c r="BD283" i="1"/>
  <c r="BA30" i="1"/>
  <c r="BA250" i="1"/>
  <c r="BA258" i="1"/>
  <c r="BF60" i="8"/>
  <c r="BF44" i="8"/>
  <c r="BQ61" i="5"/>
  <c r="BR61" i="5" s="1"/>
  <c r="BQ39" i="4"/>
  <c r="BQ33" i="5"/>
  <c r="BR33" i="5" s="1"/>
  <c r="BH74" i="4"/>
  <c r="BH23" i="1"/>
  <c r="AV23" i="8"/>
  <c r="AV115" i="51"/>
  <c r="BH318" i="1"/>
  <c r="BE319" i="1"/>
  <c r="BE322" i="1" s="1"/>
  <c r="BF322" i="1" s="1"/>
  <c r="BD239" i="1"/>
  <c r="BD242" i="1"/>
  <c r="BD246" i="1"/>
  <c r="BD28" i="1"/>
  <c r="BD179" i="1"/>
  <c r="AR24" i="8"/>
  <c r="BR37" i="4"/>
  <c r="BR211" i="4"/>
  <c r="BF45" i="8"/>
  <c r="BF61" i="8"/>
  <c r="BL49" i="4"/>
  <c r="BB394" i="1"/>
  <c r="AO119" i="51"/>
  <c r="AO120" i="51" s="1"/>
  <c r="BQ62" i="5"/>
  <c r="BR62" i="5" s="1"/>
  <c r="BR44" i="4"/>
  <c r="BR226" i="4"/>
  <c r="AR117" i="51"/>
  <c r="AR116" i="51"/>
  <c r="CD10" i="8"/>
  <c r="BI87" i="4"/>
  <c r="BI468" i="1"/>
  <c r="CV31" i="8"/>
  <c r="AP116" i="51"/>
  <c r="AP117" i="51"/>
  <c r="BH431" i="1"/>
  <c r="BE432" i="1"/>
  <c r="BE435" i="1" s="1"/>
  <c r="AR66" i="8"/>
  <c r="AR64" i="8"/>
  <c r="AR47" i="8"/>
  <c r="BA386" i="1"/>
  <c r="BA395" i="1"/>
  <c r="BA394" i="1"/>
  <c r="AT38" i="1"/>
  <c r="CL40" i="8" s="1"/>
  <c r="AT39" i="1"/>
  <c r="BQ35" i="5"/>
  <c r="BR35" i="5" s="1"/>
  <c r="BN361" i="1"/>
  <c r="AZ90" i="5"/>
  <c r="AZ83" i="5" s="1"/>
  <c r="AZ32" i="1"/>
  <c r="AZ34" i="1"/>
  <c r="AN28" i="8" s="1"/>
  <c r="AN68" i="8" s="1"/>
  <c r="AS333" i="1"/>
  <c r="AT335" i="1"/>
  <c r="AS80" i="4"/>
  <c r="AS72" i="1"/>
  <c r="BF277" i="1"/>
  <c r="BH26" i="1"/>
  <c r="BI465" i="1"/>
  <c r="BH466" i="1"/>
  <c r="AV22" i="8" s="1"/>
  <c r="AV63" i="8" s="1"/>
  <c r="BB339" i="1"/>
  <c r="BR149" i="5"/>
  <c r="BR154" i="5" s="1"/>
  <c r="BI168" i="4"/>
  <c r="BI177" i="4" s="1"/>
  <c r="BR42" i="4"/>
  <c r="BR219" i="4"/>
  <c r="BR220" i="4" s="1"/>
  <c r="BF96" i="4"/>
  <c r="BH96" i="4"/>
  <c r="AT254" i="1"/>
  <c r="AS252" i="1"/>
  <c r="BD327" i="1"/>
  <c r="BD321" i="1"/>
  <c r="AV63" i="5"/>
  <c r="AV51" i="5" s="1"/>
  <c r="AV51" i="1"/>
  <c r="AV52" i="1" s="1"/>
  <c r="AV56" i="1"/>
  <c r="BM46" i="4"/>
  <c r="BP231" i="4"/>
  <c r="BN231" i="4"/>
  <c r="BJ22" i="1"/>
  <c r="BM22" i="1"/>
  <c r="BR150" i="5"/>
  <c r="BR156" i="5" s="1"/>
  <c r="BH372" i="1"/>
  <c r="BE373" i="1"/>
  <c r="BE376" i="1" s="1"/>
  <c r="BL172" i="4"/>
  <c r="BM172" i="4"/>
  <c r="BM160" i="4" s="1"/>
  <c r="BO20" i="1"/>
  <c r="BL22" i="1"/>
  <c r="BR15" i="4"/>
  <c r="BR122" i="4"/>
  <c r="BQ60" i="1"/>
  <c r="BR59" i="1"/>
  <c r="BB286" i="1"/>
  <c r="BQ60" i="5"/>
  <c r="BR60" i="5" s="1"/>
  <c r="BU36" i="5" l="1"/>
  <c r="BU62" i="5"/>
  <c r="BV62" i="5" s="1"/>
  <c r="BV305" i="1"/>
  <c r="BV307" i="1" s="1"/>
  <c r="BT18" i="1"/>
  <c r="BT20" i="1"/>
  <c r="BW16" i="1"/>
  <c r="BZ198" i="4"/>
  <c r="BY33" i="4"/>
  <c r="BZ149" i="5"/>
  <c r="BZ154" i="5" s="1"/>
  <c r="BX33" i="5"/>
  <c r="BX39" i="4"/>
  <c r="BZ150" i="5"/>
  <c r="BZ156" i="5" s="1"/>
  <c r="BZ204" i="4"/>
  <c r="BY35" i="4"/>
  <c r="BY34" i="5" s="1"/>
  <c r="BM113" i="51"/>
  <c r="BQ113" i="51"/>
  <c r="BV122" i="4"/>
  <c r="BV15" i="4"/>
  <c r="BV35" i="5"/>
  <c r="BY15" i="4"/>
  <c r="BY30" i="5" s="1"/>
  <c r="BZ121" i="4"/>
  <c r="BZ15" i="4" s="1"/>
  <c r="BY64" i="1"/>
  <c r="BY59" i="1"/>
  <c r="BV37" i="4"/>
  <c r="BV211" i="4"/>
  <c r="BV226" i="4"/>
  <c r="BV44" i="4"/>
  <c r="BV36" i="4"/>
  <c r="BV208" i="4"/>
  <c r="BY14" i="4"/>
  <c r="BY32" i="5" s="1"/>
  <c r="BZ115" i="4"/>
  <c r="BX61" i="5"/>
  <c r="BL113" i="51"/>
  <c r="BP113" i="51"/>
  <c r="BY219" i="4"/>
  <c r="BY220" i="4" s="1"/>
  <c r="BY42" i="4"/>
  <c r="BZ216" i="4"/>
  <c r="BV59" i="1"/>
  <c r="BU60" i="1"/>
  <c r="BX60" i="5"/>
  <c r="BX59" i="1"/>
  <c r="BX60" i="1" s="1"/>
  <c r="BX64" i="1"/>
  <c r="BV150" i="5"/>
  <c r="BV156" i="5" s="1"/>
  <c r="BV223" i="4"/>
  <c r="BV43" i="4"/>
  <c r="BY74" i="4"/>
  <c r="BY77" i="4" s="1"/>
  <c r="BY78" i="4" s="1"/>
  <c r="BY23" i="1"/>
  <c r="BM115" i="51"/>
  <c r="BX35" i="5"/>
  <c r="BV33" i="4"/>
  <c r="BV199" i="4"/>
  <c r="BY45" i="4"/>
  <c r="BZ228" i="4"/>
  <c r="BV219" i="4"/>
  <c r="BV220" i="4" s="1"/>
  <c r="BV217" i="4"/>
  <c r="BV42" i="4"/>
  <c r="BX36" i="5"/>
  <c r="BV149" i="5"/>
  <c r="BV154" i="5" s="1"/>
  <c r="BU39" i="4"/>
  <c r="BV45" i="4"/>
  <c r="BV229" i="4"/>
  <c r="BV34" i="4"/>
  <c r="BV202" i="4"/>
  <c r="BY43" i="4"/>
  <c r="BY61" i="5" s="1"/>
  <c r="BZ222" i="4"/>
  <c r="BU361" i="1"/>
  <c r="BV359" i="1"/>
  <c r="BV361" i="1" s="1"/>
  <c r="BX30" i="5"/>
  <c r="BY37" i="4"/>
  <c r="BZ210" i="4"/>
  <c r="BV116" i="4"/>
  <c r="BV14" i="4"/>
  <c r="BX32" i="5"/>
  <c r="BV205" i="4"/>
  <c r="BV35" i="4"/>
  <c r="BV18" i="1"/>
  <c r="BV20" i="1"/>
  <c r="BV22" i="1" s="1"/>
  <c r="BY34" i="4"/>
  <c r="BZ201" i="4"/>
  <c r="BN113" i="51"/>
  <c r="BR113" i="51"/>
  <c r="BX219" i="4"/>
  <c r="BX220" i="4" s="1"/>
  <c r="BX42" i="4"/>
  <c r="BU74" i="4"/>
  <c r="BU77" i="4" s="1"/>
  <c r="BU78" i="4" s="1"/>
  <c r="BU23" i="1"/>
  <c r="BI115" i="51"/>
  <c r="BY36" i="4"/>
  <c r="BY35" i="5" s="1"/>
  <c r="BZ207" i="4"/>
  <c r="BX305" i="1"/>
  <c r="BX308" i="1"/>
  <c r="BX16" i="1"/>
  <c r="BZ306" i="1"/>
  <c r="BZ360" i="1"/>
  <c r="BX359" i="1"/>
  <c r="BY44" i="4"/>
  <c r="BY60" i="5" s="1"/>
  <c r="BZ225" i="4"/>
  <c r="BX34" i="5"/>
  <c r="BV30" i="5"/>
  <c r="BV36" i="5"/>
  <c r="BV34" i="5"/>
  <c r="BV32" i="5"/>
  <c r="BV33" i="5"/>
  <c r="AN87" i="5"/>
  <c r="AN93" i="5" s="1"/>
  <c r="AP85" i="5"/>
  <c r="AP87" i="5" s="1"/>
  <c r="AP27" i="8"/>
  <c r="AO27" i="8"/>
  <c r="AF83" i="8"/>
  <c r="AJ69" i="8"/>
  <c r="AJ82" i="8"/>
  <c r="AR40" i="1"/>
  <c r="AH31" i="8"/>
  <c r="AG83" i="8"/>
  <c r="AN176" i="1"/>
  <c r="AN180" i="1"/>
  <c r="BO18" i="1"/>
  <c r="BC30" i="1"/>
  <c r="G17" i="61"/>
  <c r="AK199" i="1"/>
  <c r="AK198" i="1"/>
  <c r="BH90" i="4"/>
  <c r="BE382" i="1"/>
  <c r="BE375" i="1"/>
  <c r="BE378" i="1"/>
  <c r="BD339" i="1"/>
  <c r="BD331" i="1"/>
  <c r="BI26" i="1"/>
  <c r="BL465" i="1"/>
  <c r="BI466" i="1"/>
  <c r="AW22" i="8" s="1"/>
  <c r="AW63" i="8" s="1"/>
  <c r="BH77" i="4"/>
  <c r="BD78" i="4"/>
  <c r="BE246" i="1"/>
  <c r="BE239" i="1"/>
  <c r="BE242" i="1"/>
  <c r="AX330" i="1"/>
  <c r="AX333" i="1"/>
  <c r="AW54" i="5"/>
  <c r="BP22" i="1"/>
  <c r="AU39" i="1"/>
  <c r="AI31" i="8" s="1"/>
  <c r="BB331" i="1"/>
  <c r="BB332" i="1" s="1"/>
  <c r="BA332" i="1"/>
  <c r="BA329" i="1"/>
  <c r="BI77" i="4"/>
  <c r="BF77" i="4"/>
  <c r="BD395" i="1"/>
  <c r="BD394" i="1"/>
  <c r="BD386" i="1"/>
  <c r="BD387" i="1" s="1"/>
  <c r="BL87" i="4"/>
  <c r="BL468" i="1"/>
  <c r="BD156" i="4"/>
  <c r="BD24" i="4" s="1"/>
  <c r="BD166" i="4"/>
  <c r="BE157" i="4"/>
  <c r="BE164" i="4" s="1"/>
  <c r="BJ87" i="4"/>
  <c r="BJ468" i="1"/>
  <c r="BB386" i="1"/>
  <c r="BF240" i="1"/>
  <c r="AV116" i="51"/>
  <c r="AV117" i="51"/>
  <c r="BA53" i="1"/>
  <c r="BA251" i="1"/>
  <c r="BB250" i="1"/>
  <c r="BB251" i="1" s="1"/>
  <c r="BA248" i="1"/>
  <c r="BF283" i="1"/>
  <c r="BQ22" i="1"/>
  <c r="AS237" i="4"/>
  <c r="AS29" i="5"/>
  <c r="AS37" i="5" s="1"/>
  <c r="AS24" i="5" s="1"/>
  <c r="AV89" i="1"/>
  <c r="AV96" i="1"/>
  <c r="BR39" i="4"/>
  <c r="BI88" i="4"/>
  <c r="BJ88" i="4" s="1"/>
  <c r="AR237" i="4"/>
  <c r="AR29" i="5"/>
  <c r="AR37" i="5" s="1"/>
  <c r="AR24" i="5" s="1"/>
  <c r="BB78" i="4"/>
  <c r="CT32" i="8" s="1"/>
  <c r="AZ385" i="1"/>
  <c r="AZ388" i="1"/>
  <c r="AZ390" i="1" s="1"/>
  <c r="CX31" i="8"/>
  <c r="BR172" i="4"/>
  <c r="BR176" i="4" s="1"/>
  <c r="BT169" i="4" s="1"/>
  <c r="CW32" i="8"/>
  <c r="BR361" i="1"/>
  <c r="BF156" i="4"/>
  <c r="BF24" i="4" s="1"/>
  <c r="BF166" i="4"/>
  <c r="BE283" i="1"/>
  <c r="BE280" i="1"/>
  <c r="BL74" i="4"/>
  <c r="BL23" i="1"/>
  <c r="BO22" i="1"/>
  <c r="AZ115" i="51"/>
  <c r="AZ23" i="8"/>
  <c r="BN46" i="4"/>
  <c r="BN232" i="4"/>
  <c r="BN132" i="5" s="1"/>
  <c r="BN133" i="5" s="1"/>
  <c r="AS254" i="1"/>
  <c r="AU254" i="1"/>
  <c r="CD18" i="8"/>
  <c r="AT89" i="1"/>
  <c r="AH34" i="8" s="1"/>
  <c r="BE434" i="1"/>
  <c r="BE437" i="1"/>
  <c r="BI318" i="1"/>
  <c r="BH319" i="1"/>
  <c r="BH322" i="1" s="1"/>
  <c r="AT80" i="4"/>
  <c r="AT72" i="1"/>
  <c r="BP46" i="4"/>
  <c r="BQ231" i="4"/>
  <c r="BT231" i="4" s="1"/>
  <c r="BH70" i="1"/>
  <c r="BH432" i="1"/>
  <c r="BH435" i="1" s="1"/>
  <c r="BI431" i="1"/>
  <c r="BI96" i="4"/>
  <c r="BF278" i="1"/>
  <c r="BF282" i="1" s="1"/>
  <c r="AT18" i="51" s="1"/>
  <c r="AT62" i="51" s="1"/>
  <c r="AS83" i="4"/>
  <c r="AT84" i="4" s="1"/>
  <c r="AT97" i="4" s="1"/>
  <c r="BD30" i="1"/>
  <c r="BD250" i="1"/>
  <c r="BD258" i="1"/>
  <c r="BE321" i="1"/>
  <c r="BE327" i="1"/>
  <c r="AV64" i="8"/>
  <c r="AV47" i="8"/>
  <c r="AV66" i="8"/>
  <c r="BA90" i="5"/>
  <c r="BA83" i="5" s="1"/>
  <c r="BB83" i="5" s="1"/>
  <c r="BA32" i="1"/>
  <c r="BA34" i="1"/>
  <c r="AO28" i="8" s="1"/>
  <c r="BD286" i="1"/>
  <c r="AV105" i="1"/>
  <c r="AV82" i="5" s="1"/>
  <c r="AS40" i="1"/>
  <c r="BH25" i="1"/>
  <c r="BI236" i="1"/>
  <c r="BJ236" i="1" s="1"/>
  <c r="BH237" i="1"/>
  <c r="BH240" i="1" s="1"/>
  <c r="AZ249" i="1"/>
  <c r="AZ252" i="1"/>
  <c r="AZ254" i="1" s="1"/>
  <c r="BN74" i="4"/>
  <c r="BN23" i="1"/>
  <c r="BB115" i="51"/>
  <c r="BB23" i="8"/>
  <c r="AT96" i="1"/>
  <c r="AS105" i="1"/>
  <c r="AS82" i="5" s="1"/>
  <c r="AW66" i="8"/>
  <c r="AW64" i="8"/>
  <c r="AW47" i="8"/>
  <c r="AT47" i="8"/>
  <c r="AT66" i="8"/>
  <c r="AT64" i="8"/>
  <c r="AX249" i="1"/>
  <c r="AX252" i="1"/>
  <c r="BH278" i="1"/>
  <c r="BH281" i="1" s="1"/>
  <c r="BI277" i="1"/>
  <c r="BJ277" i="1" s="1"/>
  <c r="AZ37" i="1"/>
  <c r="AZ68" i="1"/>
  <c r="AZ55" i="1"/>
  <c r="AN122" i="51"/>
  <c r="AN123" i="51" s="1"/>
  <c r="AZ35" i="1"/>
  <c r="AV80" i="4"/>
  <c r="AV72" i="1"/>
  <c r="BL160" i="4"/>
  <c r="BN160" i="4" s="1"/>
  <c r="BL176" i="4"/>
  <c r="BM74" i="4"/>
  <c r="BM23" i="1"/>
  <c r="BA23" i="8"/>
  <c r="BA115" i="51"/>
  <c r="AU335" i="1"/>
  <c r="AS335" i="1"/>
  <c r="BI372" i="1"/>
  <c r="BH373" i="1"/>
  <c r="BH376" i="1" s="1"/>
  <c r="BJ74" i="4"/>
  <c r="BJ23" i="1"/>
  <c r="AX115" i="51"/>
  <c r="AX23" i="8"/>
  <c r="BM70" i="4"/>
  <c r="BM84" i="5"/>
  <c r="BN84" i="5" s="1"/>
  <c r="BM47" i="4"/>
  <c r="BR60" i="1"/>
  <c r="BR63" i="1"/>
  <c r="BR64" i="1" s="1"/>
  <c r="BF321" i="1"/>
  <c r="BF323" i="1"/>
  <c r="AT23" i="51" s="1"/>
  <c r="AT77" i="51" s="1"/>
  <c r="BF327" i="1"/>
  <c r="BJ465" i="1"/>
  <c r="AZ31" i="1"/>
  <c r="AR74" i="1"/>
  <c r="AR175" i="1"/>
  <c r="AR119" i="51"/>
  <c r="AR120" i="51" s="1"/>
  <c r="AR25" i="8"/>
  <c r="AR67" i="8" s="1"/>
  <c r="BK22" i="1"/>
  <c r="AZ330" i="1"/>
  <c r="AZ333" i="1"/>
  <c r="AZ335" i="1" s="1"/>
  <c r="BE28" i="1"/>
  <c r="BF25" i="1"/>
  <c r="BE179" i="1"/>
  <c r="AS24" i="8"/>
  <c r="BR18" i="1"/>
  <c r="BS18" i="1" s="1"/>
  <c r="BR20" i="1"/>
  <c r="AX22" i="4"/>
  <c r="CP50" i="8" s="1"/>
  <c r="AZ137" i="4"/>
  <c r="AZ145" i="4" s="1"/>
  <c r="AY136" i="4"/>
  <c r="BB137" i="4"/>
  <c r="BB145" i="4" s="1"/>
  <c r="AX149" i="4"/>
  <c r="BI89" i="4"/>
  <c r="BJ89" i="4" s="1"/>
  <c r="CC72" i="8"/>
  <c r="BF435" i="1"/>
  <c r="AW117" i="51"/>
  <c r="AW116" i="51"/>
  <c r="BB90" i="5"/>
  <c r="BB34" i="1"/>
  <c r="AP28" i="8" s="1"/>
  <c r="BB32" i="1"/>
  <c r="AT116" i="51"/>
  <c r="AT117" i="51"/>
  <c r="AP119" i="51"/>
  <c r="AP120" i="51" s="1"/>
  <c r="BC28" i="1"/>
  <c r="BN177" i="4"/>
  <c r="BF376" i="1"/>
  <c r="BZ34" i="5" l="1"/>
  <c r="A15" i="4" a="1"/>
  <c r="A15" i="4" s="1"/>
  <c r="BZ30" i="5"/>
  <c r="BZ122" i="4"/>
  <c r="BY36" i="5"/>
  <c r="BZ36" i="5" s="1"/>
  <c r="BX361" i="1"/>
  <c r="BZ359" i="1"/>
  <c r="BZ361" i="1" s="1"/>
  <c r="BZ43" i="4"/>
  <c r="A43" i="4" s="1" a="1"/>
  <c r="A43" i="4" s="1"/>
  <c r="BZ223" i="4"/>
  <c r="BZ35" i="4"/>
  <c r="A35" i="4" s="1" a="1"/>
  <c r="A35" i="4" s="1"/>
  <c r="BZ205" i="4"/>
  <c r="BZ229" i="4"/>
  <c r="BZ45" i="4"/>
  <c r="A45" i="4" s="1" a="1"/>
  <c r="A45" i="4" s="1"/>
  <c r="BY60" i="1"/>
  <c r="BZ59" i="1"/>
  <c r="BY62" i="5"/>
  <c r="BZ61" i="5"/>
  <c r="BZ16" i="1"/>
  <c r="BZ308" i="1"/>
  <c r="BX20" i="1"/>
  <c r="BX22" i="1" s="1"/>
  <c r="BX18" i="1"/>
  <c r="BV39" i="4"/>
  <c r="BZ14" i="4"/>
  <c r="A14" i="4" s="1" a="1"/>
  <c r="A14" i="4" s="1"/>
  <c r="BZ116" i="4"/>
  <c r="BZ35" i="5"/>
  <c r="BZ60" i="5"/>
  <c r="BZ32" i="5"/>
  <c r="BZ34" i="4"/>
  <c r="A34" i="4" s="1" a="1"/>
  <c r="A34" i="4" s="1"/>
  <c r="BZ202" i="4"/>
  <c r="BZ37" i="4"/>
  <c r="A37" i="4" s="1" a="1"/>
  <c r="A37" i="4" s="1"/>
  <c r="BZ211" i="4"/>
  <c r="BX62" i="5"/>
  <c r="BZ62" i="5" s="1"/>
  <c r="BX307" i="1"/>
  <c r="BZ305" i="1"/>
  <c r="BZ307" i="1" s="1"/>
  <c r="BQ116" i="51"/>
  <c r="BM117" i="51"/>
  <c r="BM116" i="51"/>
  <c r="BY39" i="4"/>
  <c r="BY33" i="5"/>
  <c r="BZ33" i="5" s="1"/>
  <c r="BT46" i="4"/>
  <c r="BU231" i="4"/>
  <c r="BZ226" i="4"/>
  <c r="BZ44" i="4"/>
  <c r="A44" i="4" s="1" a="1"/>
  <c r="A44" i="4" s="1"/>
  <c r="BZ208" i="4"/>
  <c r="BZ36" i="4"/>
  <c r="A36" i="4" s="1" a="1"/>
  <c r="A36" i="4" s="1"/>
  <c r="BV23" i="1"/>
  <c r="BJ115" i="51"/>
  <c r="BV74" i="4"/>
  <c r="BV77" i="4" s="1"/>
  <c r="BV78" i="4" s="1"/>
  <c r="BV60" i="1"/>
  <c r="BV63" i="1"/>
  <c r="BV64" i="1" s="1"/>
  <c r="BZ33" i="4"/>
  <c r="BZ199" i="4"/>
  <c r="BZ219" i="4"/>
  <c r="BZ220" i="4" s="1"/>
  <c r="BZ42" i="4"/>
  <c r="BZ217" i="4"/>
  <c r="BT22" i="1"/>
  <c r="BW20" i="1"/>
  <c r="BI117" i="51"/>
  <c r="BW18" i="1"/>
  <c r="AT40" i="1"/>
  <c r="AJ34" i="8"/>
  <c r="AH83" i="8"/>
  <c r="AH82" i="8"/>
  <c r="AI82" i="8"/>
  <c r="AN30" i="8"/>
  <c r="AG76" i="8"/>
  <c r="AF76" i="8"/>
  <c r="AS238" i="4"/>
  <c r="F20" i="61"/>
  <c r="F24" i="61"/>
  <c r="E32" i="61" s="1"/>
  <c r="C42" i="61" s="1"/>
  <c r="F42" i="61" s="1"/>
  <c r="F21" i="61"/>
  <c r="E29" i="61" s="1"/>
  <c r="C39" i="61" s="1"/>
  <c r="F39" i="61" s="1"/>
  <c r="F23" i="61"/>
  <c r="E31" i="61" s="1"/>
  <c r="C41" i="61" s="1"/>
  <c r="F41" i="61" s="1"/>
  <c r="F22" i="61"/>
  <c r="E30" i="61" s="1"/>
  <c r="C40" i="61" s="1"/>
  <c r="F40" i="61" s="1"/>
  <c r="AT237" i="4"/>
  <c r="AK45" i="1"/>
  <c r="AK46" i="1" s="1"/>
  <c r="AK108" i="5"/>
  <c r="AK105" i="5"/>
  <c r="AK106" i="5" s="1"/>
  <c r="BB91" i="5"/>
  <c r="BL89" i="4"/>
  <c r="BF165" i="4"/>
  <c r="BD384" i="1"/>
  <c r="BD385" i="1" s="1"/>
  <c r="BL88" i="4"/>
  <c r="BC34" i="1"/>
  <c r="BJ278" i="1"/>
  <c r="BB31" i="1"/>
  <c r="BR22" i="1"/>
  <c r="BS22" i="1" s="1"/>
  <c r="BM49" i="4"/>
  <c r="AX66" i="8"/>
  <c r="AX64" i="8"/>
  <c r="AX47" i="8"/>
  <c r="BL372" i="1"/>
  <c r="BI373" i="1"/>
  <c r="BI376" i="1" s="1"/>
  <c r="BJ376" i="1" s="1"/>
  <c r="BA64" i="8"/>
  <c r="BA47" i="8"/>
  <c r="BA66" i="8"/>
  <c r="AV83" i="4"/>
  <c r="AZ51" i="1"/>
  <c r="AZ52" i="1" s="1"/>
  <c r="AZ56" i="1"/>
  <c r="BH283" i="1"/>
  <c r="BH280" i="1"/>
  <c r="AS107" i="1"/>
  <c r="BB66" i="8"/>
  <c r="BB64" i="8"/>
  <c r="BB47" i="8"/>
  <c r="AV107" i="1"/>
  <c r="BN70" i="4"/>
  <c r="BN47" i="4"/>
  <c r="BL77" i="4"/>
  <c r="BF280" i="1"/>
  <c r="BH157" i="4"/>
  <c r="BE156" i="4"/>
  <c r="BE24" i="4" s="1"/>
  <c r="BE166" i="4"/>
  <c r="BF78" i="4"/>
  <c r="BI78" i="4"/>
  <c r="BP74" i="4"/>
  <c r="BP23" i="1"/>
  <c r="BD115" i="51"/>
  <c r="BD23" i="8"/>
  <c r="BM77" i="4"/>
  <c r="AX254" i="1"/>
  <c r="AW252" i="1"/>
  <c r="BB117" i="51"/>
  <c r="BB116" i="51"/>
  <c r="BA37" i="1"/>
  <c r="BA55" i="1"/>
  <c r="BA68" i="1"/>
  <c r="AO122" i="51"/>
  <c r="BA35" i="1"/>
  <c r="BJ96" i="4"/>
  <c r="BL96" i="4"/>
  <c r="BL431" i="1"/>
  <c r="BI432" i="1"/>
  <c r="BI435" i="1" s="1"/>
  <c r="BJ435" i="1" s="1"/>
  <c r="BQ46" i="4"/>
  <c r="BR231" i="4"/>
  <c r="AT83" i="4"/>
  <c r="I33" i="61" s="1"/>
  <c r="BL318" i="1"/>
  <c r="BI319" i="1"/>
  <c r="BI322" i="1" s="1"/>
  <c r="BJ322" i="1" s="1"/>
  <c r="AT29" i="5"/>
  <c r="AT37" i="5" s="1"/>
  <c r="AZ47" i="8"/>
  <c r="AZ66" i="8"/>
  <c r="AZ64" i="8"/>
  <c r="BE286" i="1"/>
  <c r="BR168" i="4"/>
  <c r="BV169" i="4" s="1"/>
  <c r="AW105" i="1"/>
  <c r="AW82" i="5" s="1"/>
  <c r="AX82" i="5" s="1"/>
  <c r="AV237" i="4"/>
  <c r="AV29" i="5"/>
  <c r="AV37" i="5" s="1"/>
  <c r="AV24" i="5" s="1"/>
  <c r="BB53" i="1"/>
  <c r="BI90" i="4"/>
  <c r="BS20" i="1"/>
  <c r="AW333" i="1"/>
  <c r="AX335" i="1"/>
  <c r="BE30" i="1"/>
  <c r="BE258" i="1"/>
  <c r="BE250" i="1"/>
  <c r="CV32" i="8"/>
  <c r="BL26" i="1"/>
  <c r="BL466" i="1"/>
  <c r="AZ22" i="8" s="1"/>
  <c r="AZ63" i="8" s="1"/>
  <c r="BM465" i="1"/>
  <c r="AT97" i="1"/>
  <c r="CL17" i="8" s="1"/>
  <c r="BJ237" i="1"/>
  <c r="BF377" i="1"/>
  <c r="AT28" i="51" s="1"/>
  <c r="AT92" i="51" s="1"/>
  <c r="BF378" i="1"/>
  <c r="BF382" i="1"/>
  <c r="BF375" i="1"/>
  <c r="AL194" i="1"/>
  <c r="AZ136" i="4"/>
  <c r="AZ149" i="4" s="1"/>
  <c r="AZ81" i="4"/>
  <c r="AZ69" i="1"/>
  <c r="AZ71" i="1" s="1"/>
  <c r="BJ77" i="4"/>
  <c r="BL168" i="4"/>
  <c r="BL177" i="4" s="1"/>
  <c r="BM169" i="4"/>
  <c r="BM176" i="4" s="1"/>
  <c r="AZ39" i="1"/>
  <c r="AN31" i="8" s="1"/>
  <c r="BN77" i="4"/>
  <c r="BI25" i="1"/>
  <c r="BL236" i="1"/>
  <c r="BI237" i="1"/>
  <c r="BI240" i="1" s="1"/>
  <c r="BJ240" i="1" s="1"/>
  <c r="BD53" i="1"/>
  <c r="BD54" i="1" s="1"/>
  <c r="BD251" i="1"/>
  <c r="BD248" i="1"/>
  <c r="AS84" i="4"/>
  <c r="AS97" i="4" s="1"/>
  <c r="AS74" i="1"/>
  <c r="AS175" i="1"/>
  <c r="AS176" i="1" s="1"/>
  <c r="BH437" i="1"/>
  <c r="BH434" i="1"/>
  <c r="BP70" i="4"/>
  <c r="BP84" i="5"/>
  <c r="BP47" i="4"/>
  <c r="BJ318" i="1"/>
  <c r="AZ116" i="51"/>
  <c r="AZ117" i="51"/>
  <c r="CX52" i="8"/>
  <c r="BQ172" i="4"/>
  <c r="BQ160" i="4" s="1"/>
  <c r="BP172" i="4"/>
  <c r="AR26" i="5"/>
  <c r="BA249" i="1"/>
  <c r="BB248" i="1"/>
  <c r="BF246" i="1"/>
  <c r="BF239" i="1"/>
  <c r="BF241" i="1"/>
  <c r="AT13" i="51" s="1"/>
  <c r="AT49" i="51" s="1"/>
  <c r="BF242" i="1"/>
  <c r="BD165" i="4"/>
  <c r="BI70" i="1"/>
  <c r="BB68" i="1"/>
  <c r="AP122" i="51"/>
  <c r="BB35" i="1"/>
  <c r="AS119" i="51"/>
  <c r="AS120" i="51" s="1"/>
  <c r="AS25" i="8"/>
  <c r="AS67" i="8" s="1"/>
  <c r="AX117" i="51"/>
  <c r="AX116" i="51"/>
  <c r="BH375" i="1"/>
  <c r="BH378" i="1"/>
  <c r="BH382" i="1"/>
  <c r="BF437" i="1"/>
  <c r="BF434" i="1"/>
  <c r="BF436" i="1"/>
  <c r="AT33" i="51" s="1"/>
  <c r="AT105" i="51" s="1"/>
  <c r="BF28" i="1"/>
  <c r="BF179" i="1"/>
  <c r="AT24" i="8"/>
  <c r="BG25" i="1"/>
  <c r="AK173" i="1"/>
  <c r="CC43" i="8"/>
  <c r="AR180" i="1"/>
  <c r="BJ26" i="1"/>
  <c r="BJ469" i="1"/>
  <c r="BJ466" i="1"/>
  <c r="AX22" i="8" s="1"/>
  <c r="AX63" i="8" s="1"/>
  <c r="BF339" i="1"/>
  <c r="BM87" i="4"/>
  <c r="BM468" i="1"/>
  <c r="BJ372" i="1"/>
  <c r="BA116" i="51"/>
  <c r="BA117" i="51"/>
  <c r="BL277" i="1"/>
  <c r="BI278" i="1"/>
  <c r="BI281" i="1" s="1"/>
  <c r="BH242" i="1"/>
  <c r="BH246" i="1"/>
  <c r="BH239" i="1"/>
  <c r="BH28" i="1"/>
  <c r="BH179" i="1"/>
  <c r="AV24" i="8"/>
  <c r="BA31" i="1"/>
  <c r="BE331" i="1"/>
  <c r="BE339" i="1"/>
  <c r="BD90" i="5"/>
  <c r="BD83" i="5" s="1"/>
  <c r="BD34" i="1"/>
  <c r="BD32" i="1"/>
  <c r="AR27" i="8"/>
  <c r="BJ431" i="1"/>
  <c r="BJ432" i="1" s="1"/>
  <c r="BH321" i="1"/>
  <c r="BH327" i="1"/>
  <c r="AU89" i="1"/>
  <c r="AI34" i="8" s="1"/>
  <c r="AI83" i="8" s="1"/>
  <c r="AT24" i="5"/>
  <c r="AS26" i="5"/>
  <c r="BQ74" i="4"/>
  <c r="BQ23" i="1"/>
  <c r="BE115" i="51"/>
  <c r="BI116" i="51" s="1"/>
  <c r="BE23" i="8"/>
  <c r="BJ90" i="4"/>
  <c r="AR118" i="1"/>
  <c r="CV52" i="8"/>
  <c r="BB329" i="1"/>
  <c r="BA330" i="1"/>
  <c r="CC14" i="8"/>
  <c r="AW63" i="5"/>
  <c r="AW51" i="5" s="1"/>
  <c r="AX54" i="5"/>
  <c r="AX63" i="5" s="1"/>
  <c r="BH78" i="4"/>
  <c r="BD332" i="1"/>
  <c r="BD329" i="1"/>
  <c r="BE395" i="1"/>
  <c r="BE394" i="1"/>
  <c r="BE386" i="1"/>
  <c r="BE384" i="1" s="1"/>
  <c r="BT84" i="5" l="1"/>
  <c r="BZ60" i="1"/>
  <c r="BZ63" i="1"/>
  <c r="BZ64" i="1" s="1"/>
  <c r="A42" i="4" a="1"/>
  <c r="A42" i="4" s="1"/>
  <c r="BU46" i="4"/>
  <c r="BV231" i="4"/>
  <c r="BX231" i="4"/>
  <c r="BX74" i="4"/>
  <c r="BX77" i="4" s="1"/>
  <c r="BX78" i="4" s="1"/>
  <c r="BL115" i="51"/>
  <c r="BX23" i="1"/>
  <c r="BT70" i="4"/>
  <c r="BT87" i="4" s="1"/>
  <c r="BT47" i="4"/>
  <c r="BT49" i="4" s="1"/>
  <c r="BV172" i="4"/>
  <c r="BV176" i="4"/>
  <c r="BZ39" i="4"/>
  <c r="A33" i="4" a="1"/>
  <c r="A33" i="4" s="1"/>
  <c r="BZ18" i="1"/>
  <c r="BZ20" i="1"/>
  <c r="BZ22" i="1" s="1"/>
  <c r="BH115" i="51"/>
  <c r="BT23" i="1"/>
  <c r="BT74" i="4"/>
  <c r="BT77" i="4" s="1"/>
  <c r="BT78" i="4" s="1"/>
  <c r="BW22" i="1"/>
  <c r="BJ117" i="51"/>
  <c r="AO30" i="8"/>
  <c r="BR177" i="4"/>
  <c r="AN82" i="8"/>
  <c r="AN69" i="8"/>
  <c r="AJ70" i="8"/>
  <c r="AJ83" i="8"/>
  <c r="BB37" i="1"/>
  <c r="E28" i="61"/>
  <c r="F25" i="61"/>
  <c r="BL90" i="4"/>
  <c r="AL45" i="1"/>
  <c r="AL46" i="1" s="1"/>
  <c r="AL108" i="5"/>
  <c r="AL105" i="5"/>
  <c r="AL106" i="5" s="1"/>
  <c r="AK178" i="1"/>
  <c r="AK174" i="1"/>
  <c r="AK177" i="1" s="1"/>
  <c r="AL197" i="1"/>
  <c r="AL195" i="1"/>
  <c r="AL196" i="1" s="1"/>
  <c r="BD388" i="1"/>
  <c r="BD390" i="1" s="1"/>
  <c r="AT26" i="5"/>
  <c r="AZ80" i="4"/>
  <c r="AZ72" i="1"/>
  <c r="BF384" i="1"/>
  <c r="BE385" i="1"/>
  <c r="BQ77" i="4"/>
  <c r="BJ327" i="1"/>
  <c r="BH30" i="1"/>
  <c r="BH258" i="1"/>
  <c r="BH250" i="1"/>
  <c r="AT176" i="1"/>
  <c r="CC28" i="8"/>
  <c r="BJ319" i="1"/>
  <c r="BJ323" i="1" s="1"/>
  <c r="AX23" i="51" s="1"/>
  <c r="AX77" i="51" s="1"/>
  <c r="BP87" i="4"/>
  <c r="BP468" i="1"/>
  <c r="BD249" i="1"/>
  <c r="BD252" i="1"/>
  <c r="BD254" i="1" s="1"/>
  <c r="BL25" i="1"/>
  <c r="BM236" i="1"/>
  <c r="BN236" i="1" s="1"/>
  <c r="BL237" i="1"/>
  <c r="BL240" i="1" s="1"/>
  <c r="AZ89" i="1"/>
  <c r="AZ96" i="1"/>
  <c r="BJ78" i="4"/>
  <c r="BM26" i="1"/>
  <c r="BP465" i="1"/>
  <c r="BM466" i="1"/>
  <c r="BA22" i="8" s="1"/>
  <c r="BA63" i="8" s="1"/>
  <c r="BE90" i="5"/>
  <c r="BE83" i="5" s="1"/>
  <c r="BF83" i="5" s="1"/>
  <c r="BE32" i="1"/>
  <c r="BE34" i="1"/>
  <c r="AS27" i="8"/>
  <c r="BI437" i="1"/>
  <c r="BI434" i="1"/>
  <c r="AN194" i="1"/>
  <c r="CW52" i="8"/>
  <c r="BN49" i="4"/>
  <c r="AV110" i="1"/>
  <c r="AV120" i="1"/>
  <c r="AV238" i="4"/>
  <c r="AV84" i="4"/>
  <c r="AV97" i="4" s="1"/>
  <c r="AV74" i="1"/>
  <c r="AV175" i="1"/>
  <c r="BF331" i="1"/>
  <c r="BF332" i="1" s="1"/>
  <c r="BE332" i="1"/>
  <c r="BE329" i="1"/>
  <c r="BA81" i="4"/>
  <c r="BA69" i="1"/>
  <c r="BA71" i="1" s="1"/>
  <c r="BJ70" i="1"/>
  <c r="BK26" i="1"/>
  <c r="BF30" i="1"/>
  <c r="BF258" i="1"/>
  <c r="BB249" i="1"/>
  <c r="BB252" i="1"/>
  <c r="BP49" i="4"/>
  <c r="BJ434" i="1"/>
  <c r="BJ436" i="1"/>
  <c r="AX33" i="51" s="1"/>
  <c r="AX105" i="51" s="1"/>
  <c r="BJ437" i="1"/>
  <c r="AS180" i="1"/>
  <c r="BI28" i="1"/>
  <c r="BJ25" i="1"/>
  <c r="BI179" i="1"/>
  <c r="AW24" i="8"/>
  <c r="AW107" i="1"/>
  <c r="AX107" i="1" s="1"/>
  <c r="BI327" i="1"/>
  <c r="BI321" i="1"/>
  <c r="AT74" i="1"/>
  <c r="AT175" i="1"/>
  <c r="BM431" i="1"/>
  <c r="BN431" i="1" s="1"/>
  <c r="BN432" i="1" s="1"/>
  <c r="BL432" i="1"/>
  <c r="BL435" i="1" s="1"/>
  <c r="BA56" i="1"/>
  <c r="BM78" i="4"/>
  <c r="BP77" i="4"/>
  <c r="BE165" i="4"/>
  <c r="BF286" i="1"/>
  <c r="AW238" i="4"/>
  <c r="BH286" i="1"/>
  <c r="BM372" i="1"/>
  <c r="BN372" i="1" s="1"/>
  <c r="BL373" i="1"/>
  <c r="BL376" i="1" s="1"/>
  <c r="BB81" i="4"/>
  <c r="BB69" i="1"/>
  <c r="BB71" i="1" s="1"/>
  <c r="BM88" i="4"/>
  <c r="BN88" i="4" s="1"/>
  <c r="BH339" i="1"/>
  <c r="BH331" i="1"/>
  <c r="BF386" i="1"/>
  <c r="BF387" i="1" s="1"/>
  <c r="BE387" i="1"/>
  <c r="BD330" i="1"/>
  <c r="BD333" i="1"/>
  <c r="BD335" i="1" s="1"/>
  <c r="BB330" i="1"/>
  <c r="BB333" i="1"/>
  <c r="BE47" i="8"/>
  <c r="BE66" i="8"/>
  <c r="BE64" i="8"/>
  <c r="BD31" i="1"/>
  <c r="AV119" i="51"/>
  <c r="AV120" i="51" s="1"/>
  <c r="AV25" i="8"/>
  <c r="AV67" i="8" s="1"/>
  <c r="BI280" i="1"/>
  <c r="BI283" i="1"/>
  <c r="BJ373" i="1"/>
  <c r="BJ377" i="1" s="1"/>
  <c r="AX28" i="51" s="1"/>
  <c r="AX92" i="51" s="1"/>
  <c r="CC47" i="8"/>
  <c r="AT119" i="51"/>
  <c r="AT120" i="51" s="1"/>
  <c r="AT25" i="8"/>
  <c r="AT67" i="8" s="1"/>
  <c r="BJ382" i="1"/>
  <c r="BJ378" i="1"/>
  <c r="BI239" i="1"/>
  <c r="BI242" i="1"/>
  <c r="BI246" i="1"/>
  <c r="BM168" i="4"/>
  <c r="BM177" i="4" s="1"/>
  <c r="AZ22" i="4"/>
  <c r="CR50" i="8" s="1"/>
  <c r="BA137" i="4"/>
  <c r="BA145" i="4" s="1"/>
  <c r="BF394" i="1"/>
  <c r="BF395" i="1"/>
  <c r="BN465" i="1"/>
  <c r="BE53" i="1"/>
  <c r="BE251" i="1"/>
  <c r="BF250" i="1"/>
  <c r="BF251" i="1" s="1"/>
  <c r="BE248" i="1"/>
  <c r="AY335" i="1"/>
  <c r="AW335" i="1"/>
  <c r="BR46" i="4"/>
  <c r="BR232" i="4"/>
  <c r="BR132" i="5" s="1"/>
  <c r="BR133" i="5" s="1"/>
  <c r="BA39" i="1"/>
  <c r="AO31" i="8" s="1"/>
  <c r="AO82" i="8" s="1"/>
  <c r="AY254" i="1"/>
  <c r="AW254" i="1"/>
  <c r="BD66" i="8"/>
  <c r="BD64" i="8"/>
  <c r="BD47" i="8"/>
  <c r="BH164" i="4"/>
  <c r="BJ157" i="4"/>
  <c r="BJ164" i="4" s="1"/>
  <c r="BN87" i="4"/>
  <c r="BN468" i="1"/>
  <c r="BR74" i="4"/>
  <c r="BR23" i="1"/>
  <c r="BF23" i="8"/>
  <c r="BF115" i="51"/>
  <c r="BJ116" i="51" s="1"/>
  <c r="AX51" i="5"/>
  <c r="CC16" i="8"/>
  <c r="AT118" i="1"/>
  <c r="BE116" i="51"/>
  <c r="BE117" i="51"/>
  <c r="BD37" i="1"/>
  <c r="BD55" i="1"/>
  <c r="BD68" i="1"/>
  <c r="AR122" i="51"/>
  <c r="AR123" i="51" s="1"/>
  <c r="AR28" i="8"/>
  <c r="AR68" i="8" s="1"/>
  <c r="BD35" i="1"/>
  <c r="BJ241" i="1"/>
  <c r="AX13" i="51" s="1"/>
  <c r="AX49" i="51" s="1"/>
  <c r="BJ246" i="1"/>
  <c r="BJ239" i="1"/>
  <c r="BJ242" i="1"/>
  <c r="BL278" i="1"/>
  <c r="BL281" i="1" s="1"/>
  <c r="BM277" i="1"/>
  <c r="BN277" i="1" s="1"/>
  <c r="BH395" i="1"/>
  <c r="BH386" i="1"/>
  <c r="BH387" i="1" s="1"/>
  <c r="BH394" i="1"/>
  <c r="CC27" i="8"/>
  <c r="BP160" i="4"/>
  <c r="BR160" i="4" s="1"/>
  <c r="BP176" i="4"/>
  <c r="BN78" i="4"/>
  <c r="AN183" i="1"/>
  <c r="AN184" i="1" s="1"/>
  <c r="AN185" i="1" s="1"/>
  <c r="AN186" i="1" s="1"/>
  <c r="BL70" i="1"/>
  <c r="AL173" i="1"/>
  <c r="CD43" i="8"/>
  <c r="AV26" i="5"/>
  <c r="AV127" i="5" s="1"/>
  <c r="AV129" i="5" s="1"/>
  <c r="BM318" i="1"/>
  <c r="BN318" i="1" s="1"/>
  <c r="BL319" i="1"/>
  <c r="BL322" i="1" s="1"/>
  <c r="BQ70" i="4"/>
  <c r="BQ84" i="5"/>
  <c r="BR84" i="5" s="1"/>
  <c r="BQ47" i="4"/>
  <c r="BM96" i="4"/>
  <c r="BD117" i="51"/>
  <c r="BD116" i="51"/>
  <c r="CX32" i="8"/>
  <c r="BL78" i="4"/>
  <c r="AX105" i="1"/>
  <c r="AS127" i="5"/>
  <c r="AS120" i="1"/>
  <c r="AS110" i="1"/>
  <c r="BJ281" i="1"/>
  <c r="BI382" i="1"/>
  <c r="BI375" i="1"/>
  <c r="BI378" i="1"/>
  <c r="BM89" i="4"/>
  <c r="BN89" i="4" s="1"/>
  <c r="BG28" i="1"/>
  <c r="BT468" i="1" l="1"/>
  <c r="BP116" i="51"/>
  <c r="BL117" i="51"/>
  <c r="BL116" i="51"/>
  <c r="BH117" i="51"/>
  <c r="BH116" i="51"/>
  <c r="BZ74" i="4"/>
  <c r="BZ77" i="4" s="1"/>
  <c r="BZ78" i="4" s="1"/>
  <c r="BN115" i="51"/>
  <c r="BZ23" i="1"/>
  <c r="BX46" i="4"/>
  <c r="BX84" i="5" s="1"/>
  <c r="BY231" i="4"/>
  <c r="BV46" i="4"/>
  <c r="BV232" i="4"/>
  <c r="BV132" i="5" s="1"/>
  <c r="BV133" i="5" s="1"/>
  <c r="BU70" i="4"/>
  <c r="BU87" i="4" s="1"/>
  <c r="BU47" i="4"/>
  <c r="BU49" i="4" s="1"/>
  <c r="BX169" i="4"/>
  <c r="BV168" i="4"/>
  <c r="BU172" i="4"/>
  <c r="BU160" i="4" s="1"/>
  <c r="BT172" i="4"/>
  <c r="BU84" i="5"/>
  <c r="BV84" i="5" s="1"/>
  <c r="AP30" i="8"/>
  <c r="AN34" i="8"/>
  <c r="AN70" i="8" s="1"/>
  <c r="BB39" i="1"/>
  <c r="AZ40" i="1" s="1"/>
  <c r="BB38" i="1"/>
  <c r="CT40" i="8" s="1"/>
  <c r="AN197" i="1"/>
  <c r="AN195" i="1"/>
  <c r="AN196" i="1" s="1"/>
  <c r="E33" i="61"/>
  <c r="C38" i="61"/>
  <c r="BP89" i="4"/>
  <c r="AK181" i="1"/>
  <c r="AL199" i="1"/>
  <c r="AL198" i="1"/>
  <c r="AL178" i="1"/>
  <c r="AL174" i="1"/>
  <c r="AL177" i="1" s="1"/>
  <c r="BJ321" i="1"/>
  <c r="BJ375" i="1"/>
  <c r="AX106" i="1"/>
  <c r="BN319" i="1"/>
  <c r="BB80" i="4"/>
  <c r="BB72" i="1"/>
  <c r="BA80" i="4"/>
  <c r="BA72" i="1"/>
  <c r="BP96" i="4"/>
  <c r="BN96" i="4"/>
  <c r="BQ87" i="4"/>
  <c r="BQ468" i="1"/>
  <c r="BP277" i="1"/>
  <c r="BM278" i="1"/>
  <c r="BM281" i="1" s="1"/>
  <c r="BN281" i="1" s="1"/>
  <c r="BJ258" i="1"/>
  <c r="BF116" i="51"/>
  <c r="BF117" i="51"/>
  <c r="BN90" i="4"/>
  <c r="BA89" i="1"/>
  <c r="BA96" i="1"/>
  <c r="BB96" i="1" s="1"/>
  <c r="BA136" i="4"/>
  <c r="BC145" i="4"/>
  <c r="BI30" i="1"/>
  <c r="BI250" i="1"/>
  <c r="BI258" i="1"/>
  <c r="BA333" i="1"/>
  <c r="BB335" i="1"/>
  <c r="BL378" i="1"/>
  <c r="BL382" i="1"/>
  <c r="BL375" i="1"/>
  <c r="BL437" i="1"/>
  <c r="BL434" i="1"/>
  <c r="AW119" i="51"/>
  <c r="AW120" i="51" s="1"/>
  <c r="AW25" i="8"/>
  <c r="AW67" i="8" s="1"/>
  <c r="BB254" i="1"/>
  <c r="BA252" i="1"/>
  <c r="AX238" i="4"/>
  <c r="BM70" i="1"/>
  <c r="BN237" i="1"/>
  <c r="BH90" i="5"/>
  <c r="BH83" i="5" s="1"/>
  <c r="BH32" i="1"/>
  <c r="BH34" i="1"/>
  <c r="AV27" i="8"/>
  <c r="BF385" i="1"/>
  <c r="BF388" i="1"/>
  <c r="AS129" i="5"/>
  <c r="CD47" i="8"/>
  <c r="BL280" i="1"/>
  <c r="BL283" i="1"/>
  <c r="BD51" i="1"/>
  <c r="BD52" i="1" s="1"/>
  <c r="BD56" i="1"/>
  <c r="BF64" i="8"/>
  <c r="BF47" i="8"/>
  <c r="BF66" i="8"/>
  <c r="BF53" i="1"/>
  <c r="BF54" i="1" s="1"/>
  <c r="BE54" i="1"/>
  <c r="AZ54" i="5"/>
  <c r="BP88" i="4"/>
  <c r="AV137" i="1"/>
  <c r="BE37" i="1"/>
  <c r="BE68" i="1"/>
  <c r="BE55" i="1"/>
  <c r="AS28" i="8"/>
  <c r="AS68" i="8" s="1"/>
  <c r="AS122" i="51"/>
  <c r="AS123" i="51" s="1"/>
  <c r="BE35" i="1"/>
  <c r="BL246" i="1"/>
  <c r="BL239" i="1"/>
  <c r="BL242" i="1"/>
  <c r="BL28" i="1"/>
  <c r="BL179" i="1"/>
  <c r="AZ24" i="8"/>
  <c r="BM90" i="4"/>
  <c r="BQ49" i="4"/>
  <c r="BL321" i="1"/>
  <c r="BL327" i="1"/>
  <c r="BP168" i="4"/>
  <c r="BP177" i="4" s="1"/>
  <c r="BQ169" i="4"/>
  <c r="BQ176" i="4" s="1"/>
  <c r="BR77" i="4"/>
  <c r="BJ156" i="4"/>
  <c r="BJ24" i="4" s="1"/>
  <c r="BJ166" i="4"/>
  <c r="BF248" i="1"/>
  <c r="BE249" i="1"/>
  <c r="BN26" i="1"/>
  <c r="BN466" i="1"/>
  <c r="BB22" i="8" s="1"/>
  <c r="BB63" i="8" s="1"/>
  <c r="BN469" i="1"/>
  <c r="BD81" i="4"/>
  <c r="BD69" i="1"/>
  <c r="BD71" i="1" s="1"/>
  <c r="BH332" i="1"/>
  <c r="BH329" i="1"/>
  <c r="BN373" i="1"/>
  <c r="BP78" i="4"/>
  <c r="BP431" i="1"/>
  <c r="BM432" i="1"/>
  <c r="BM435" i="1" s="1"/>
  <c r="BN435" i="1" s="1"/>
  <c r="BI331" i="1"/>
  <c r="BI339" i="1"/>
  <c r="AW110" i="1"/>
  <c r="AW137" i="1" s="1"/>
  <c r="AW120" i="1"/>
  <c r="AX120" i="1" s="1"/>
  <c r="AK131" i="5"/>
  <c r="BF329" i="1"/>
  <c r="BE330" i="1"/>
  <c r="BH53" i="1"/>
  <c r="BH54" i="1" s="1"/>
  <c r="BH251" i="1"/>
  <c r="BH248" i="1"/>
  <c r="AB39" i="8"/>
  <c r="AB74" i="8" s="1"/>
  <c r="BJ283" i="1"/>
  <c r="BJ280" i="1"/>
  <c r="BJ282" i="1"/>
  <c r="AX18" i="51" s="1"/>
  <c r="AX62" i="51" s="1"/>
  <c r="BP318" i="1"/>
  <c r="BM319" i="1"/>
  <c r="BM322" i="1" s="1"/>
  <c r="BI394" i="1"/>
  <c r="BI395" i="1"/>
  <c r="BI386" i="1"/>
  <c r="BI384" i="1" s="1"/>
  <c r="CD72" i="8"/>
  <c r="CD36" i="8"/>
  <c r="BN278" i="1"/>
  <c r="BD39" i="1"/>
  <c r="AR30" i="8"/>
  <c r="AS137" i="1"/>
  <c r="BH166" i="4"/>
  <c r="BI157" i="4"/>
  <c r="BI164" i="4" s="1"/>
  <c r="BH156" i="4"/>
  <c r="BH24" i="4" s="1"/>
  <c r="BR70" i="4"/>
  <c r="BR47" i="4"/>
  <c r="CC46" i="8"/>
  <c r="BI286" i="1"/>
  <c r="BP372" i="1"/>
  <c r="BM373" i="1"/>
  <c r="BM376" i="1" s="1"/>
  <c r="BN376" i="1" s="1"/>
  <c r="AT180" i="1"/>
  <c r="BJ28" i="1"/>
  <c r="BJ179" i="1"/>
  <c r="AX24" i="8"/>
  <c r="BK25" i="1"/>
  <c r="BF90" i="5"/>
  <c r="BF91" i="5" s="1"/>
  <c r="BF34" i="1"/>
  <c r="BF32" i="1"/>
  <c r="AT27" i="8"/>
  <c r="BG30" i="1"/>
  <c r="AV176" i="1"/>
  <c r="AV180" i="1"/>
  <c r="BE31" i="1"/>
  <c r="BP26" i="1"/>
  <c r="BQ465" i="1"/>
  <c r="BT465" i="1" s="1"/>
  <c r="BP466" i="1"/>
  <c r="BD22" i="8" s="1"/>
  <c r="BD63" i="8" s="1"/>
  <c r="BA105" i="1"/>
  <c r="BA82" i="5" s="1"/>
  <c r="AZ237" i="4"/>
  <c r="AZ29" i="5"/>
  <c r="AZ37" i="5" s="1"/>
  <c r="AZ24" i="5" s="1"/>
  <c r="BM25" i="1"/>
  <c r="BP236" i="1"/>
  <c r="BM237" i="1"/>
  <c r="BM240" i="1" s="1"/>
  <c r="BN240" i="1" s="1"/>
  <c r="BH384" i="1"/>
  <c r="BQ78" i="4"/>
  <c r="AZ83" i="4"/>
  <c r="BU468" i="1" l="1"/>
  <c r="BV70" i="4"/>
  <c r="BV87" i="4" s="1"/>
  <c r="BV47" i="4"/>
  <c r="BV49" i="4" s="1"/>
  <c r="BZ231" i="4"/>
  <c r="BY46" i="4"/>
  <c r="BX70" i="4"/>
  <c r="BX47" i="4"/>
  <c r="BX49" i="4" s="1"/>
  <c r="BA40" i="1"/>
  <c r="BB40" i="1" s="1"/>
  <c r="BR116" i="51"/>
  <c r="BN116" i="51"/>
  <c r="BN117" i="51"/>
  <c r="BT160" i="4"/>
  <c r="BV160" i="4" s="1"/>
  <c r="BT176" i="4"/>
  <c r="BV177" i="4"/>
  <c r="BZ169" i="4"/>
  <c r="BB89" i="1"/>
  <c r="BC89" i="1" s="1"/>
  <c r="BU465" i="1"/>
  <c r="BV465" i="1" s="1"/>
  <c r="BT26" i="1"/>
  <c r="BT466" i="1"/>
  <c r="BC39" i="1"/>
  <c r="AO34" i="8"/>
  <c r="AO83" i="8" s="1"/>
  <c r="AP34" i="8"/>
  <c r="AN83" i="8"/>
  <c r="AP31" i="8"/>
  <c r="AP82" i="8" s="1"/>
  <c r="BV468" i="1"/>
  <c r="BR465" i="1"/>
  <c r="BR26" i="1" s="1"/>
  <c r="BF37" i="1"/>
  <c r="AN199" i="1"/>
  <c r="AN198" i="1"/>
  <c r="BP90" i="4"/>
  <c r="C43" i="61"/>
  <c r="F38" i="61"/>
  <c r="F43" i="61" s="1"/>
  <c r="D42" i="61"/>
  <c r="D39" i="61"/>
  <c r="D38" i="61"/>
  <c r="D40" i="61"/>
  <c r="D41" i="61"/>
  <c r="E34" i="61"/>
  <c r="I34" i="61"/>
  <c r="BJ394" i="1"/>
  <c r="BJ395" i="1"/>
  <c r="AL181" i="1"/>
  <c r="BJ339" i="1"/>
  <c r="BQ88" i="4"/>
  <c r="BR88" i="4" s="1"/>
  <c r="BH165" i="4"/>
  <c r="BN436" i="1"/>
  <c r="BB33" i="51" s="1"/>
  <c r="BB105" i="51" s="1"/>
  <c r="BN437" i="1"/>
  <c r="BN434" i="1"/>
  <c r="BN382" i="1"/>
  <c r="BN375" i="1"/>
  <c r="BN377" i="1"/>
  <c r="BB28" i="51" s="1"/>
  <c r="BB92" i="51" s="1"/>
  <c r="BN378" i="1"/>
  <c r="BN239" i="1"/>
  <c r="BN241" i="1"/>
  <c r="BB13" i="51" s="1"/>
  <c r="BB49" i="51" s="1"/>
  <c r="BN242" i="1"/>
  <c r="BN246" i="1"/>
  <c r="BD80" i="4"/>
  <c r="BD72" i="1"/>
  <c r="AZ74" i="1"/>
  <c r="AZ175" i="1"/>
  <c r="BA107" i="1"/>
  <c r="BQ372" i="1"/>
  <c r="BT372" i="1" s="1"/>
  <c r="BP373" i="1"/>
  <c r="BP376" i="1" s="1"/>
  <c r="BR87" i="4"/>
  <c r="BR468" i="1"/>
  <c r="BI156" i="4"/>
  <c r="BI24" i="4" s="1"/>
  <c r="BL157" i="4"/>
  <c r="BI166" i="4"/>
  <c r="CD14" i="8"/>
  <c r="BI385" i="1"/>
  <c r="BJ384" i="1"/>
  <c r="BI387" i="1"/>
  <c r="BJ386" i="1"/>
  <c r="BJ387" i="1" s="1"/>
  <c r="BF330" i="1"/>
  <c r="BF333" i="1"/>
  <c r="BQ431" i="1"/>
  <c r="BT431" i="1" s="1"/>
  <c r="BP432" i="1"/>
  <c r="BP435" i="1" s="1"/>
  <c r="BE39" i="1"/>
  <c r="AS30" i="8"/>
  <c r="AX137" i="1"/>
  <c r="AZ63" i="5"/>
  <c r="AZ51" i="5" s="1"/>
  <c r="CF72" i="8"/>
  <c r="CF36" i="8"/>
  <c r="BI90" i="5"/>
  <c r="BI83" i="5" s="1"/>
  <c r="BJ83" i="5" s="1"/>
  <c r="BI32" i="1"/>
  <c r="BI34" i="1"/>
  <c r="AW27" i="8"/>
  <c r="BA22" i="4"/>
  <c r="CS50" i="8" s="1"/>
  <c r="BB136" i="4"/>
  <c r="BD105" i="1"/>
  <c r="BD82" i="5" s="1"/>
  <c r="BA237" i="4"/>
  <c r="BB237" i="4" s="1"/>
  <c r="BA29" i="5"/>
  <c r="BA37" i="5" s="1"/>
  <c r="BA24" i="5" s="1"/>
  <c r="BM283" i="1"/>
  <c r="BM280" i="1"/>
  <c r="BM321" i="1"/>
  <c r="BM327" i="1"/>
  <c r="BJ286" i="1"/>
  <c r="CC37" i="8"/>
  <c r="BI332" i="1"/>
  <c r="BJ331" i="1"/>
  <c r="BJ332" i="1" s="1"/>
  <c r="BI329" i="1"/>
  <c r="BF249" i="1"/>
  <c r="BF252" i="1"/>
  <c r="AZ119" i="51"/>
  <c r="AZ120" i="51" s="1"/>
  <c r="AZ25" i="8"/>
  <c r="AZ67" i="8" s="1"/>
  <c r="CD46" i="8"/>
  <c r="BA238" i="4"/>
  <c r="BA254" i="1"/>
  <c r="BC254" i="1"/>
  <c r="BQ277" i="1"/>
  <c r="BT277" i="1" s="1"/>
  <c r="BT278" i="1" s="1"/>
  <c r="BT281" i="1" s="1"/>
  <c r="BP278" i="1"/>
  <c r="BP281" i="1" s="1"/>
  <c r="BA83" i="4"/>
  <c r="BB83" i="4"/>
  <c r="BE81" i="4"/>
  <c r="BE69" i="1"/>
  <c r="BE71" i="1" s="1"/>
  <c r="BH385" i="1"/>
  <c r="BH388" i="1"/>
  <c r="BH390" i="1" s="1"/>
  <c r="BP25" i="1"/>
  <c r="BQ236" i="1"/>
  <c r="BT236" i="1" s="1"/>
  <c r="BP237" i="1"/>
  <c r="BP240" i="1" s="1"/>
  <c r="BB97" i="1"/>
  <c r="CT17" i="8" s="1"/>
  <c r="BR78" i="4"/>
  <c r="BN322" i="1"/>
  <c r="BE51" i="1"/>
  <c r="BE56" i="1"/>
  <c r="BN283" i="1"/>
  <c r="BN280" i="1"/>
  <c r="BN282" i="1"/>
  <c r="BB18" i="51" s="1"/>
  <c r="BB62" i="51" s="1"/>
  <c r="BH37" i="1"/>
  <c r="BH55" i="1"/>
  <c r="BH68" i="1"/>
  <c r="AV122" i="51"/>
  <c r="AV123" i="51" s="1"/>
  <c r="AV28" i="8"/>
  <c r="AV68" i="8" s="1"/>
  <c r="BH35" i="1"/>
  <c r="BJ30" i="1"/>
  <c r="BQ96" i="4"/>
  <c r="BT96" i="4" s="1"/>
  <c r="BU96" i="4" s="1"/>
  <c r="BM28" i="1"/>
  <c r="BN25" i="1"/>
  <c r="BM179" i="1"/>
  <c r="BA24" i="8"/>
  <c r="AZ26" i="5"/>
  <c r="BQ26" i="1"/>
  <c r="BQ466" i="1"/>
  <c r="BE22" i="8" s="1"/>
  <c r="BE63" i="8" s="1"/>
  <c r="BF31" i="1"/>
  <c r="BM375" i="1"/>
  <c r="BM378" i="1"/>
  <c r="BM382" i="1"/>
  <c r="BR49" i="4"/>
  <c r="BH249" i="1"/>
  <c r="BH252" i="1"/>
  <c r="BH254" i="1" s="1"/>
  <c r="AL131" i="5"/>
  <c r="BM242" i="1"/>
  <c r="BM246" i="1"/>
  <c r="BM239" i="1"/>
  <c r="BP70" i="1"/>
  <c r="BF68" i="1"/>
  <c r="AT122" i="51"/>
  <c r="AT123" i="51" s="1"/>
  <c r="AT28" i="8"/>
  <c r="AT68" i="8" s="1"/>
  <c r="BF35" i="1"/>
  <c r="BG34" i="1"/>
  <c r="AX119" i="51"/>
  <c r="AX120" i="51" s="1"/>
  <c r="AX25" i="8"/>
  <c r="AX67" i="8" s="1"/>
  <c r="BK28" i="1"/>
  <c r="BD89" i="1"/>
  <c r="BD96" i="1"/>
  <c r="AR31" i="8"/>
  <c r="CD35" i="8"/>
  <c r="BQ318" i="1"/>
  <c r="BT318" i="1" s="1"/>
  <c r="BP319" i="1"/>
  <c r="BP322" i="1" s="1"/>
  <c r="BM437" i="1"/>
  <c r="BM434" i="1"/>
  <c r="BH330" i="1"/>
  <c r="BH333" i="1"/>
  <c r="BH335" i="1" s="1"/>
  <c r="CC54" i="8"/>
  <c r="AK202" i="1"/>
  <c r="AK203" i="1" s="1"/>
  <c r="BN70" i="1"/>
  <c r="BO26" i="1"/>
  <c r="BJ165" i="4"/>
  <c r="BQ168" i="4"/>
  <c r="BQ177" i="4" s="1"/>
  <c r="BL331" i="1"/>
  <c r="BL339" i="1"/>
  <c r="BL30" i="1"/>
  <c r="BL250" i="1"/>
  <c r="BL258" i="1"/>
  <c r="AX110" i="1"/>
  <c r="BL286" i="1"/>
  <c r="BE388" i="1"/>
  <c r="BF390" i="1"/>
  <c r="BH31" i="1"/>
  <c r="BL394" i="1"/>
  <c r="BL395" i="1"/>
  <c r="BL386" i="1"/>
  <c r="BL387" i="1" s="1"/>
  <c r="BC335" i="1"/>
  <c r="BA335" i="1"/>
  <c r="BI53" i="1"/>
  <c r="BJ250" i="1"/>
  <c r="BJ251" i="1" s="1"/>
  <c r="BI251" i="1"/>
  <c r="BI248" i="1"/>
  <c r="BA149" i="4"/>
  <c r="BQ89" i="4"/>
  <c r="BR89" i="4" s="1"/>
  <c r="BT89" i="4" l="1"/>
  <c r="BU89" i="4" s="1"/>
  <c r="BV89" i="4" s="1"/>
  <c r="BB29" i="5"/>
  <c r="BB37" i="5" s="1"/>
  <c r="BT88" i="4"/>
  <c r="BR466" i="1"/>
  <c r="BF22" i="8" s="1"/>
  <c r="BF63" i="8" s="1"/>
  <c r="BT280" i="1"/>
  <c r="BT286" i="1" s="1"/>
  <c r="BT283" i="1"/>
  <c r="BU88" i="4"/>
  <c r="BT90" i="4"/>
  <c r="BT168" i="4"/>
  <c r="BT177" i="4" s="1"/>
  <c r="BU169" i="4"/>
  <c r="BU176" i="4" s="1"/>
  <c r="BU372" i="1"/>
  <c r="BV372" i="1" s="1"/>
  <c r="BT373" i="1"/>
  <c r="BT376" i="1" s="1"/>
  <c r="BU236" i="1"/>
  <c r="BV236" i="1" s="1"/>
  <c r="BT25" i="1"/>
  <c r="BT237" i="1"/>
  <c r="BT240" i="1" s="1"/>
  <c r="BV26" i="1"/>
  <c r="BV70" i="1" s="1"/>
  <c r="BV466" i="1"/>
  <c r="BT70" i="1"/>
  <c r="BV96" i="4"/>
  <c r="BX96" i="4"/>
  <c r="BY96" i="4" s="1"/>
  <c r="BZ96" i="4" s="1"/>
  <c r="BU277" i="1"/>
  <c r="BX465" i="1"/>
  <c r="BU26" i="1"/>
  <c r="BU70" i="1" s="1"/>
  <c r="BU466" i="1"/>
  <c r="BX87" i="4"/>
  <c r="BX468" i="1"/>
  <c r="BU318" i="1"/>
  <c r="BV318" i="1"/>
  <c r="BT319" i="1"/>
  <c r="BT322" i="1" s="1"/>
  <c r="BU431" i="1"/>
  <c r="BV431" i="1" s="1"/>
  <c r="BV432" i="1" s="1"/>
  <c r="BT432" i="1"/>
  <c r="BT435" i="1" s="1"/>
  <c r="BY70" i="4"/>
  <c r="BY47" i="4"/>
  <c r="BY49" i="4" s="1"/>
  <c r="AP83" i="8"/>
  <c r="BZ232" i="4"/>
  <c r="BZ132" i="5" s="1"/>
  <c r="BZ133" i="5" s="1"/>
  <c r="BZ46" i="4"/>
  <c r="BR469" i="1"/>
  <c r="BY84" i="5"/>
  <c r="BZ84" i="5" s="1"/>
  <c r="BZ172" i="4"/>
  <c r="BZ176" i="4" s="1"/>
  <c r="BZ168" i="4" s="1"/>
  <c r="BZ177" i="4" s="1"/>
  <c r="BV469" i="1"/>
  <c r="BF39" i="1"/>
  <c r="BD40" i="1" s="1"/>
  <c r="BR277" i="1"/>
  <c r="BR278" i="1" s="1"/>
  <c r="BR236" i="1"/>
  <c r="BR237" i="1" s="1"/>
  <c r="BQ432" i="1"/>
  <c r="BQ435" i="1" s="1"/>
  <c r="BR318" i="1"/>
  <c r="BR319" i="1" s="1"/>
  <c r="AT30" i="8"/>
  <c r="BF38" i="1"/>
  <c r="E43" i="61"/>
  <c r="D70" i="61" s="1"/>
  <c r="D43" i="61"/>
  <c r="AL203" i="1"/>
  <c r="AL204" i="1" s="1"/>
  <c r="AK204" i="1"/>
  <c r="BS26" i="1"/>
  <c r="BR431" i="1"/>
  <c r="BR432" i="1" s="1"/>
  <c r="BE80" i="4"/>
  <c r="BE72" i="1"/>
  <c r="CD54" i="8"/>
  <c r="AL202" i="1"/>
  <c r="CC53" i="8"/>
  <c r="CC77" i="8"/>
  <c r="AR69" i="8"/>
  <c r="BE105" i="1"/>
  <c r="CD27" i="8"/>
  <c r="BR96" i="4"/>
  <c r="BJ90" i="5"/>
  <c r="BJ91" i="5" s="1"/>
  <c r="BJ32" i="1"/>
  <c r="BJ34" i="1"/>
  <c r="AX27" i="8"/>
  <c r="BK30" i="1"/>
  <c r="BF51" i="1"/>
  <c r="BE52" i="1"/>
  <c r="BP246" i="1"/>
  <c r="BP239" i="1"/>
  <c r="BP242" i="1"/>
  <c r="BP28" i="1"/>
  <c r="BP179" i="1"/>
  <c r="BD24" i="8"/>
  <c r="BA84" i="4"/>
  <c r="BA97" i="4" s="1"/>
  <c r="BA74" i="1"/>
  <c r="BA175" i="1"/>
  <c r="BA176" i="1" s="1"/>
  <c r="BP283" i="1"/>
  <c r="BP280" i="1"/>
  <c r="BI330" i="1"/>
  <c r="BJ329" i="1"/>
  <c r="BB24" i="5"/>
  <c r="BA26" i="5"/>
  <c r="BB26" i="5" s="1"/>
  <c r="BI37" i="1"/>
  <c r="BI55" i="1"/>
  <c r="BI68" i="1"/>
  <c r="AW122" i="51"/>
  <c r="AW123" i="51" s="1"/>
  <c r="AW28" i="8"/>
  <c r="AW68" i="8" s="1"/>
  <c r="BI35" i="1"/>
  <c r="BE333" i="1"/>
  <c r="BF335" i="1"/>
  <c r="CD16" i="8"/>
  <c r="BQ373" i="1"/>
  <c r="BQ376" i="1" s="1"/>
  <c r="BR376" i="1" s="1"/>
  <c r="BD83" i="4"/>
  <c r="BN258" i="1"/>
  <c r="BH81" i="4"/>
  <c r="BH69" i="1"/>
  <c r="BH71" i="1" s="1"/>
  <c r="BG390" i="1"/>
  <c r="BE390" i="1"/>
  <c r="BQ319" i="1"/>
  <c r="BQ322" i="1" s="1"/>
  <c r="BR322" i="1" s="1"/>
  <c r="BD237" i="4"/>
  <c r="BD29" i="5"/>
  <c r="BD37" i="5" s="1"/>
  <c r="BD24" i="5" s="1"/>
  <c r="AR34" i="8"/>
  <c r="AR70" i="8" s="1"/>
  <c r="CD28" i="8"/>
  <c r="BM30" i="1"/>
  <c r="BM258" i="1"/>
  <c r="BM250" i="1"/>
  <c r="BM386" i="1"/>
  <c r="BM384" i="1" s="1"/>
  <c r="BM394" i="1"/>
  <c r="BM395" i="1"/>
  <c r="BQ70" i="1"/>
  <c r="BN28" i="1"/>
  <c r="BN179" i="1"/>
  <c r="BB24" i="8"/>
  <c r="BH51" i="1"/>
  <c r="BH52" i="1" s="1"/>
  <c r="BH56" i="1"/>
  <c r="BQ278" i="1"/>
  <c r="BQ281" i="1" s="1"/>
  <c r="AR82" i="8"/>
  <c r="BB22" i="4"/>
  <c r="CT50" i="8" s="1"/>
  <c r="BD137" i="4"/>
  <c r="BD145" i="4" s="1"/>
  <c r="BF137" i="4"/>
  <c r="BF145" i="4" s="1"/>
  <c r="BC136" i="4"/>
  <c r="BB149" i="4"/>
  <c r="BI31" i="1"/>
  <c r="CF35" i="8"/>
  <c r="BE89" i="1"/>
  <c r="BE96" i="1"/>
  <c r="AS31" i="8"/>
  <c r="BP434" i="1"/>
  <c r="BP437" i="1"/>
  <c r="CF18" i="8"/>
  <c r="BJ385" i="1"/>
  <c r="BJ388" i="1"/>
  <c r="BR372" i="1"/>
  <c r="BA110" i="1"/>
  <c r="BA137" i="1" s="1"/>
  <c r="BA120" i="1"/>
  <c r="BO25" i="1"/>
  <c r="BN394" i="1"/>
  <c r="BN395" i="1"/>
  <c r="BQ90" i="4"/>
  <c r="CC12" i="8"/>
  <c r="BI54" i="1"/>
  <c r="BJ53" i="1"/>
  <c r="BJ54" i="1" s="1"/>
  <c r="BJ248" i="1"/>
  <c r="BI249" i="1"/>
  <c r="BL53" i="1"/>
  <c r="BL54" i="1" s="1"/>
  <c r="BL251" i="1"/>
  <c r="BL248" i="1"/>
  <c r="BP321" i="1"/>
  <c r="BP327" i="1"/>
  <c r="CD37" i="8"/>
  <c r="BF81" i="4"/>
  <c r="BF69" i="1"/>
  <c r="BF71" i="1" s="1"/>
  <c r="BA119" i="51"/>
  <c r="BA120" i="51" s="1"/>
  <c r="BA25" i="8"/>
  <c r="BA67" i="8" s="1"/>
  <c r="BH39" i="1"/>
  <c r="AV30" i="8"/>
  <c r="BB74" i="1"/>
  <c r="BB175" i="1"/>
  <c r="BE252" i="1"/>
  <c r="BF254" i="1"/>
  <c r="BM331" i="1"/>
  <c r="BM339" i="1"/>
  <c r="BD107" i="1"/>
  <c r="BA54" i="5"/>
  <c r="BL384" i="1"/>
  <c r="BI165" i="4"/>
  <c r="BR90" i="4"/>
  <c r="BP382" i="1"/>
  <c r="BP375" i="1"/>
  <c r="BP378" i="1"/>
  <c r="BD238" i="4"/>
  <c r="BL90" i="5"/>
  <c r="BL83" i="5" s="1"/>
  <c r="BL32" i="1"/>
  <c r="BL34" i="1"/>
  <c r="AZ27" i="8"/>
  <c r="BL332" i="1"/>
  <c r="BL329" i="1"/>
  <c r="AK188" i="1"/>
  <c r="BR70" i="1"/>
  <c r="BN286" i="1"/>
  <c r="BN323" i="1"/>
  <c r="BB23" i="51" s="1"/>
  <c r="BB77" i="51" s="1"/>
  <c r="BN327" i="1"/>
  <c r="BN321" i="1"/>
  <c r="BQ25" i="1"/>
  <c r="BQ237" i="1"/>
  <c r="BQ240" i="1" s="1"/>
  <c r="BM286" i="1"/>
  <c r="BL164" i="4"/>
  <c r="BN157" i="4"/>
  <c r="BN164" i="4" s="1"/>
  <c r="AZ180" i="1"/>
  <c r="BB84" i="4"/>
  <c r="BB97" i="4" s="1"/>
  <c r="C70" i="61" l="1"/>
  <c r="E70" i="61"/>
  <c r="BV373" i="1"/>
  <c r="BT375" i="1"/>
  <c r="BT378" i="1"/>
  <c r="BT382" i="1"/>
  <c r="BV376" i="1"/>
  <c r="BY172" i="4"/>
  <c r="BY160" i="4" s="1"/>
  <c r="BX172" i="4"/>
  <c r="BT321" i="1"/>
  <c r="BT327" i="1"/>
  <c r="BW26" i="1"/>
  <c r="BV319" i="1"/>
  <c r="BX372" i="1"/>
  <c r="BU373" i="1"/>
  <c r="BU376" i="1" s="1"/>
  <c r="BZ70" i="4"/>
  <c r="BZ47" i="4"/>
  <c r="BZ49" i="4" s="1"/>
  <c r="BX318" i="1"/>
  <c r="BU319" i="1"/>
  <c r="BU322" i="1" s="1"/>
  <c r="BV322" i="1" s="1"/>
  <c r="BU168" i="4"/>
  <c r="BU177" i="4" s="1"/>
  <c r="BT242" i="1"/>
  <c r="BT246" i="1"/>
  <c r="BT239" i="1"/>
  <c r="BV240" i="1"/>
  <c r="BV237" i="1"/>
  <c r="A46" i="4" a="1"/>
  <c r="A46" i="4" s="1"/>
  <c r="BY87" i="4"/>
  <c r="BY468" i="1"/>
  <c r="BT179" i="1"/>
  <c r="BT28" i="1"/>
  <c r="BV88" i="4"/>
  <c r="BU90" i="4"/>
  <c r="BT437" i="1"/>
  <c r="BT434" i="1"/>
  <c r="BX26" i="1"/>
  <c r="BX70" i="1" s="1"/>
  <c r="BY465" i="1"/>
  <c r="BZ465" i="1" s="1"/>
  <c r="BX466" i="1"/>
  <c r="BX236" i="1"/>
  <c r="BU25" i="1"/>
  <c r="BU237" i="1"/>
  <c r="BU240" i="1" s="1"/>
  <c r="BV277" i="1"/>
  <c r="BV278" i="1" s="1"/>
  <c r="BX277" i="1"/>
  <c r="BU278" i="1"/>
  <c r="BU281" i="1" s="1"/>
  <c r="BX89" i="4"/>
  <c r="BY89" i="4" s="1"/>
  <c r="BZ89" i="4" s="1"/>
  <c r="BX431" i="1"/>
  <c r="BU432" i="1"/>
  <c r="BU435" i="1" s="1"/>
  <c r="BR435" i="1"/>
  <c r="BR434" i="1" s="1"/>
  <c r="AT31" i="8"/>
  <c r="AT69" i="8" s="1"/>
  <c r="BF89" i="1"/>
  <c r="AT34" i="8" s="1"/>
  <c r="AT70" i="8" s="1"/>
  <c r="BE40" i="1"/>
  <c r="BF40" i="1" s="1"/>
  <c r="BG39" i="1"/>
  <c r="BQ434" i="1"/>
  <c r="CX40" i="8"/>
  <c r="BQ437" i="1"/>
  <c r="BJ37" i="1"/>
  <c r="C75" i="61"/>
  <c r="E75" i="61"/>
  <c r="E66" i="61" s="1"/>
  <c r="AR83" i="8"/>
  <c r="AN45" i="1"/>
  <c r="AN46" i="1" s="1"/>
  <c r="AN105" i="5"/>
  <c r="AN106" i="5" s="1"/>
  <c r="BF105" i="1"/>
  <c r="BE82" i="5"/>
  <c r="BF82" i="5" s="1"/>
  <c r="BA127" i="5"/>
  <c r="BA129" i="5" s="1"/>
  <c r="D75" i="61"/>
  <c r="D66" i="61" s="1"/>
  <c r="AK189" i="1"/>
  <c r="AK190" i="1" s="1"/>
  <c r="AK191" i="1"/>
  <c r="BH80" i="4"/>
  <c r="BH72" i="1"/>
  <c r="BF80" i="4"/>
  <c r="BF72" i="1"/>
  <c r="BN339" i="1"/>
  <c r="BL330" i="1"/>
  <c r="BL333" i="1"/>
  <c r="BL335" i="1" s="1"/>
  <c r="BE254" i="1"/>
  <c r="BG254" i="1"/>
  <c r="CF27" i="8"/>
  <c r="BH96" i="1"/>
  <c r="BH89" i="1"/>
  <c r="AV31" i="8"/>
  <c r="BR323" i="1"/>
  <c r="BF23" i="51" s="1"/>
  <c r="BF77" i="51" s="1"/>
  <c r="BR321" i="1"/>
  <c r="BR327" i="1"/>
  <c r="BI388" i="1"/>
  <c r="BJ390" i="1"/>
  <c r="BD136" i="4"/>
  <c r="BD149" i="4" s="1"/>
  <c r="BD26" i="5"/>
  <c r="BD127" i="5" s="1"/>
  <c r="BD129" i="5" s="1"/>
  <c r="BQ321" i="1"/>
  <c r="BQ327" i="1"/>
  <c r="BG335" i="1"/>
  <c r="BE335" i="1"/>
  <c r="BJ330" i="1"/>
  <c r="BJ333" i="1"/>
  <c r="BF52" i="1"/>
  <c r="BF55" i="1"/>
  <c r="BF56" i="1" s="1"/>
  <c r="BJ31" i="1"/>
  <c r="CD53" i="8"/>
  <c r="CD77" i="8"/>
  <c r="BB176" i="1"/>
  <c r="BQ246" i="1"/>
  <c r="BQ239" i="1"/>
  <c r="BQ242" i="1"/>
  <c r="BL31" i="1"/>
  <c r="BR378" i="1"/>
  <c r="BR382" i="1"/>
  <c r="BD120" i="1"/>
  <c r="BD110" i="1"/>
  <c r="CF28" i="8"/>
  <c r="BB180" i="1"/>
  <c r="BP331" i="1"/>
  <c r="BP339" i="1"/>
  <c r="BJ249" i="1"/>
  <c r="BJ252" i="1"/>
  <c r="BH105" i="1"/>
  <c r="BH82" i="5" s="1"/>
  <c r="BQ280" i="1"/>
  <c r="BQ283" i="1"/>
  <c r="CD12" i="8"/>
  <c r="BN386" i="1"/>
  <c r="BN387" i="1" s="1"/>
  <c r="BM387" i="1"/>
  <c r="BM90" i="5"/>
  <c r="BM83" i="5" s="1"/>
  <c r="BN83" i="5" s="1"/>
  <c r="BM32" i="1"/>
  <c r="BM34" i="1"/>
  <c r="BA27" i="8"/>
  <c r="BI51" i="1"/>
  <c r="BI56" i="1"/>
  <c r="BR281" i="1"/>
  <c r="BA180" i="1"/>
  <c r="BD119" i="51"/>
  <c r="BD120" i="51" s="1"/>
  <c r="BD25" i="8"/>
  <c r="BD67" i="8" s="1"/>
  <c r="BE83" i="4"/>
  <c r="BF84" i="4" s="1"/>
  <c r="BF97" i="4" s="1"/>
  <c r="BN156" i="4"/>
  <c r="BN24" i="4" s="1"/>
  <c r="BN166" i="4"/>
  <c r="BL156" i="4"/>
  <c r="BL24" i="4" s="1"/>
  <c r="BL166" i="4"/>
  <c r="BM157" i="4"/>
  <c r="BM164" i="4" s="1"/>
  <c r="BP386" i="1"/>
  <c r="BP387" i="1" s="1"/>
  <c r="BP395" i="1"/>
  <c r="BP394" i="1"/>
  <c r="BL385" i="1"/>
  <c r="BL388" i="1"/>
  <c r="BL390" i="1" s="1"/>
  <c r="BN331" i="1"/>
  <c r="BN332" i="1" s="1"/>
  <c r="BM332" i="1"/>
  <c r="BM329" i="1"/>
  <c r="AS69" i="8"/>
  <c r="BE237" i="4"/>
  <c r="BF237" i="4" s="1"/>
  <c r="BE29" i="5"/>
  <c r="BE37" i="5" s="1"/>
  <c r="BE24" i="5" s="1"/>
  <c r="AS34" i="8"/>
  <c r="AS70" i="8" s="1"/>
  <c r="BB119" i="51"/>
  <c r="BB120" i="51" s="1"/>
  <c r="BB25" i="8"/>
  <c r="BB67" i="8" s="1"/>
  <c r="BG89" i="1"/>
  <c r="BD84" i="4"/>
  <c r="BD97" i="4" s="1"/>
  <c r="BD74" i="1"/>
  <c r="BD175" i="1"/>
  <c r="AS82" i="8"/>
  <c r="BI39" i="1"/>
  <c r="AW30" i="8"/>
  <c r="BP286" i="1"/>
  <c r="BR240" i="1"/>
  <c r="BE107" i="1"/>
  <c r="BF107" i="1" s="1"/>
  <c r="BQ28" i="1"/>
  <c r="BR25" i="1"/>
  <c r="BQ179" i="1"/>
  <c r="BE24" i="8"/>
  <c r="BN384" i="1"/>
  <c r="BM385" i="1"/>
  <c r="BL37" i="1"/>
  <c r="BL55" i="1"/>
  <c r="BL68" i="1"/>
  <c r="AZ122" i="51"/>
  <c r="AZ123" i="51" s="1"/>
  <c r="AZ28" i="8"/>
  <c r="AZ68" i="8" s="1"/>
  <c r="BL35" i="1"/>
  <c r="AN173" i="1"/>
  <c r="AN108" i="5"/>
  <c r="CF43" i="8"/>
  <c r="BA63" i="5"/>
  <c r="BA51" i="5" s="1"/>
  <c r="BB54" i="5"/>
  <c r="BB63" i="5" s="1"/>
  <c r="BL249" i="1"/>
  <c r="BL252" i="1"/>
  <c r="BL254" i="1" s="1"/>
  <c r="BR373" i="1"/>
  <c r="BR377" i="1" s="1"/>
  <c r="BF28" i="51" s="1"/>
  <c r="BF92" i="51" s="1"/>
  <c r="BI81" i="4"/>
  <c r="BI69" i="1"/>
  <c r="BI71" i="1" s="1"/>
  <c r="BM53" i="1"/>
  <c r="BM251" i="1"/>
  <c r="BN250" i="1"/>
  <c r="BN251" i="1" s="1"/>
  <c r="BM248" i="1"/>
  <c r="BN30" i="1"/>
  <c r="BQ378" i="1"/>
  <c r="BQ382" i="1"/>
  <c r="BQ375" i="1"/>
  <c r="BP30" i="1"/>
  <c r="BP258" i="1"/>
  <c r="BP250" i="1"/>
  <c r="BJ68" i="1"/>
  <c r="AX28" i="8"/>
  <c r="AX68" i="8" s="1"/>
  <c r="AX122" i="51"/>
  <c r="AX123" i="51" s="1"/>
  <c r="BJ35" i="1"/>
  <c r="BK34" i="1"/>
  <c r="BF96" i="1"/>
  <c r="AL188" i="1"/>
  <c r="AL189" i="1" s="1"/>
  <c r="AL190" i="1" s="1"/>
  <c r="BO28" i="1"/>
  <c r="BR436" i="1" l="1"/>
  <c r="BF33" i="51" s="1"/>
  <c r="BF105" i="51" s="1"/>
  <c r="BF29" i="5"/>
  <c r="BF37" i="5" s="1"/>
  <c r="BR437" i="1"/>
  <c r="BV25" i="1"/>
  <c r="BU179" i="1"/>
  <c r="BU28" i="1"/>
  <c r="BI119" i="51" s="1"/>
  <c r="BX88" i="4"/>
  <c r="BV90" i="4"/>
  <c r="BY318" i="1"/>
  <c r="BX319" i="1"/>
  <c r="BX322" i="1" s="1"/>
  <c r="BT331" i="1"/>
  <c r="BT339" i="1"/>
  <c r="BX25" i="1"/>
  <c r="BY236" i="1"/>
  <c r="BZ236" i="1" s="1"/>
  <c r="BZ237" i="1" s="1"/>
  <c r="BX237" i="1"/>
  <c r="BX240" i="1" s="1"/>
  <c r="BV239" i="1"/>
  <c r="BV258" i="1" s="1"/>
  <c r="BV246" i="1"/>
  <c r="BV241" i="1"/>
  <c r="BJ13" i="51" s="1"/>
  <c r="BJ49" i="51" s="1"/>
  <c r="BV242" i="1"/>
  <c r="BV327" i="1"/>
  <c r="BV323" i="1"/>
  <c r="BJ23" i="51" s="1"/>
  <c r="BJ77" i="51" s="1"/>
  <c r="BH119" i="51"/>
  <c r="BH120" i="51" s="1"/>
  <c r="BZ87" i="4"/>
  <c r="BZ468" i="1"/>
  <c r="BZ469" i="1" s="1"/>
  <c r="BX160" i="4"/>
  <c r="BZ160" i="4" s="1"/>
  <c r="BX176" i="4"/>
  <c r="BZ26" i="1"/>
  <c r="BZ70" i="1" s="1"/>
  <c r="BZ466" i="1"/>
  <c r="BT250" i="1"/>
  <c r="BT30" i="1"/>
  <c r="BT258" i="1"/>
  <c r="BU437" i="1"/>
  <c r="BU434" i="1"/>
  <c r="BY26" i="1"/>
  <c r="BY70" i="1" s="1"/>
  <c r="BY466" i="1"/>
  <c r="BV378" i="1"/>
  <c r="BV377" i="1"/>
  <c r="BJ28" i="51" s="1"/>
  <c r="BJ92" i="51" s="1"/>
  <c r="BV375" i="1"/>
  <c r="BV382" i="1"/>
  <c r="BY431" i="1"/>
  <c r="BX432" i="1"/>
  <c r="BX435" i="1" s="1"/>
  <c r="BU378" i="1"/>
  <c r="BU375" i="1"/>
  <c r="BU382" i="1"/>
  <c r="BV435" i="1"/>
  <c r="BY372" i="1"/>
  <c r="BZ372" i="1" s="1"/>
  <c r="BX373" i="1"/>
  <c r="BX376" i="1" s="1"/>
  <c r="BT394" i="1"/>
  <c r="BT395" i="1"/>
  <c r="BT386" i="1"/>
  <c r="BT387" i="1" s="1"/>
  <c r="BY277" i="1"/>
  <c r="BX278" i="1"/>
  <c r="BX281" i="1" s="1"/>
  <c r="BV321" i="1"/>
  <c r="BV339" i="1" s="1"/>
  <c r="BU280" i="1"/>
  <c r="BU286" i="1" s="1"/>
  <c r="BU283" i="1"/>
  <c r="BV281" i="1"/>
  <c r="BU239" i="1"/>
  <c r="BU242" i="1"/>
  <c r="BU246" i="1"/>
  <c r="BU321" i="1"/>
  <c r="BU327" i="1"/>
  <c r="AT82" i="8"/>
  <c r="AX30" i="8"/>
  <c r="BJ39" i="1"/>
  <c r="BE238" i="4"/>
  <c r="BF238" i="4" s="1"/>
  <c r="BJ38" i="1"/>
  <c r="BF106" i="1"/>
  <c r="AV82" i="8"/>
  <c r="AS83" i="8"/>
  <c r="AT83" i="8"/>
  <c r="AN174" i="1"/>
  <c r="AN177" i="1" s="1"/>
  <c r="AN178" i="1"/>
  <c r="D68" i="61"/>
  <c r="D79" i="61"/>
  <c r="D85" i="61"/>
  <c r="F75" i="61"/>
  <c r="F70" i="61" s="1"/>
  <c r="G75" i="61" s="1"/>
  <c r="C66" i="61"/>
  <c r="F66" i="61" s="1"/>
  <c r="E68" i="61"/>
  <c r="E79" i="61"/>
  <c r="E85" i="61"/>
  <c r="AL191" i="1"/>
  <c r="AL192" i="1" s="1"/>
  <c r="AK192" i="1"/>
  <c r="BP384" i="1"/>
  <c r="BP388" i="1" s="1"/>
  <c r="BP390" i="1" s="1"/>
  <c r="BN165" i="4"/>
  <c r="BI80" i="4"/>
  <c r="BI72" i="1"/>
  <c r="AN131" i="5"/>
  <c r="BL51" i="1"/>
  <c r="BL52" i="1" s="1"/>
  <c r="BL56" i="1"/>
  <c r="BR28" i="1"/>
  <c r="BR179" i="1"/>
  <c r="BF24" i="8"/>
  <c r="BM31" i="1"/>
  <c r="BJ254" i="1"/>
  <c r="BI252" i="1"/>
  <c r="BR375" i="1"/>
  <c r="BJ81" i="4"/>
  <c r="BJ69" i="1"/>
  <c r="BJ71" i="1" s="1"/>
  <c r="BI333" i="1"/>
  <c r="BJ335" i="1"/>
  <c r="BI105" i="1"/>
  <c r="CD29" i="8"/>
  <c r="CC29" i="8"/>
  <c r="BS25" i="1"/>
  <c r="BN90" i="5"/>
  <c r="BN91" i="5" s="1"/>
  <c r="BN34" i="1"/>
  <c r="BN32" i="1"/>
  <c r="BB27" i="8"/>
  <c r="BO30" i="1"/>
  <c r="BE120" i="1"/>
  <c r="BF120" i="1" s="1"/>
  <c r="BE110" i="1"/>
  <c r="BE137" i="1" s="1"/>
  <c r="BD176" i="1"/>
  <c r="BD180" i="1"/>
  <c r="BL165" i="4"/>
  <c r="BE84" i="4"/>
  <c r="BE97" i="4" s="1"/>
  <c r="BE74" i="1"/>
  <c r="BE175" i="1"/>
  <c r="BE176" i="1" s="1"/>
  <c r="BQ286" i="1"/>
  <c r="BH107" i="1"/>
  <c r="BQ339" i="1"/>
  <c r="BQ331" i="1"/>
  <c r="BR339" i="1"/>
  <c r="AV69" i="8"/>
  <c r="BP53" i="1"/>
  <c r="BP54" i="1" s="1"/>
  <c r="BP251" i="1"/>
  <c r="BP248" i="1"/>
  <c r="BN53" i="1"/>
  <c r="BN54" i="1" s="1"/>
  <c r="BM54" i="1"/>
  <c r="BM249" i="1"/>
  <c r="BN248" i="1"/>
  <c r="CF47" i="8"/>
  <c r="BL39" i="1"/>
  <c r="AZ30" i="8"/>
  <c r="BE119" i="51"/>
  <c r="BE120" i="51" s="1"/>
  <c r="BE25" i="8"/>
  <c r="BE67" i="8" s="1"/>
  <c r="BH238" i="4"/>
  <c r="BI96" i="1"/>
  <c r="BI89" i="1"/>
  <c r="AW31" i="8"/>
  <c r="BN329" i="1"/>
  <c r="BM330" i="1"/>
  <c r="BM156" i="4"/>
  <c r="BM24" i="4" s="1"/>
  <c r="BM166" i="4"/>
  <c r="BP157" i="4"/>
  <c r="BI52" i="1"/>
  <c r="BJ51" i="1"/>
  <c r="BD137" i="1"/>
  <c r="BQ30" i="1"/>
  <c r="BQ250" i="1"/>
  <c r="BQ258" i="1"/>
  <c r="BD22" i="4"/>
  <c r="BE137" i="4"/>
  <c r="BE145" i="4" s="1"/>
  <c r="BF97" i="1"/>
  <c r="BP90" i="5"/>
  <c r="BP83" i="5" s="1"/>
  <c r="BP32" i="1"/>
  <c r="BP34" i="1"/>
  <c r="BD27" i="8"/>
  <c r="BQ395" i="1"/>
  <c r="BQ394" i="1"/>
  <c r="BQ386" i="1"/>
  <c r="BQ384" i="1" s="1"/>
  <c r="BB51" i="5"/>
  <c r="BN385" i="1"/>
  <c r="BN388" i="1"/>
  <c r="BR242" i="1"/>
  <c r="BR241" i="1"/>
  <c r="BF13" i="51" s="1"/>
  <c r="BF49" i="51" s="1"/>
  <c r="BR246" i="1"/>
  <c r="BR239" i="1"/>
  <c r="BE26" i="5"/>
  <c r="BF26" i="5" s="1"/>
  <c r="BF24" i="5"/>
  <c r="BR282" i="1"/>
  <c r="BF18" i="51" s="1"/>
  <c r="BF62" i="51" s="1"/>
  <c r="BR280" i="1"/>
  <c r="BR283" i="1"/>
  <c r="BM37" i="1"/>
  <c r="BM55" i="1"/>
  <c r="BM68" i="1"/>
  <c r="BA122" i="51"/>
  <c r="BA123" i="51" s="1"/>
  <c r="BA28" i="8"/>
  <c r="BA68" i="8" s="1"/>
  <c r="BM35" i="1"/>
  <c r="BP332" i="1"/>
  <c r="BP329" i="1"/>
  <c r="BL81" i="4"/>
  <c r="BL69" i="1"/>
  <c r="BL71" i="1" s="1"/>
  <c r="BK390" i="1"/>
  <c r="BI390" i="1"/>
  <c r="BH237" i="4"/>
  <c r="BH29" i="5"/>
  <c r="BH37" i="5" s="1"/>
  <c r="BH24" i="5" s="1"/>
  <c r="AV34" i="8"/>
  <c r="AV70" i="8" s="1"/>
  <c r="BF83" i="4"/>
  <c r="BH83" i="4"/>
  <c r="BK39" i="1" l="1"/>
  <c r="AX31" i="8"/>
  <c r="AX69" i="8" s="1"/>
  <c r="BH40" i="1"/>
  <c r="BV283" i="1"/>
  <c r="BV282" i="1"/>
  <c r="BJ18" i="51" s="1"/>
  <c r="BJ62" i="51" s="1"/>
  <c r="BV280" i="1"/>
  <c r="BV286" i="1" s="1"/>
  <c r="BZ373" i="1"/>
  <c r="BX321" i="1"/>
  <c r="BX327" i="1"/>
  <c r="BY373" i="1"/>
  <c r="BY376" i="1" s="1"/>
  <c r="BZ376" i="1" s="1"/>
  <c r="BV395" i="1"/>
  <c r="BV394" i="1"/>
  <c r="BY319" i="1"/>
  <c r="BY322" i="1" s="1"/>
  <c r="BZ322" i="1" s="1"/>
  <c r="BY169" i="4"/>
  <c r="BY176" i="4" s="1"/>
  <c r="BX168" i="4"/>
  <c r="BX177" i="4" s="1"/>
  <c r="BZ318" i="1"/>
  <c r="BZ319" i="1" s="1"/>
  <c r="BV437" i="1"/>
  <c r="BV436" i="1"/>
  <c r="BJ33" i="51" s="1"/>
  <c r="BJ105" i="51" s="1"/>
  <c r="BV434" i="1"/>
  <c r="BU339" i="1"/>
  <c r="BU331" i="1"/>
  <c r="BX283" i="1"/>
  <c r="BX280" i="1"/>
  <c r="BX286" i="1" s="1"/>
  <c r="BX242" i="1"/>
  <c r="BX239" i="1"/>
  <c r="BX246" i="1"/>
  <c r="BY88" i="4"/>
  <c r="BX90" i="4"/>
  <c r="BZ277" i="1"/>
  <c r="BZ278" i="1" s="1"/>
  <c r="BY278" i="1"/>
  <c r="BY281" i="1" s="1"/>
  <c r="BT384" i="1"/>
  <c r="BI120" i="51"/>
  <c r="BY25" i="1"/>
  <c r="BY237" i="1"/>
  <c r="BY240" i="1" s="1"/>
  <c r="BZ240" i="1" s="1"/>
  <c r="BU386" i="1"/>
  <c r="BU384" i="1" s="1"/>
  <c r="BU394" i="1"/>
  <c r="BU395" i="1"/>
  <c r="BX179" i="1"/>
  <c r="BX28" i="1"/>
  <c r="BL119" i="51" s="1"/>
  <c r="BV179" i="1"/>
  <c r="BV28" i="1"/>
  <c r="BW25" i="1"/>
  <c r="BU258" i="1"/>
  <c r="BU30" i="1"/>
  <c r="BU250" i="1"/>
  <c r="BX437" i="1"/>
  <c r="BX434" i="1"/>
  <c r="BT90" i="5"/>
  <c r="BT83" i="5" s="1"/>
  <c r="BT34" i="1"/>
  <c r="BT32" i="1"/>
  <c r="BT31" i="1" s="1"/>
  <c r="BT332" i="1"/>
  <c r="BT329" i="1"/>
  <c r="BX378" i="1"/>
  <c r="BX382" i="1"/>
  <c r="BX375" i="1"/>
  <c r="BZ431" i="1"/>
  <c r="BZ432" i="1" s="1"/>
  <c r="BY432" i="1"/>
  <c r="BY435" i="1" s="1"/>
  <c r="BT251" i="1"/>
  <c r="BT53" i="1"/>
  <c r="BT54" i="1" s="1"/>
  <c r="BT248" i="1"/>
  <c r="BI40" i="1"/>
  <c r="BJ89" i="1"/>
  <c r="BK89" i="1" s="1"/>
  <c r="AV83" i="8"/>
  <c r="AN181" i="1"/>
  <c r="BJ105" i="1"/>
  <c r="BI82" i="5"/>
  <c r="BJ82" i="5" s="1"/>
  <c r="C79" i="61"/>
  <c r="C85" i="61"/>
  <c r="C68" i="61"/>
  <c r="BP385" i="1"/>
  <c r="BF137" i="1"/>
  <c r="BF110" i="1"/>
  <c r="BL80" i="4"/>
  <c r="BL72" i="1"/>
  <c r="BR384" i="1"/>
  <c r="BQ385" i="1"/>
  <c r="BQ53" i="1"/>
  <c r="BQ251" i="1"/>
  <c r="BR250" i="1"/>
  <c r="BR251" i="1" s="1"/>
  <c r="BQ248" i="1"/>
  <c r="BN330" i="1"/>
  <c r="BN333" i="1"/>
  <c r="AW69" i="8"/>
  <c r="BL105" i="1"/>
  <c r="BL82" i="5" s="1"/>
  <c r="BL89" i="1"/>
  <c r="BL96" i="1"/>
  <c r="AZ31" i="8"/>
  <c r="CF46" i="8"/>
  <c r="BF176" i="1"/>
  <c r="AW82" i="8"/>
  <c r="BJ96" i="1"/>
  <c r="BI254" i="1"/>
  <c r="BK254" i="1"/>
  <c r="BF119" i="51"/>
  <c r="BF120" i="51" s="1"/>
  <c r="BF25" i="8"/>
  <c r="BF67" i="8" s="1"/>
  <c r="BS28" i="1"/>
  <c r="BM39" i="1"/>
  <c r="BA30" i="8"/>
  <c r="BD54" i="5"/>
  <c r="CV50" i="8"/>
  <c r="BP330" i="1"/>
  <c r="BP333" i="1"/>
  <c r="BP335" i="1" s="1"/>
  <c r="BP31" i="1"/>
  <c r="BJ80" i="4"/>
  <c r="BJ72" i="1"/>
  <c r="BQ90" i="5"/>
  <c r="BQ83" i="5" s="1"/>
  <c r="BR83" i="5" s="1"/>
  <c r="BQ32" i="1"/>
  <c r="BQ34" i="1"/>
  <c r="BE27" i="8"/>
  <c r="BJ52" i="1"/>
  <c r="BJ55" i="1"/>
  <c r="BJ56" i="1" s="1"/>
  <c r="BN37" i="1"/>
  <c r="BR331" i="1"/>
  <c r="BR332" i="1" s="1"/>
  <c r="BQ332" i="1"/>
  <c r="BQ329" i="1"/>
  <c r="BH110" i="1"/>
  <c r="BH120" i="1"/>
  <c r="BE180" i="1"/>
  <c r="BN31" i="1"/>
  <c r="BK335" i="1"/>
  <c r="BI335" i="1"/>
  <c r="CF37" i="8"/>
  <c r="BR286" i="1"/>
  <c r="BF74" i="1"/>
  <c r="BF175" i="1"/>
  <c r="BR30" i="1"/>
  <c r="BR258" i="1"/>
  <c r="BP249" i="1"/>
  <c r="BP252" i="1"/>
  <c r="BP254" i="1" s="1"/>
  <c r="BR394" i="1"/>
  <c r="BR395" i="1"/>
  <c r="BM81" i="4"/>
  <c r="BM69" i="1"/>
  <c r="BM71" i="1" s="1"/>
  <c r="BH26" i="5"/>
  <c r="BH127" i="5" s="1"/>
  <c r="BH129" i="5" s="1"/>
  <c r="BM388" i="1"/>
  <c r="BN390" i="1"/>
  <c r="CX17" i="8"/>
  <c r="BR157" i="4"/>
  <c r="BR164" i="4" s="1"/>
  <c r="BP164" i="4"/>
  <c r="BH84" i="4"/>
  <c r="BH97" i="4" s="1"/>
  <c r="BH74" i="1"/>
  <c r="BH175" i="1"/>
  <c r="BM51" i="1"/>
  <c r="BM56" i="1"/>
  <c r="BR386" i="1"/>
  <c r="BR387" i="1" s="1"/>
  <c r="BQ387" i="1"/>
  <c r="BP37" i="1"/>
  <c r="BP55" i="1"/>
  <c r="BP68" i="1"/>
  <c r="BD28" i="8"/>
  <c r="BD68" i="8" s="1"/>
  <c r="BD122" i="51"/>
  <c r="BD123" i="51" s="1"/>
  <c r="BP35" i="1"/>
  <c r="BE136" i="4"/>
  <c r="BE149" i="4" s="1"/>
  <c r="BG145" i="4"/>
  <c r="BM165" i="4"/>
  <c r="BI237" i="4"/>
  <c r="BJ237" i="4" s="1"/>
  <c r="BI29" i="5"/>
  <c r="BI37" i="5" s="1"/>
  <c r="BI24" i="5" s="1"/>
  <c r="AW34" i="8"/>
  <c r="AW70" i="8" s="1"/>
  <c r="BN249" i="1"/>
  <c r="BN252" i="1"/>
  <c r="BE127" i="5"/>
  <c r="CC13" i="8"/>
  <c r="BN68" i="1"/>
  <c r="BB122" i="51"/>
  <c r="BB123" i="51" s="1"/>
  <c r="BB28" i="8"/>
  <c r="BB68" i="8" s="1"/>
  <c r="BN35" i="1"/>
  <c r="BO34" i="1"/>
  <c r="BI107" i="1"/>
  <c r="AX82" i="8"/>
  <c r="BI83" i="4"/>
  <c r="BJ84" i="4" s="1"/>
  <c r="BJ97" i="4" s="1"/>
  <c r="AX34" i="8" l="1"/>
  <c r="AX70" i="8" s="1"/>
  <c r="BJ29" i="5"/>
  <c r="BJ37" i="5" s="1"/>
  <c r="BJ40" i="1"/>
  <c r="BT249" i="1"/>
  <c r="BT252" i="1"/>
  <c r="BT254" i="1" s="1"/>
  <c r="BT81" i="4"/>
  <c r="BT69" i="1"/>
  <c r="BJ119" i="51"/>
  <c r="BJ120" i="51" s="1"/>
  <c r="BW28" i="1"/>
  <c r="BU385" i="1"/>
  <c r="BV384" i="1"/>
  <c r="BX30" i="1"/>
  <c r="BX250" i="1"/>
  <c r="BX258" i="1"/>
  <c r="BY375" i="1"/>
  <c r="BY378" i="1"/>
  <c r="BY382" i="1"/>
  <c r="BH122" i="51"/>
  <c r="BH123" i="51" s="1"/>
  <c r="BT37" i="1"/>
  <c r="BT55" i="1"/>
  <c r="BT68" i="1"/>
  <c r="BT35" i="1"/>
  <c r="BT385" i="1"/>
  <c r="BT388" i="1"/>
  <c r="BT390" i="1" s="1"/>
  <c r="BL120" i="51"/>
  <c r="BP120" i="51"/>
  <c r="BZ239" i="1"/>
  <c r="BZ246" i="1"/>
  <c r="BZ241" i="1"/>
  <c r="BN13" i="51" s="1"/>
  <c r="BN49" i="51" s="1"/>
  <c r="BZ242" i="1"/>
  <c r="BX331" i="1"/>
  <c r="BX339" i="1"/>
  <c r="BY280" i="1"/>
  <c r="BY286" i="1" s="1"/>
  <c r="BY283" i="1"/>
  <c r="BZ281" i="1"/>
  <c r="BY168" i="4"/>
  <c r="BY177" i="4" s="1"/>
  <c r="BZ327" i="1"/>
  <c r="BZ321" i="1"/>
  <c r="BZ339" i="1" s="1"/>
  <c r="BZ323" i="1"/>
  <c r="BN23" i="51" s="1"/>
  <c r="BN77" i="51" s="1"/>
  <c r="BZ435" i="1"/>
  <c r="BY434" i="1"/>
  <c r="BY437" i="1"/>
  <c r="BX386" i="1"/>
  <c r="BX387" i="1" s="1"/>
  <c r="BX394" i="1"/>
  <c r="BX395" i="1"/>
  <c r="BU53" i="1"/>
  <c r="BV250" i="1"/>
  <c r="BV251" i="1" s="1"/>
  <c r="BU251" i="1"/>
  <c r="BU248" i="1"/>
  <c r="BU387" i="1"/>
  <c r="BV386" i="1"/>
  <c r="BV387" i="1" s="1"/>
  <c r="BU332" i="1"/>
  <c r="BV331" i="1"/>
  <c r="BV332" i="1" s="1"/>
  <c r="BU329" i="1"/>
  <c r="BU330" i="1" s="1"/>
  <c r="BY321" i="1"/>
  <c r="BY327" i="1"/>
  <c r="BZ375" i="1"/>
  <c r="BZ377" i="1"/>
  <c r="BN28" i="51" s="1"/>
  <c r="BN92" i="51" s="1"/>
  <c r="BZ378" i="1"/>
  <c r="BZ382" i="1"/>
  <c r="BY246" i="1"/>
  <c r="BY239" i="1"/>
  <c r="BY242" i="1"/>
  <c r="BZ88" i="4"/>
  <c r="BZ90" i="4" s="1"/>
  <c r="BY90" i="4"/>
  <c r="BU90" i="5"/>
  <c r="BU83" i="5" s="1"/>
  <c r="BV83" i="5" s="1"/>
  <c r="BU32" i="1"/>
  <c r="BU31" i="1" s="1"/>
  <c r="BU34" i="1"/>
  <c r="BT330" i="1"/>
  <c r="BT333" i="1"/>
  <c r="BT335" i="1" s="1"/>
  <c r="BY179" i="1"/>
  <c r="BZ25" i="1"/>
  <c r="BY28" i="1"/>
  <c r="BM119" i="51" s="1"/>
  <c r="BV30" i="1"/>
  <c r="BN38" i="1"/>
  <c r="AZ82" i="8"/>
  <c r="AW83" i="8"/>
  <c r="AX83" i="8"/>
  <c r="BI238" i="4"/>
  <c r="BJ238" i="4" s="1"/>
  <c r="E63" i="61"/>
  <c r="F79" i="61"/>
  <c r="A3" i="8"/>
  <c r="DA5" i="8" s="1"/>
  <c r="F85" i="61"/>
  <c r="F68" i="61"/>
  <c r="C1" i="1"/>
  <c r="BI120" i="1"/>
  <c r="BJ120" i="1" s="1"/>
  <c r="BI110" i="1"/>
  <c r="BI137" i="1" s="1"/>
  <c r="BL238" i="4"/>
  <c r="BE129" i="5"/>
  <c r="BF127" i="5"/>
  <c r="BF129" i="5" s="1"/>
  <c r="BJ24" i="5"/>
  <c r="BI26" i="5"/>
  <c r="BJ26" i="5" s="1"/>
  <c r="BR90" i="5"/>
  <c r="BR91" i="5" s="1"/>
  <c r="BR34" i="1"/>
  <c r="BR32" i="1"/>
  <c r="BF27" i="8"/>
  <c r="BS30" i="1"/>
  <c r="BF180" i="1"/>
  <c r="BN81" i="4"/>
  <c r="BN69" i="1"/>
  <c r="BN71" i="1" s="1"/>
  <c r="BR329" i="1"/>
  <c r="BQ330" i="1"/>
  <c r="BN39" i="1"/>
  <c r="BO39" i="1" s="1"/>
  <c r="BB30" i="8"/>
  <c r="CD13" i="8"/>
  <c r="AZ69" i="8"/>
  <c r="BQ54" i="1"/>
  <c r="BR53" i="1"/>
  <c r="BR54" i="1" s="1"/>
  <c r="BL83" i="4"/>
  <c r="BI84" i="4"/>
  <c r="BI97" i="4" s="1"/>
  <c r="BI74" i="1"/>
  <c r="BI175" i="1"/>
  <c r="BI176" i="1" s="1"/>
  <c r="BP56" i="1"/>
  <c r="BP51" i="1"/>
  <c r="BP52" i="1" s="1"/>
  <c r="BH176" i="1"/>
  <c r="BH180" i="1"/>
  <c r="BQ157" i="4"/>
  <c r="BQ164" i="4" s="1"/>
  <c r="BT157" i="4" s="1"/>
  <c r="BP156" i="4"/>
  <c r="BP24" i="4" s="1"/>
  <c r="BP166" i="4"/>
  <c r="BJ107" i="1"/>
  <c r="BJ106" i="1" s="1"/>
  <c r="BM105" i="1"/>
  <c r="BL237" i="4"/>
  <c r="BL29" i="5"/>
  <c r="BL37" i="5" s="1"/>
  <c r="BL24" i="5" s="1"/>
  <c r="AZ34" i="8"/>
  <c r="AZ70" i="8" s="1"/>
  <c r="BQ249" i="1"/>
  <c r="BR248" i="1"/>
  <c r="BR385" i="1"/>
  <c r="BR388" i="1"/>
  <c r="CC15" i="8"/>
  <c r="CF54" i="8"/>
  <c r="AN202" i="1"/>
  <c r="AN203" i="1" s="1"/>
  <c r="AN204" i="1" s="1"/>
  <c r="BP39" i="1"/>
  <c r="BD30" i="8"/>
  <c r="BR166" i="4"/>
  <c r="BR156" i="4"/>
  <c r="BR24" i="4" s="1"/>
  <c r="BM80" i="4"/>
  <c r="BM72" i="1"/>
  <c r="BH137" i="1"/>
  <c r="BQ37" i="1"/>
  <c r="BQ55" i="1"/>
  <c r="BQ68" i="1"/>
  <c r="BE122" i="51"/>
  <c r="BE123" i="51" s="1"/>
  <c r="BE28" i="8"/>
  <c r="BE68" i="8" s="1"/>
  <c r="BQ35" i="1"/>
  <c r="BJ83" i="4"/>
  <c r="BD63" i="5"/>
  <c r="BD51" i="5" s="1"/>
  <c r="BJ97" i="1"/>
  <c r="BN254" i="1"/>
  <c r="BM252" i="1"/>
  <c r="BE22" i="4"/>
  <c r="BF136" i="4"/>
  <c r="BN51" i="1"/>
  <c r="BM52" i="1"/>
  <c r="BO390" i="1"/>
  <c r="BM390" i="1"/>
  <c r="CC26" i="8"/>
  <c r="BQ31" i="1"/>
  <c r="BP81" i="4"/>
  <c r="BP69" i="1"/>
  <c r="BP71" i="1" s="1"/>
  <c r="BM96" i="1"/>
  <c r="BM89" i="1"/>
  <c r="BA31" i="8"/>
  <c r="BL107" i="1"/>
  <c r="BM333" i="1"/>
  <c r="BN335" i="1"/>
  <c r="BT71" i="1" l="1"/>
  <c r="BU81" i="4"/>
  <c r="BU69" i="1"/>
  <c r="BZ395" i="1"/>
  <c r="BZ394" i="1"/>
  <c r="BU54" i="1"/>
  <c r="BV53" i="1"/>
  <c r="BV54" i="1" s="1"/>
  <c r="BY386" i="1"/>
  <c r="BY384" i="1" s="1"/>
  <c r="BY394" i="1"/>
  <c r="BY395" i="1"/>
  <c r="BV90" i="5"/>
  <c r="BV91" i="5" s="1"/>
  <c r="BV32" i="1"/>
  <c r="BV31" i="1" s="1"/>
  <c r="BV34" i="1"/>
  <c r="BW30" i="1"/>
  <c r="BX384" i="1"/>
  <c r="BZ280" i="1"/>
  <c r="BZ286" i="1" s="1"/>
  <c r="BZ283" i="1"/>
  <c r="BZ282" i="1"/>
  <c r="BN18" i="51" s="1"/>
  <c r="BN62" i="51" s="1"/>
  <c r="BX251" i="1"/>
  <c r="BX53" i="1"/>
  <c r="BX54" i="1" s="1"/>
  <c r="BX248" i="1"/>
  <c r="BM120" i="51"/>
  <c r="BQ120" i="51"/>
  <c r="BY331" i="1"/>
  <c r="BY339" i="1"/>
  <c r="BX90" i="5"/>
  <c r="BX83" i="5" s="1"/>
  <c r="BX34" i="1"/>
  <c r="BX32" i="1"/>
  <c r="BX31" i="1" s="1"/>
  <c r="BV385" i="1"/>
  <c r="BV388" i="1"/>
  <c r="BT72" i="1"/>
  <c r="BT80" i="4"/>
  <c r="BT83" i="4" s="1"/>
  <c r="BZ437" i="1"/>
  <c r="BZ436" i="1"/>
  <c r="BN33" i="51" s="1"/>
  <c r="BN105" i="51" s="1"/>
  <c r="BZ434" i="1"/>
  <c r="BT51" i="1"/>
  <c r="BT52" i="1" s="1"/>
  <c r="BT56" i="1"/>
  <c r="BT39" i="1"/>
  <c r="BU249" i="1"/>
  <c r="BV248" i="1"/>
  <c r="BZ179" i="1"/>
  <c r="BZ28" i="1"/>
  <c r="BN119" i="51" s="1"/>
  <c r="BX332" i="1"/>
  <c r="BX329" i="1"/>
  <c r="BV157" i="4"/>
  <c r="BV164" i="4" s="1"/>
  <c r="BT164" i="4"/>
  <c r="BV329" i="1"/>
  <c r="BZ258" i="1"/>
  <c r="BY30" i="1"/>
  <c r="BY250" i="1"/>
  <c r="BY258" i="1"/>
  <c r="BI122" i="51"/>
  <c r="BI123" i="51" s="1"/>
  <c r="BU37" i="1"/>
  <c r="BU39" i="1" s="1"/>
  <c r="BU55" i="1"/>
  <c r="BU68" i="1"/>
  <c r="BU71" i="1" s="1"/>
  <c r="BU35" i="1"/>
  <c r="BA82" i="8"/>
  <c r="AZ83" i="8"/>
  <c r="BN105" i="1"/>
  <c r="BM82" i="5"/>
  <c r="BN82" i="5" s="1"/>
  <c r="BJ110" i="1"/>
  <c r="BM40" i="1"/>
  <c r="BR165" i="4"/>
  <c r="BI127" i="5"/>
  <c r="BJ127" i="5" s="1"/>
  <c r="BJ129" i="5" s="1"/>
  <c r="BJ137" i="1"/>
  <c r="BP80" i="4"/>
  <c r="BP72" i="1"/>
  <c r="BO335" i="1"/>
  <c r="BM335" i="1"/>
  <c r="BP105" i="1"/>
  <c r="BP82" i="5" s="1"/>
  <c r="BQ39" i="1"/>
  <c r="BE30" i="8"/>
  <c r="BM83" i="4"/>
  <c r="BN84" i="4" s="1"/>
  <c r="BN97" i="4" s="1"/>
  <c r="AN188" i="1"/>
  <c r="BL26" i="5"/>
  <c r="BL127" i="5" s="1"/>
  <c r="BL129" i="5" s="1"/>
  <c r="BI180" i="1"/>
  <c r="BN80" i="4"/>
  <c r="BN72" i="1"/>
  <c r="BR330" i="1"/>
  <c r="BR333" i="1"/>
  <c r="BP89" i="1"/>
  <c r="BP96" i="1"/>
  <c r="BD31" i="8"/>
  <c r="CF53" i="8"/>
  <c r="CF77" i="8"/>
  <c r="BQ388" i="1"/>
  <c r="BR390" i="1"/>
  <c r="BR68" i="1"/>
  <c r="BF122" i="51"/>
  <c r="BF123" i="51" s="1"/>
  <c r="BF28" i="8"/>
  <c r="BF68" i="8" s="1"/>
  <c r="BR35" i="1"/>
  <c r="BS34" i="1"/>
  <c r="BR37" i="1"/>
  <c r="BM107" i="1"/>
  <c r="BN107" i="1" s="1"/>
  <c r="BP165" i="4"/>
  <c r="BJ176" i="1"/>
  <c r="BL84" i="4"/>
  <c r="BL97" i="4" s="1"/>
  <c r="BL74" i="1"/>
  <c r="BL175" i="1"/>
  <c r="BN89" i="1"/>
  <c r="BB31" i="8"/>
  <c r="BL40" i="1"/>
  <c r="BA69" i="8"/>
  <c r="BM237" i="4"/>
  <c r="BN237" i="4" s="1"/>
  <c r="BM29" i="5"/>
  <c r="BM37" i="5" s="1"/>
  <c r="BM24" i="5" s="1"/>
  <c r="BA34" i="8"/>
  <c r="BA70" i="8" s="1"/>
  <c r="BQ81" i="4"/>
  <c r="BQ69" i="1"/>
  <c r="BQ71" i="1" s="1"/>
  <c r="BN52" i="1"/>
  <c r="BN55" i="1"/>
  <c r="BN56" i="1" s="1"/>
  <c r="BF22" i="4"/>
  <c r="BJ137" i="4"/>
  <c r="BJ145" i="4" s="1"/>
  <c r="BG136" i="4"/>
  <c r="BH137" i="4"/>
  <c r="BH145" i="4" s="1"/>
  <c r="BF149" i="4"/>
  <c r="BJ74" i="1"/>
  <c r="BJ175" i="1"/>
  <c r="BL110" i="1"/>
  <c r="BL120" i="1"/>
  <c r="BE54" i="5"/>
  <c r="CW50" i="8"/>
  <c r="BO254" i="1"/>
  <c r="BM254" i="1"/>
  <c r="BQ51" i="1"/>
  <c r="BQ56" i="1"/>
  <c r="BR249" i="1"/>
  <c r="BR252" i="1"/>
  <c r="BN96" i="1"/>
  <c r="BQ156" i="4"/>
  <c r="BQ24" i="4" s="1"/>
  <c r="BQ166" i="4"/>
  <c r="CD15" i="8"/>
  <c r="BR31" i="1"/>
  <c r="CD26" i="8"/>
  <c r="BV37" i="1" l="1"/>
  <c r="BV39" i="1" s="1"/>
  <c r="BW39" i="1" s="1"/>
  <c r="BZ30" i="1"/>
  <c r="BZ32" i="1" s="1"/>
  <c r="BZ31" i="1" s="1"/>
  <c r="BN120" i="51"/>
  <c r="BR120" i="51"/>
  <c r="BV81" i="4"/>
  <c r="BV69" i="1"/>
  <c r="BY90" i="5"/>
  <c r="BY83" i="5" s="1"/>
  <c r="BZ83" i="5" s="1"/>
  <c r="BY32" i="1"/>
  <c r="BY31" i="1" s="1"/>
  <c r="BY34" i="1"/>
  <c r="BX249" i="1"/>
  <c r="BX252" i="1"/>
  <c r="BX254" i="1" s="1"/>
  <c r="BZ384" i="1"/>
  <c r="BY385" i="1"/>
  <c r="BX81" i="4"/>
  <c r="BX69" i="1"/>
  <c r="BY387" i="1"/>
  <c r="BZ386" i="1"/>
  <c r="BZ387" i="1" s="1"/>
  <c r="BY251" i="1"/>
  <c r="BY53" i="1"/>
  <c r="BZ250" i="1"/>
  <c r="BZ251" i="1" s="1"/>
  <c r="BY248" i="1"/>
  <c r="BY249" i="1" s="1"/>
  <c r="BV249" i="1"/>
  <c r="BV252" i="1"/>
  <c r="BZ90" i="5"/>
  <c r="BV38" i="1"/>
  <c r="BT166" i="4"/>
  <c r="BU157" i="4"/>
  <c r="BU164" i="4" s="1"/>
  <c r="BT156" i="4"/>
  <c r="BT24" i="4" s="1"/>
  <c r="BT165" i="4"/>
  <c r="BV390" i="1"/>
  <c r="BU388" i="1"/>
  <c r="BL122" i="51"/>
  <c r="BX68" i="1"/>
  <c r="BX71" i="1" s="1"/>
  <c r="BX37" i="1"/>
  <c r="BX55" i="1"/>
  <c r="BX35" i="1"/>
  <c r="BV330" i="1"/>
  <c r="BV333" i="1"/>
  <c r="BV166" i="4"/>
  <c r="BV156" i="4"/>
  <c r="BV24" i="4" s="1"/>
  <c r="BY332" i="1"/>
  <c r="BZ331" i="1"/>
  <c r="BZ332" i="1" s="1"/>
  <c r="BY329" i="1"/>
  <c r="BT96" i="1"/>
  <c r="BT89" i="1"/>
  <c r="BU72" i="1"/>
  <c r="BU80" i="4"/>
  <c r="BU83" i="4" s="1"/>
  <c r="BU84" i="4" s="1"/>
  <c r="BU97" i="4" s="1"/>
  <c r="BU89" i="1"/>
  <c r="BU96" i="1"/>
  <c r="BX330" i="1"/>
  <c r="BX333" i="1"/>
  <c r="BX335" i="1" s="1"/>
  <c r="BX385" i="1"/>
  <c r="BX388" i="1"/>
  <c r="BX390" i="1" s="1"/>
  <c r="BU56" i="1"/>
  <c r="BU51" i="1"/>
  <c r="BJ122" i="51"/>
  <c r="BJ123" i="51" s="1"/>
  <c r="BV68" i="1"/>
  <c r="BV35" i="1"/>
  <c r="BW34" i="1"/>
  <c r="BN106" i="1"/>
  <c r="BR38" i="1"/>
  <c r="BA83" i="8"/>
  <c r="BB82" i="8"/>
  <c r="BM238" i="4"/>
  <c r="BN238" i="4" s="1"/>
  <c r="AN189" i="1"/>
  <c r="AN190" i="1" s="1"/>
  <c r="AN191" i="1"/>
  <c r="AN192" i="1" s="1"/>
  <c r="BN40" i="1"/>
  <c r="BI129" i="5"/>
  <c r="BQ80" i="4"/>
  <c r="BQ72" i="1"/>
  <c r="CX50" i="8"/>
  <c r="BN29" i="5"/>
  <c r="BN37" i="5" s="1"/>
  <c r="BB34" i="8"/>
  <c r="BB70" i="8" s="1"/>
  <c r="BR39" i="1"/>
  <c r="BQ40" i="1" s="1"/>
  <c r="BF30" i="8"/>
  <c r="BQ105" i="1"/>
  <c r="BP237" i="4"/>
  <c r="BP29" i="5"/>
  <c r="BP37" i="5" s="1"/>
  <c r="BP24" i="5" s="1"/>
  <c r="BD34" i="8"/>
  <c r="BD70" i="8" s="1"/>
  <c r="BQ333" i="1"/>
  <c r="BR335" i="1"/>
  <c r="BN83" i="4"/>
  <c r="BM84" i="4"/>
  <c r="BM97" i="4" s="1"/>
  <c r="BM74" i="1"/>
  <c r="BM175" i="1"/>
  <c r="BO89" i="1"/>
  <c r="BL176" i="1"/>
  <c r="BL180" i="1"/>
  <c r="BD69" i="8"/>
  <c r="BP107" i="1"/>
  <c r="BQ52" i="1"/>
  <c r="BR51" i="1"/>
  <c r="BR81" i="4"/>
  <c r="BR69" i="1"/>
  <c r="BR71" i="1" s="1"/>
  <c r="BN97" i="1"/>
  <c r="BJ180" i="1"/>
  <c r="BH136" i="4"/>
  <c r="BH149" i="4" s="1"/>
  <c r="BQ165" i="4"/>
  <c r="BR254" i="1"/>
  <c r="BQ252" i="1"/>
  <c r="BN24" i="5"/>
  <c r="BM26" i="5"/>
  <c r="BN26" i="5" s="1"/>
  <c r="BM110" i="1"/>
  <c r="BM137" i="1" s="1"/>
  <c r="BM120" i="1"/>
  <c r="BN120" i="1" s="1"/>
  <c r="BQ89" i="1"/>
  <c r="BQ96" i="1"/>
  <c r="BT105" i="1" s="1"/>
  <c r="BE31" i="8"/>
  <c r="BE63" i="5"/>
  <c r="BE51" i="5" s="1"/>
  <c r="BF54" i="5"/>
  <c r="BF63" i="5" s="1"/>
  <c r="BL137" i="1"/>
  <c r="BB69" i="8"/>
  <c r="BP238" i="4"/>
  <c r="BS390" i="1"/>
  <c r="BQ390" i="1"/>
  <c r="BD82" i="8"/>
  <c r="BP83" i="4"/>
  <c r="BZ91" i="5" l="1"/>
  <c r="BU40" i="1"/>
  <c r="BV165" i="4"/>
  <c r="BZ34" i="1"/>
  <c r="BN122" i="51" s="1"/>
  <c r="BV84" i="4"/>
  <c r="BV97" i="4" s="1"/>
  <c r="BV71" i="1"/>
  <c r="BV72" i="1" s="1"/>
  <c r="BV96" i="1"/>
  <c r="BV97" i="1" s="1"/>
  <c r="BU105" i="1"/>
  <c r="BV105" i="1" s="1"/>
  <c r="BZ385" i="1"/>
  <c r="BZ388" i="1"/>
  <c r="BY330" i="1"/>
  <c r="BZ329" i="1"/>
  <c r="BU29" i="5"/>
  <c r="BU37" i="5" s="1"/>
  <c r="BU24" i="5" s="1"/>
  <c r="BU237" i="4"/>
  <c r="BM122" i="51"/>
  <c r="BY37" i="1"/>
  <c r="BY39" i="1" s="1"/>
  <c r="BY55" i="1"/>
  <c r="BY68" i="1"/>
  <c r="BY35" i="1"/>
  <c r="BY54" i="1"/>
  <c r="BZ53" i="1"/>
  <c r="BZ54" i="1" s="1"/>
  <c r="BY81" i="4"/>
  <c r="BY69" i="1"/>
  <c r="BX72" i="1"/>
  <c r="BX80" i="4"/>
  <c r="BX83" i="4" s="1"/>
  <c r="BU252" i="1"/>
  <c r="BV254" i="1"/>
  <c r="BU390" i="1"/>
  <c r="BW390" i="1"/>
  <c r="BU333" i="1"/>
  <c r="BV335" i="1"/>
  <c r="BX105" i="1"/>
  <c r="BT40" i="1"/>
  <c r="BV40" i="1" s="1"/>
  <c r="BV89" i="1"/>
  <c r="BW89" i="1" s="1"/>
  <c r="BU52" i="1"/>
  <c r="BV51" i="1"/>
  <c r="BX39" i="1"/>
  <c r="BZ81" i="4"/>
  <c r="BZ69" i="1"/>
  <c r="BL123" i="51"/>
  <c r="BP123" i="51"/>
  <c r="BZ248" i="1"/>
  <c r="BX157" i="4"/>
  <c r="BU156" i="4"/>
  <c r="BU24" i="4" s="1"/>
  <c r="BU166" i="4"/>
  <c r="BT107" i="1"/>
  <c r="BT82" i="5"/>
  <c r="BT29" i="5"/>
  <c r="BT37" i="5" s="1"/>
  <c r="BT24" i="5" s="1"/>
  <c r="BT26" i="5" s="1"/>
  <c r="BT237" i="4"/>
  <c r="BX56" i="1"/>
  <c r="BX51" i="1"/>
  <c r="BX52" i="1" s="1"/>
  <c r="BZ68" i="1"/>
  <c r="BZ35" i="1"/>
  <c r="BR96" i="1"/>
  <c r="BR97" i="1" s="1"/>
  <c r="BE82" i="8"/>
  <c r="BD83" i="8"/>
  <c r="BB83" i="8"/>
  <c r="BQ107" i="1"/>
  <c r="BR107" i="1" s="1"/>
  <c r="BQ82" i="5"/>
  <c r="BR82" i="5" s="1"/>
  <c r="BR105" i="1"/>
  <c r="BM127" i="5"/>
  <c r="BM129" i="5" s="1"/>
  <c r="BN110" i="1"/>
  <c r="BN137" i="1"/>
  <c r="BR80" i="4"/>
  <c r="BR72" i="1"/>
  <c r="BP120" i="1"/>
  <c r="BP110" i="1"/>
  <c r="BR89" i="1"/>
  <c r="BF31" i="8"/>
  <c r="BS39" i="1"/>
  <c r="BP40" i="1"/>
  <c r="BR40" i="1" s="1"/>
  <c r="CF29" i="8"/>
  <c r="BM180" i="1"/>
  <c r="BE69" i="8"/>
  <c r="BR52" i="1"/>
  <c r="BR55" i="1"/>
  <c r="BR56" i="1" s="1"/>
  <c r="BM176" i="1"/>
  <c r="BN74" i="1"/>
  <c r="BN175" i="1"/>
  <c r="BP84" i="4"/>
  <c r="BP97" i="4" s="1"/>
  <c r="BP74" i="1"/>
  <c r="BP175" i="1"/>
  <c r="BF51" i="5"/>
  <c r="BQ237" i="4"/>
  <c r="BR237" i="4" s="1"/>
  <c r="BQ29" i="5"/>
  <c r="BQ37" i="5" s="1"/>
  <c r="BQ24" i="5" s="1"/>
  <c r="BE34" i="8"/>
  <c r="BE70" i="8" s="1"/>
  <c r="BQ254" i="1"/>
  <c r="BS254" i="1"/>
  <c r="BH22" i="4"/>
  <c r="BI137" i="4"/>
  <c r="BI145" i="4" s="1"/>
  <c r="BS335" i="1"/>
  <c r="BQ335" i="1"/>
  <c r="BP26" i="5"/>
  <c r="BP127" i="5" s="1"/>
  <c r="BP129" i="5" s="1"/>
  <c r="BQ83" i="4"/>
  <c r="BT84" i="4" s="1"/>
  <c r="BT97" i="4" s="1"/>
  <c r="BU165" i="4" l="1"/>
  <c r="BV80" i="4"/>
  <c r="BV83" i="4" s="1"/>
  <c r="BZ37" i="1"/>
  <c r="BZ38" i="1" s="1"/>
  <c r="BT127" i="5"/>
  <c r="BT129" i="5" s="1"/>
  <c r="BX84" i="4"/>
  <c r="BX97" i="4" s="1"/>
  <c r="BX175" i="1"/>
  <c r="BX74" i="1"/>
  <c r="BZ157" i="4"/>
  <c r="BZ164" i="4" s="1"/>
  <c r="BX164" i="4"/>
  <c r="BU335" i="1"/>
  <c r="BW335" i="1"/>
  <c r="BU254" i="1"/>
  <c r="BW254" i="1"/>
  <c r="BM123" i="51"/>
  <c r="BQ123" i="51"/>
  <c r="BZ249" i="1"/>
  <c r="BZ252" i="1"/>
  <c r="BZ71" i="1"/>
  <c r="BY71" i="1"/>
  <c r="BV237" i="4"/>
  <c r="BV29" i="5"/>
  <c r="BV37" i="5" s="1"/>
  <c r="BZ330" i="1"/>
  <c r="BZ333" i="1"/>
  <c r="BZ390" i="1"/>
  <c r="BY390" i="1" s="1"/>
  <c r="BY388" i="1"/>
  <c r="BT110" i="1"/>
  <c r="BT120" i="1"/>
  <c r="BZ39" i="1"/>
  <c r="BX40" i="1" s="1"/>
  <c r="BN123" i="51"/>
  <c r="BR123" i="51"/>
  <c r="BV52" i="1"/>
  <c r="BV55" i="1"/>
  <c r="BV56" i="1" s="1"/>
  <c r="BY56" i="1"/>
  <c r="BY51" i="1"/>
  <c r="BU82" i="5"/>
  <c r="BU238" i="4" s="1"/>
  <c r="BV238" i="4" s="1"/>
  <c r="BU107" i="1"/>
  <c r="BV107" i="1" s="1"/>
  <c r="BV106" i="1" s="1"/>
  <c r="BV24" i="5"/>
  <c r="BU26" i="5"/>
  <c r="BV26" i="5" s="1"/>
  <c r="BT238" i="4"/>
  <c r="BX107" i="1"/>
  <c r="BX82" i="5"/>
  <c r="BX96" i="1"/>
  <c r="BX89" i="1"/>
  <c r="BY96" i="1"/>
  <c r="BY89" i="1"/>
  <c r="BY40" i="1"/>
  <c r="BT175" i="1"/>
  <c r="BT74" i="1"/>
  <c r="BQ120" i="1"/>
  <c r="BR120" i="1" s="1"/>
  <c r="BQ110" i="1"/>
  <c r="BQ137" i="1" s="1"/>
  <c r="BE83" i="8"/>
  <c r="BF82" i="8"/>
  <c r="BQ238" i="4"/>
  <c r="BR238" i="4" s="1"/>
  <c r="BR106" i="1"/>
  <c r="BN127" i="5"/>
  <c r="BN129" i="5" s="1"/>
  <c r="BI136" i="4"/>
  <c r="BK145" i="4"/>
  <c r="BN180" i="1"/>
  <c r="BN176" i="1"/>
  <c r="BP137" i="1"/>
  <c r="BR83" i="4"/>
  <c r="BQ84" i="4"/>
  <c r="BQ97" i="4" s="1"/>
  <c r="BQ74" i="1"/>
  <c r="BQ175" i="1"/>
  <c r="BR24" i="5"/>
  <c r="BQ26" i="5"/>
  <c r="BF69" i="8"/>
  <c r="BR29" i="5"/>
  <c r="BR37" i="5" s="1"/>
  <c r="BF34" i="8"/>
  <c r="BF70" i="8" s="1"/>
  <c r="BS89" i="1"/>
  <c r="BH54" i="5"/>
  <c r="BP176" i="1"/>
  <c r="BP180" i="1"/>
  <c r="BR84" i="4"/>
  <c r="BR97" i="4" s="1"/>
  <c r="BZ40" i="1" l="1"/>
  <c r="BY52" i="1"/>
  <c r="BZ51" i="1"/>
  <c r="BX29" i="5"/>
  <c r="BX37" i="5" s="1"/>
  <c r="BX24" i="5" s="1"/>
  <c r="BX26" i="5" s="1"/>
  <c r="BX237" i="4"/>
  <c r="BY105" i="1"/>
  <c r="BZ96" i="1"/>
  <c r="BZ97" i="1" s="1"/>
  <c r="BX238" i="4"/>
  <c r="BX120" i="1"/>
  <c r="BX110" i="1"/>
  <c r="BX127" i="5"/>
  <c r="BX129" i="5" s="1"/>
  <c r="BZ80" i="4"/>
  <c r="BZ83" i="4" s="1"/>
  <c r="BZ72" i="1"/>
  <c r="BX180" i="1"/>
  <c r="BZ335" i="1"/>
  <c r="BY335" i="1" s="1"/>
  <c r="BY333" i="1"/>
  <c r="BV82" i="5"/>
  <c r="BY80" i="4"/>
  <c r="BY83" i="4" s="1"/>
  <c r="BY72" i="1"/>
  <c r="BY252" i="1"/>
  <c r="BZ254" i="1"/>
  <c r="BY254" i="1" s="1"/>
  <c r="BY157" i="4"/>
  <c r="BY164" i="4" s="1"/>
  <c r="BX156" i="4"/>
  <c r="BX24" i="4" s="1"/>
  <c r="BX166" i="4"/>
  <c r="BY237" i="4"/>
  <c r="BY29" i="5"/>
  <c r="BY37" i="5" s="1"/>
  <c r="BY24" i="5" s="1"/>
  <c r="BZ166" i="4"/>
  <c r="BZ156" i="4"/>
  <c r="BZ24" i="4" s="1"/>
  <c r="BZ89" i="1"/>
  <c r="BU110" i="1"/>
  <c r="BU137" i="1" s="1"/>
  <c r="BU120" i="1"/>
  <c r="BV120" i="1" s="1"/>
  <c r="BU127" i="5"/>
  <c r="BT137" i="1"/>
  <c r="BT180" i="1"/>
  <c r="BT176" i="1"/>
  <c r="BR137" i="1"/>
  <c r="BQ176" i="1"/>
  <c r="BR110" i="1"/>
  <c r="BF83" i="8"/>
  <c r="BR74" i="1"/>
  <c r="BR175" i="1"/>
  <c r="BR26" i="5"/>
  <c r="BQ127" i="5"/>
  <c r="BI22" i="4"/>
  <c r="BJ136" i="4"/>
  <c r="CF26" i="8"/>
  <c r="BH63" i="5"/>
  <c r="BH51" i="5" s="1"/>
  <c r="BI149" i="4"/>
  <c r="BQ180" i="1"/>
  <c r="BZ165" i="4" l="1"/>
  <c r="BX165" i="4"/>
  <c r="BY82" i="5"/>
  <c r="BY107" i="1"/>
  <c r="BZ105" i="1"/>
  <c r="BZ29" i="5"/>
  <c r="BZ37" i="5" s="1"/>
  <c r="BY26" i="5"/>
  <c r="BZ26" i="5" s="1"/>
  <c r="BZ24" i="5"/>
  <c r="BZ74" i="1"/>
  <c r="BZ175" i="1"/>
  <c r="BZ180" i="1" s="1"/>
  <c r="BZ237" i="4"/>
  <c r="BV110" i="1"/>
  <c r="BV137" i="1"/>
  <c r="BY175" i="1"/>
  <c r="BY74" i="1"/>
  <c r="BY84" i="4"/>
  <c r="BY97" i="4" s="1"/>
  <c r="BZ84" i="4"/>
  <c r="BZ97" i="4" s="1"/>
  <c r="BZ52" i="1"/>
  <c r="BZ55" i="1"/>
  <c r="BZ56" i="1" s="1"/>
  <c r="BY166" i="4"/>
  <c r="BY156" i="4"/>
  <c r="BY24" i="4" s="1"/>
  <c r="A24" i="4" s="1" a="1"/>
  <c r="A24" i="4" s="1"/>
  <c r="BX137" i="1"/>
  <c r="BU129" i="5"/>
  <c r="BV127" i="5"/>
  <c r="BV129" i="5" s="1"/>
  <c r="BU175" i="1"/>
  <c r="BX176" i="1" s="1"/>
  <c r="BU74" i="1"/>
  <c r="BR176" i="1"/>
  <c r="BJ22" i="4"/>
  <c r="BN137" i="4"/>
  <c r="BN145" i="4" s="1"/>
  <c r="BL137" i="4"/>
  <c r="BL145" i="4" s="1"/>
  <c r="BK136" i="4"/>
  <c r="BJ149" i="4"/>
  <c r="BR180" i="1"/>
  <c r="BI54" i="5"/>
  <c r="BQ129" i="5"/>
  <c r="BR127" i="5"/>
  <c r="BR129" i="5" s="1"/>
  <c r="BY127" i="5" l="1"/>
  <c r="BY110" i="1"/>
  <c r="BY120" i="1"/>
  <c r="BZ120" i="1" s="1"/>
  <c r="BZ107" i="1"/>
  <c r="BZ106" i="1" s="1"/>
  <c r="BY180" i="1"/>
  <c r="BY176" i="1"/>
  <c r="BZ176" i="1" s="1"/>
  <c r="BY238" i="4"/>
  <c r="BZ238" i="4" s="1"/>
  <c r="BZ82" i="5"/>
  <c r="BY165" i="4"/>
  <c r="BV175" i="1"/>
  <c r="BV180" i="1" s="1"/>
  <c r="BV74" i="1"/>
  <c r="BU180" i="1"/>
  <c r="BU176" i="1"/>
  <c r="BV176" i="1" s="1"/>
  <c r="BI63" i="5"/>
  <c r="BI51" i="5" s="1"/>
  <c r="BJ54" i="5"/>
  <c r="BJ63" i="5" s="1"/>
  <c r="BL136" i="4"/>
  <c r="BL149" i="4" s="1"/>
  <c r="BY137" i="1" l="1"/>
  <c r="BZ137" i="1" s="1"/>
  <c r="BZ110" i="1"/>
  <c r="BZ127" i="5"/>
  <c r="BZ129" i="5" s="1"/>
  <c r="BY129" i="5"/>
  <c r="BL22" i="4"/>
  <c r="BM137" i="4"/>
  <c r="BM145" i="4" s="1"/>
  <c r="BJ51" i="5"/>
  <c r="BL54" i="5" l="1"/>
  <c r="BM136" i="4"/>
  <c r="BM149" i="4" s="1"/>
  <c r="BO145" i="4"/>
  <c r="BM22" i="4" l="1"/>
  <c r="BN136" i="4"/>
  <c r="BL63" i="5"/>
  <c r="BL51" i="5" s="1"/>
  <c r="BN22" i="4" l="1"/>
  <c r="BP137" i="4"/>
  <c r="BP145" i="4" s="1"/>
  <c r="BO136" i="4"/>
  <c r="BR137" i="4"/>
  <c r="BR145" i="4" s="1"/>
  <c r="BN149" i="4"/>
  <c r="BM54" i="5"/>
  <c r="BP136" i="4" l="1"/>
  <c r="BP149" i="4" s="1"/>
  <c r="BM63" i="5"/>
  <c r="BM51" i="5" s="1"/>
  <c r="BN54" i="5"/>
  <c r="BN63" i="5" s="1"/>
  <c r="BN51" i="5" l="1"/>
  <c r="BP22" i="4"/>
  <c r="BQ137" i="4"/>
  <c r="BQ145" i="4" s="1"/>
  <c r="BS145" i="4" l="1"/>
  <c r="BP54" i="5"/>
  <c r="BQ136" i="4"/>
  <c r="BQ149" i="4" s="1"/>
  <c r="BQ22" i="4" l="1"/>
  <c r="BR136" i="4"/>
  <c r="BP63" i="5"/>
  <c r="BP51" i="5" s="1"/>
  <c r="BV137" i="4" l="1"/>
  <c r="BV145" i="4" s="1"/>
  <c r="BT137" i="4"/>
  <c r="BT145" i="4" s="1"/>
  <c r="BS136" i="4"/>
  <c r="BQ54" i="5"/>
  <c r="BR22" i="4"/>
  <c r="BR149" i="4"/>
  <c r="BT136" i="4" l="1"/>
  <c r="BT149" i="4" s="1"/>
  <c r="BQ63" i="5"/>
  <c r="BQ51" i="5" s="1"/>
  <c r="BR54" i="5"/>
  <c r="BR63" i="5" s="1"/>
  <c r="BT22" i="4" l="1"/>
  <c r="BU137" i="4"/>
  <c r="BU145" i="4" s="1"/>
  <c r="BU136" i="4" s="1"/>
  <c r="BR51" i="5"/>
  <c r="BW145" i="4" l="1"/>
  <c r="BU149" i="4"/>
  <c r="BV136" i="4"/>
  <c r="BU22" i="4"/>
  <c r="BT54" i="5"/>
  <c r="BZ137" i="4" l="1"/>
  <c r="BZ145" i="4" s="1"/>
  <c r="BX137" i="4"/>
  <c r="BX145" i="4" s="1"/>
  <c r="BV22" i="4"/>
  <c r="BV149" i="4"/>
  <c r="BT63" i="5"/>
  <c r="BT51" i="5" s="1"/>
  <c r="BX136" i="4" l="1"/>
  <c r="BX149" i="4" s="1"/>
  <c r="BU54" i="5"/>
  <c r="BW136" i="4"/>
  <c r="BY137" i="4" l="1"/>
  <c r="BY145" i="4" s="1"/>
  <c r="BY136" i="4" s="1"/>
  <c r="BX22" i="4"/>
  <c r="BU63" i="5"/>
  <c r="BU51" i="5" s="1"/>
  <c r="BV54" i="5"/>
  <c r="BV63" i="5" s="1"/>
  <c r="Y39" i="51"/>
  <c r="Y45" i="51"/>
  <c r="Y49" i="51"/>
  <c r="Y62" i="51"/>
  <c r="Y77" i="51"/>
  <c r="Y82" i="51"/>
  <c r="Y88" i="51"/>
  <c r="Y105" i="51"/>
  <c r="Y54" i="51"/>
  <c r="Y58" i="51"/>
  <c r="Y67" i="51"/>
  <c r="Y73" i="51"/>
  <c r="Y92" i="51"/>
  <c r="Y101" i="51"/>
  <c r="BY149" i="4" l="1"/>
  <c r="BZ136" i="4"/>
  <c r="BY22" i="4"/>
  <c r="BV51" i="5"/>
  <c r="BX54" i="5"/>
  <c r="AN110" i="1"/>
  <c r="AN114" i="1"/>
  <c r="AN113" i="1" s="1"/>
  <c r="CF13" i="8"/>
  <c r="CF20" i="8"/>
  <c r="CF21" i="8"/>
  <c r="AB38" i="8"/>
  <c r="AB73" i="8" s="1"/>
  <c r="BZ22" i="4" l="1"/>
  <c r="BZ149" i="4"/>
  <c r="BX63" i="5"/>
  <c r="BX51" i="5" s="1"/>
  <c r="AN108" i="1"/>
  <c r="CF14" i="8"/>
  <c r="CF15" i="8"/>
  <c r="AB37" i="8"/>
  <c r="AB72" i="8" s="1"/>
  <c r="CF12" i="8"/>
  <c r="BY54" i="5" l="1"/>
  <c r="CF16" i="8"/>
  <c r="BY63" i="5" l="1"/>
  <c r="BY51" i="5" s="1"/>
  <c r="BZ54" i="5"/>
  <c r="BZ63" i="5" s="1"/>
  <c r="A22" i="4" a="1"/>
  <c r="A22" i="4" s="1"/>
  <c r="AN133" i="1"/>
  <c r="BZ51" i="5" l="1"/>
  <c r="CF22" i="8"/>
  <c r="AO133" i="1"/>
  <c r="AN154" i="1"/>
  <c r="AN167" i="1" s="1"/>
  <c r="AN148" i="1"/>
  <c r="AN147" i="1"/>
  <c r="AN168" i="1" l="1"/>
  <c r="AO148" i="1"/>
  <c r="AO154" i="1"/>
  <c r="AO167" i="1" s="1"/>
  <c r="AO147" i="1"/>
  <c r="AO158" i="1" s="1"/>
  <c r="AN158" i="1"/>
  <c r="AN153" i="1"/>
  <c r="AB36" i="8"/>
  <c r="AN159" i="1" l="1"/>
  <c r="AO153" i="1"/>
  <c r="AO170" i="1" s="1"/>
  <c r="AO168" i="1"/>
  <c r="AN166" i="1"/>
  <c r="AN170" i="1"/>
  <c r="AO159" i="1" l="1"/>
  <c r="AO166" i="1"/>
  <c r="CF10" i="8"/>
  <c r="AC20" i="8" l="1"/>
  <c r="AC46" i="8" s="1"/>
  <c r="AS437" i="1"/>
  <c r="G42" i="61" l="1"/>
  <c r="H42" i="61" s="1"/>
  <c r="AQ16" i="1" l="1"/>
  <c r="AT437" i="1"/>
  <c r="AD20" i="8"/>
  <c r="AD46" i="8" s="1"/>
  <c r="AC27" i="8"/>
  <c r="AN429" i="1" l="1"/>
  <c r="AP429" i="1" s="1"/>
  <c r="AQ20" i="1"/>
  <c r="AC23" i="8"/>
  <c r="AQ18" i="1"/>
  <c r="AQ22" i="1"/>
  <c r="AE23" i="8" s="1"/>
  <c r="AE81" i="8" l="1"/>
  <c r="AE66" i="8"/>
  <c r="AE64" i="8"/>
  <c r="AE47" i="8"/>
  <c r="AE86" i="8"/>
  <c r="AI66" i="8"/>
  <c r="AI64" i="8"/>
  <c r="AG64" i="8"/>
  <c r="AG66" i="8"/>
  <c r="CG31" i="8"/>
  <c r="AD23" i="8"/>
  <c r="AC25" i="8"/>
  <c r="AG67" i="8" s="1"/>
  <c r="AC64" i="8"/>
  <c r="AC81" i="8"/>
  <c r="AC66" i="8"/>
  <c r="AC47" i="8"/>
  <c r="AC86" i="8"/>
  <c r="AG116" i="51"/>
  <c r="AH64" i="8" l="1"/>
  <c r="AH66" i="8"/>
  <c r="AC67" i="8"/>
  <c r="AD64" i="8"/>
  <c r="AD86" i="8"/>
  <c r="AD81" i="8"/>
  <c r="AD47" i="8"/>
  <c r="AD66" i="8"/>
  <c r="AS54" i="1"/>
  <c r="AS51" i="1"/>
  <c r="AC28" i="8"/>
  <c r="AG68" i="8" s="1"/>
  <c r="AD25" i="8"/>
  <c r="AH67" i="8" s="1"/>
  <c r="AG120" i="51"/>
  <c r="AD27" i="8"/>
  <c r="AQ30" i="1"/>
  <c r="AE27" i="8" s="1"/>
  <c r="AH116" i="51"/>
  <c r="CH31" i="8"/>
  <c r="AQ28" i="1"/>
  <c r="AE25" i="8" s="1"/>
  <c r="AE67" i="8" l="1"/>
  <c r="AI67" i="8"/>
  <c r="AT54" i="1"/>
  <c r="AD28" i="8"/>
  <c r="AH68" i="8" s="1"/>
  <c r="G43" i="61"/>
  <c r="H43" i="61" s="1"/>
  <c r="AG123" i="51"/>
  <c r="AS52" i="1"/>
  <c r="AT51" i="1"/>
  <c r="AT52" i="1" s="1"/>
  <c r="AC68" i="8"/>
  <c r="AQ34" i="1"/>
  <c r="AE28" i="8" s="1"/>
  <c r="AH120" i="51"/>
  <c r="AD67" i="8"/>
  <c r="AC30" i="8"/>
  <c r="CG32" i="8"/>
  <c r="AE68" i="8" l="1"/>
  <c r="AI68" i="8"/>
  <c r="AT55" i="1"/>
  <c r="AT56" i="1" s="1"/>
  <c r="AD30" i="8"/>
  <c r="AC31" i="8"/>
  <c r="AG69" i="8" s="1"/>
  <c r="AD68" i="8"/>
  <c r="CH32" i="8"/>
  <c r="AH123" i="51"/>
  <c r="AN40" i="1" l="1"/>
  <c r="AP40" i="1" s="1"/>
  <c r="AD31" i="8"/>
  <c r="AH69" i="8" s="1"/>
  <c r="AC69" i="8"/>
  <c r="AC82" i="8"/>
  <c r="CH40" i="8"/>
  <c r="AR105" i="1"/>
  <c r="AC34" i="8"/>
  <c r="AQ39" i="1"/>
  <c r="AE31" i="8" s="1"/>
  <c r="AC76" i="8" l="1"/>
  <c r="AD82" i="8"/>
  <c r="AO74" i="1"/>
  <c r="AO175" i="1"/>
  <c r="AC83" i="8"/>
  <c r="AE69" i="8"/>
  <c r="AI69" i="8"/>
  <c r="AE82" i="8"/>
  <c r="AD34" i="8"/>
  <c r="AO183" i="1"/>
  <c r="AO184" i="1" s="1"/>
  <c r="AR84" i="4"/>
  <c r="AR97" i="4" s="1"/>
  <c r="AC70" i="8"/>
  <c r="AQ89" i="1"/>
  <c r="AE34" i="8" s="1"/>
  <c r="AE83" i="8" s="1"/>
  <c r="AC39" i="8"/>
  <c r="AC74" i="8" s="1"/>
  <c r="AR82" i="5"/>
  <c r="AT105" i="1"/>
  <c r="AR107" i="1"/>
  <c r="AB76" i="8"/>
  <c r="AD69" i="8"/>
  <c r="AP74" i="1" l="1"/>
  <c r="AP175" i="1"/>
  <c r="AP180" i="1" s="1"/>
  <c r="AO176" i="1"/>
  <c r="AO180" i="1"/>
  <c r="AO185" i="1"/>
  <c r="AO186" i="1" s="1"/>
  <c r="AP184" i="1"/>
  <c r="AP185" i="1" s="1"/>
  <c r="AP186" i="1" s="1"/>
  <c r="AE70" i="8"/>
  <c r="AI70" i="8"/>
  <c r="AD83" i="8"/>
  <c r="AH70" i="8"/>
  <c r="AR238" i="4"/>
  <c r="AT238" i="4" s="1"/>
  <c r="AT82" i="5"/>
  <c r="AP183" i="1"/>
  <c r="AO194" i="1"/>
  <c r="AQ237" i="4"/>
  <c r="AR176" i="1"/>
  <c r="AD70" i="8"/>
  <c r="CH17" i="8"/>
  <c r="AR127" i="5"/>
  <c r="AT107" i="1"/>
  <c r="AT106" i="1" s="1"/>
  <c r="AR110" i="1"/>
  <c r="AR120" i="1"/>
  <c r="AD39" i="8"/>
  <c r="AD74" i="8" s="1"/>
  <c r="AO197" i="1" l="1"/>
  <c r="AO195" i="1"/>
  <c r="AO196" i="1" s="1"/>
  <c r="AP176" i="1"/>
  <c r="CG18" i="8"/>
  <c r="AR121" i="1"/>
  <c r="AT120" i="1"/>
  <c r="AT121" i="1" s="1"/>
  <c r="AR137" i="1"/>
  <c r="AT110" i="1"/>
  <c r="AR129" i="5"/>
  <c r="AT127" i="5"/>
  <c r="AT129" i="5" s="1"/>
  <c r="AQ240" i="4"/>
  <c r="AO199" i="1" l="1"/>
  <c r="AO198" i="1"/>
  <c r="AT137" i="1"/>
  <c r="CH18" i="8"/>
  <c r="AT117" i="1"/>
  <c r="AT122" i="1" s="1"/>
  <c r="AS118" i="1"/>
  <c r="AS121" i="1" s="1"/>
  <c r="AR117" i="1"/>
  <c r="AR56" i="4" s="1"/>
  <c r="CG36" i="8"/>
  <c r="CG35" i="8"/>
  <c r="CG72" i="8"/>
  <c r="AT236" i="4"/>
  <c r="AT240" i="4" s="1"/>
  <c r="AT241" i="4" s="1"/>
  <c r="AR236" i="4"/>
  <c r="AR240" i="4" s="1"/>
  <c r="AR241" i="4" s="1"/>
  <c r="AO45" i="1" l="1"/>
  <c r="AO46" i="1" s="1"/>
  <c r="AO108" i="5"/>
  <c r="AO105" i="5"/>
  <c r="AO106" i="5" s="1"/>
  <c r="AR122" i="1"/>
  <c r="AR100" i="5"/>
  <c r="AT100" i="5"/>
  <c r="AO173" i="1"/>
  <c r="CG43" i="8"/>
  <c r="AR57" i="4"/>
  <c r="AS236" i="4"/>
  <c r="AS240" i="4" s="1"/>
  <c r="AS241" i="4" s="1"/>
  <c r="AS57" i="4" s="1"/>
  <c r="AS117" i="1"/>
  <c r="AS56" i="4" s="1"/>
  <c r="AP194" i="1"/>
  <c r="AR85" i="5"/>
  <c r="AX236" i="4"/>
  <c r="AT57" i="4"/>
  <c r="AV236" i="4"/>
  <c r="AV240" i="4" s="1"/>
  <c r="AV241" i="4" s="1"/>
  <c r="AT56" i="4"/>
  <c r="AV118" i="1"/>
  <c r="AP45" i="1" l="1"/>
  <c r="AP46" i="1" s="1"/>
  <c r="AP108" i="5"/>
  <c r="AP105" i="5"/>
  <c r="AP106" i="5" s="1"/>
  <c r="AO178" i="1"/>
  <c r="AO174" i="1"/>
  <c r="AO177" i="1" s="1"/>
  <c r="AP195" i="1"/>
  <c r="AP196" i="1" s="1"/>
  <c r="AP197" i="1"/>
  <c r="AS122" i="1"/>
  <c r="AV121" i="1"/>
  <c r="AX118" i="1"/>
  <c r="AX121" i="1" s="1"/>
  <c r="AT62" i="4"/>
  <c r="AV57" i="4"/>
  <c r="AW236" i="4"/>
  <c r="AS62" i="4"/>
  <c r="AS85" i="5"/>
  <c r="AS87" i="5" s="1"/>
  <c r="AS79" i="5" s="1"/>
  <c r="CG47" i="8"/>
  <c r="CG27" i="8"/>
  <c r="CG28" i="8"/>
  <c r="AR87" i="5"/>
  <c r="AR79" i="5" s="1"/>
  <c r="AR62" i="4"/>
  <c r="AP173" i="1"/>
  <c r="CH43" i="8"/>
  <c r="AO181" i="1" l="1"/>
  <c r="AP174" i="1"/>
  <c r="AP177" i="1" s="1"/>
  <c r="AP178" i="1"/>
  <c r="AP199" i="1"/>
  <c r="AP198" i="1"/>
  <c r="AR64" i="4"/>
  <c r="CJ72" i="8" s="1"/>
  <c r="AR194" i="1"/>
  <c r="AT85" i="5"/>
  <c r="AT87" i="5" s="1"/>
  <c r="AT79" i="5"/>
  <c r="AS96" i="5"/>
  <c r="AR96" i="5"/>
  <c r="CH35" i="8"/>
  <c r="CH36" i="8"/>
  <c r="CH72" i="8"/>
  <c r="AS64" i="4"/>
  <c r="CK72" i="8" s="1"/>
  <c r="AS194" i="1"/>
  <c r="AT64" i="4"/>
  <c r="CL72" i="8" s="1"/>
  <c r="AT194" i="1"/>
  <c r="CH47" i="8"/>
  <c r="AO131" i="5"/>
  <c r="AX117" i="1"/>
  <c r="CG46" i="8"/>
  <c r="AW118" i="1"/>
  <c r="AW121" i="1" s="1"/>
  <c r="AV117" i="1"/>
  <c r="AV56" i="4" s="1"/>
  <c r="AP181" i="1" l="1"/>
  <c r="AP131" i="5"/>
  <c r="AV62" i="4"/>
  <c r="AV85" i="5"/>
  <c r="AT197" i="1"/>
  <c r="CG37" i="8"/>
  <c r="CH46" i="8"/>
  <c r="AS101" i="5"/>
  <c r="AS97" i="5"/>
  <c r="AS183" i="1"/>
  <c r="AR103" i="4"/>
  <c r="CJ35" i="8" s="1"/>
  <c r="AR102" i="4"/>
  <c r="CJ36" i="8" s="1"/>
  <c r="AR101" i="5"/>
  <c r="AR97" i="5"/>
  <c r="AR183" i="1"/>
  <c r="CG54" i="8"/>
  <c r="AO202" i="1"/>
  <c r="AO203" i="1" s="1"/>
  <c r="AW117" i="1"/>
  <c r="AW56" i="4" s="1"/>
  <c r="AX56" i="4"/>
  <c r="AZ118" i="1"/>
  <c r="AT103" i="4"/>
  <c r="CL35" i="8" s="1"/>
  <c r="AT102" i="4"/>
  <c r="CL36" i="8" s="1"/>
  <c r="AT96" i="5"/>
  <c r="AS197" i="1"/>
  <c r="AR197" i="1"/>
  <c r="AS103" i="4"/>
  <c r="CK35" i="8" s="1"/>
  <c r="AS102" i="4"/>
  <c r="CK36" i="8" s="1"/>
  <c r="AV122" i="1"/>
  <c r="AX122" i="1"/>
  <c r="AP203" i="1" l="1"/>
  <c r="AP204" i="1" s="1"/>
  <c r="AO204" i="1"/>
  <c r="AS98" i="5"/>
  <c r="AR98" i="5"/>
  <c r="BB118" i="1"/>
  <c r="AT97" i="5"/>
  <c r="AT183" i="1"/>
  <c r="AT101" i="5"/>
  <c r="AR103" i="5"/>
  <c r="AW122" i="1"/>
  <c r="CH27" i="8"/>
  <c r="AO188" i="1"/>
  <c r="CH54" i="8"/>
  <c r="AP202" i="1"/>
  <c r="CG53" i="8"/>
  <c r="CG77" i="8"/>
  <c r="CH37" i="8"/>
  <c r="AW85" i="5"/>
  <c r="AT199" i="1"/>
  <c r="CL28" i="8" s="1"/>
  <c r="AT198" i="1"/>
  <c r="CL27" i="8" s="1"/>
  <c r="AR199" i="1"/>
  <c r="CJ28" i="8" s="1"/>
  <c r="AR198" i="1"/>
  <c r="CJ27" i="8" s="1"/>
  <c r="AS199" i="1"/>
  <c r="CK28" i="8" s="1"/>
  <c r="AS198" i="1"/>
  <c r="CK27" i="8" s="1"/>
  <c r="CH28" i="8"/>
  <c r="AS184" i="1"/>
  <c r="AR184" i="1"/>
  <c r="AV87" i="5"/>
  <c r="AV79" i="5" s="1"/>
  <c r="AV64" i="4"/>
  <c r="CN72" i="8" s="1"/>
  <c r="AV194" i="1"/>
  <c r="AO189" i="1" l="1"/>
  <c r="AO190" i="1" s="1"/>
  <c r="AO191" i="1"/>
  <c r="AV103" i="4"/>
  <c r="CN35" i="8" s="1"/>
  <c r="AV102" i="4"/>
  <c r="CN36" i="8" s="1"/>
  <c r="AT98" i="5"/>
  <c r="AR113" i="4"/>
  <c r="AR13" i="4" s="1"/>
  <c r="CJ43" i="8" s="1"/>
  <c r="AR104" i="5"/>
  <c r="AS100" i="5"/>
  <c r="AT184" i="1"/>
  <c r="AT103" i="5"/>
  <c r="AP188" i="1"/>
  <c r="AP189" i="1" s="1"/>
  <c r="AP190" i="1" s="1"/>
  <c r="CH53" i="8"/>
  <c r="CH77" i="8"/>
  <c r="AV197" i="1"/>
  <c r="AV96" i="5"/>
  <c r="AX85" i="5"/>
  <c r="AO192" i="1" l="1"/>
  <c r="AP191" i="1"/>
  <c r="AP192" i="1" s="1"/>
  <c r="AR18" i="4"/>
  <c r="CJ47" i="8" s="1"/>
  <c r="CJ46" i="8" s="1"/>
  <c r="AR71" i="4"/>
  <c r="AR72" i="4" s="1"/>
  <c r="AR105" i="5"/>
  <c r="AR106" i="5" s="1"/>
  <c r="AR108" i="5"/>
  <c r="AR92" i="4"/>
  <c r="AR93" i="4" s="1"/>
  <c r="AR45" i="1"/>
  <c r="AR46" i="1" s="1"/>
  <c r="AT104" i="5"/>
  <c r="AT113" i="4"/>
  <c r="AT13" i="4" s="1"/>
  <c r="CL43" i="8" s="1"/>
  <c r="AV100" i="5"/>
  <c r="AX100" i="5"/>
  <c r="AV198" i="1"/>
  <c r="CN27" i="8" s="1"/>
  <c r="AV199" i="1"/>
  <c r="CN28" i="8" s="1"/>
  <c r="AV97" i="5"/>
  <c r="AV101" i="5"/>
  <c r="AV183" i="1"/>
  <c r="CH29" i="8"/>
  <c r="CG29" i="8"/>
  <c r="AS103" i="5"/>
  <c r="AV103" i="5" l="1"/>
  <c r="AT105" i="5"/>
  <c r="AT106" i="5" s="1"/>
  <c r="AT18" i="4"/>
  <c r="CL47" i="8" s="1"/>
  <c r="CL46" i="8" s="1"/>
  <c r="AT71" i="4"/>
  <c r="AT72" i="4" s="1"/>
  <c r="AT108" i="5"/>
  <c r="AT45" i="1"/>
  <c r="AT46" i="1" s="1"/>
  <c r="AR94" i="4"/>
  <c r="AR98" i="4" s="1"/>
  <c r="CJ37" i="8" s="1"/>
  <c r="AR104" i="4"/>
  <c r="AR181" i="1" s="1"/>
  <c r="AR105" i="4"/>
  <c r="AR173" i="1"/>
  <c r="AR27" i="4"/>
  <c r="AV184" i="1"/>
  <c r="AV98" i="5"/>
  <c r="AS104" i="5"/>
  <c r="AS113" i="4"/>
  <c r="AS13" i="4" s="1"/>
  <c r="CK43" i="8" s="1"/>
  <c r="AV113" i="4" l="1"/>
  <c r="AV13" i="4" s="1"/>
  <c r="AW100" i="5"/>
  <c r="AV104" i="5"/>
  <c r="AR28" i="4"/>
  <c r="CJ54" i="8" s="1"/>
  <c r="CJ53" i="8" s="1"/>
  <c r="AR178" i="1"/>
  <c r="AT105" i="4"/>
  <c r="AT104" i="4"/>
  <c r="AT181" i="1" s="1"/>
  <c r="AT173" i="1"/>
  <c r="AR131" i="5"/>
  <c r="CG26" i="8"/>
  <c r="AS18" i="4"/>
  <c r="CK47" i="8" s="1"/>
  <c r="CK46" i="8" s="1"/>
  <c r="AS105" i="5"/>
  <c r="AS106" i="5" s="1"/>
  <c r="AS71" i="4"/>
  <c r="AS72" i="4" s="1"/>
  <c r="AS108" i="5"/>
  <c r="AS92" i="4"/>
  <c r="AS45" i="1"/>
  <c r="AS46" i="1" s="1"/>
  <c r="AV45" i="1" l="1"/>
  <c r="AV46" i="1" s="1"/>
  <c r="CN43" i="8"/>
  <c r="AT178" i="1"/>
  <c r="CH26" i="8"/>
  <c r="AT92" i="4"/>
  <c r="F46" i="61" s="1"/>
  <c r="F47" i="61" s="1"/>
  <c r="AS93" i="4"/>
  <c r="AS105" i="4"/>
  <c r="AS104" i="4"/>
  <c r="AS181" i="1" s="1"/>
  <c r="AS173" i="1"/>
  <c r="AR30" i="4"/>
  <c r="AV92" i="4"/>
  <c r="AV105" i="5"/>
  <c r="AV106" i="5" s="1"/>
  <c r="AV18" i="4"/>
  <c r="CN47" i="8" s="1"/>
  <c r="AV71" i="4"/>
  <c r="AV72" i="4" s="1"/>
  <c r="AV108" i="5"/>
  <c r="AS27" i="4"/>
  <c r="CN46" i="8" l="1"/>
  <c r="AV105" i="4"/>
  <c r="AV104" i="4"/>
  <c r="AV181" i="1" s="1"/>
  <c r="AV173" i="1"/>
  <c r="AV27" i="4"/>
  <c r="AR51" i="4"/>
  <c r="AR202" i="1"/>
  <c r="G47" i="61"/>
  <c r="F49" i="61"/>
  <c r="CJ77" i="8"/>
  <c r="AS94" i="4"/>
  <c r="AS98" i="4" s="1"/>
  <c r="CK37" i="8" s="1"/>
  <c r="AT93" i="4"/>
  <c r="AT27" i="4"/>
  <c r="AS28" i="4"/>
  <c r="CK54" i="8" s="1"/>
  <c r="CK53" i="8" s="1"/>
  <c r="AS178" i="1"/>
  <c r="AR203" i="1" l="1"/>
  <c r="AS30" i="4"/>
  <c r="AR52" i="4"/>
  <c r="AR65" i="4"/>
  <c r="AR188" i="1"/>
  <c r="AT28" i="4"/>
  <c r="CL54" i="8" s="1"/>
  <c r="CL53" i="8" s="1"/>
  <c r="AT94" i="4"/>
  <c r="AT98" i="4" s="1"/>
  <c r="CL37" i="8" s="1"/>
  <c r="AV93" i="4"/>
  <c r="AS131" i="5"/>
  <c r="AV178" i="1"/>
  <c r="AV28" i="4"/>
  <c r="CN54" i="8" s="1"/>
  <c r="CN53" i="8" s="1"/>
  <c r="AR53" i="4" l="1"/>
  <c r="AS51" i="4"/>
  <c r="AS202" i="1"/>
  <c r="AT30" i="4"/>
  <c r="CK77" i="8"/>
  <c r="AR191" i="1"/>
  <c r="AV30" i="4"/>
  <c r="AV94" i="4"/>
  <c r="AV98" i="4" s="1"/>
  <c r="CN37" i="8" s="1"/>
  <c r="AR204" i="1"/>
  <c r="CJ29" i="8" s="1"/>
  <c r="AT131" i="5"/>
  <c r="CL77" i="8" l="1"/>
  <c r="AR192" i="1"/>
  <c r="CJ26" i="8" s="1"/>
  <c r="AS203" i="1"/>
  <c r="AV131" i="5"/>
  <c r="AV51" i="4"/>
  <c r="AV202" i="1"/>
  <c r="AS52" i="4"/>
  <c r="AS65" i="4"/>
  <c r="AS188" i="1"/>
  <c r="CN77" i="8"/>
  <c r="AT51" i="4"/>
  <c r="AT202" i="1"/>
  <c r="AS53" i="4" l="1"/>
  <c r="AV65" i="4"/>
  <c r="AV52" i="4"/>
  <c r="AV188" i="1"/>
  <c r="AS191" i="1"/>
  <c r="AS204" i="1"/>
  <c r="CK29" i="8" s="1"/>
  <c r="AT203" i="1"/>
  <c r="AT204" i="1" s="1"/>
  <c r="CL29" i="8" s="1"/>
  <c r="AV203" i="1"/>
  <c r="AT52" i="4"/>
  <c r="AT65" i="4"/>
  <c r="AT188" i="1"/>
  <c r="AV204" i="1" l="1"/>
  <c r="CN29" i="8" s="1"/>
  <c r="AV53" i="4"/>
  <c r="AT53" i="4"/>
  <c r="AS192" i="1"/>
  <c r="CK26" i="8" s="1"/>
  <c r="AT191" i="1"/>
  <c r="AV191" i="1"/>
  <c r="AV192" i="1" l="1"/>
  <c r="CN26" i="8" s="1"/>
  <c r="AT192" i="1"/>
  <c r="CL26" i="8" s="1"/>
  <c r="AB39" i="51" l="1"/>
  <c r="AB45" i="51"/>
  <c r="AB49" i="51"/>
  <c r="AB54" i="51"/>
  <c r="AB58" i="51"/>
  <c r="AB62" i="51"/>
  <c r="AB67" i="51"/>
  <c r="AB73" i="51"/>
  <c r="AB77" i="51"/>
  <c r="AB82" i="51"/>
  <c r="AB88" i="51"/>
  <c r="AB92" i="51"/>
  <c r="AB97" i="51"/>
  <c r="AB101" i="51"/>
  <c r="AB105" i="51"/>
  <c r="AK28" i="51" l="1"/>
  <c r="AW377" i="1" s="1"/>
  <c r="AW376" i="1" s="1"/>
  <c r="AK93" i="51"/>
  <c r="AK94" i="51"/>
  <c r="AW382" i="1" l="1"/>
  <c r="AW375" i="1"/>
  <c r="AW378" i="1"/>
  <c r="AX376" i="1"/>
  <c r="BA378" i="1"/>
  <c r="BB378" i="1" l="1"/>
  <c r="AX382" i="1"/>
  <c r="AX375" i="1"/>
  <c r="AX377" i="1"/>
  <c r="AL28" i="51" s="1"/>
  <c r="AL92" i="51" s="1"/>
  <c r="AX378" i="1"/>
  <c r="AW30" i="1"/>
  <c r="AK27" i="8" s="1"/>
  <c r="AW394" i="1"/>
  <c r="AW395" i="1"/>
  <c r="AW386" i="1"/>
  <c r="BA387" i="1"/>
  <c r="BA384" i="1"/>
  <c r="AW53" i="1" l="1"/>
  <c r="AX386" i="1"/>
  <c r="AX387" i="1" s="1"/>
  <c r="AW387" i="1"/>
  <c r="AW90" i="5"/>
  <c r="AW83" i="5" s="1"/>
  <c r="AW34" i="1"/>
  <c r="AK28" i="8" s="1"/>
  <c r="AW32" i="1"/>
  <c r="AX394" i="1"/>
  <c r="AX30" i="1"/>
  <c r="AL27" i="8" s="1"/>
  <c r="AX395" i="1"/>
  <c r="BB387" i="1"/>
  <c r="BA385" i="1"/>
  <c r="BB384" i="1"/>
  <c r="BB385" i="1" s="1"/>
  <c r="AW384" i="1"/>
  <c r="AY30" i="1" l="1"/>
  <c r="AM27" i="8" s="1"/>
  <c r="AK68" i="8"/>
  <c r="AO68" i="8"/>
  <c r="AW31" i="1"/>
  <c r="AX384" i="1"/>
  <c r="AW385" i="1"/>
  <c r="BB388" i="1"/>
  <c r="BA51" i="1"/>
  <c r="AW55" i="1"/>
  <c r="AW37" i="1"/>
  <c r="BA54" i="1"/>
  <c r="AK122" i="51"/>
  <c r="AW68" i="1"/>
  <c r="AW35" i="1"/>
  <c r="AW87" i="5"/>
  <c r="AW79" i="5" s="1"/>
  <c r="AX83" i="5"/>
  <c r="AX90" i="5"/>
  <c r="AX34" i="1"/>
  <c r="AX32" i="1"/>
  <c r="AX53" i="1"/>
  <c r="AX54" i="1" s="1"/>
  <c r="AW54" i="1"/>
  <c r="AY34" i="1" l="1"/>
  <c r="AM28" i="8" s="1"/>
  <c r="AM68" i="8" s="1"/>
  <c r="AL28" i="8"/>
  <c r="AK30" i="8"/>
  <c r="AX87" i="5"/>
  <c r="AX91" i="5"/>
  <c r="AX79" i="5"/>
  <c r="AX31" i="1"/>
  <c r="BB390" i="1"/>
  <c r="BA388" i="1"/>
  <c r="AL122" i="51"/>
  <c r="BB54" i="1"/>
  <c r="AX68" i="1"/>
  <c r="AX35" i="1"/>
  <c r="AX37" i="1"/>
  <c r="AL30" i="8" s="1"/>
  <c r="AW39" i="1"/>
  <c r="AK31" i="8" s="1"/>
  <c r="AW56" i="1"/>
  <c r="AW51" i="1"/>
  <c r="BB51" i="1"/>
  <c r="BB52" i="1" s="1"/>
  <c r="BA52" i="1"/>
  <c r="AK123" i="51"/>
  <c r="AO123" i="51"/>
  <c r="AX385" i="1"/>
  <c r="AX388" i="1"/>
  <c r="AW81" i="4"/>
  <c r="AW69" i="1"/>
  <c r="AW71" i="1" s="1"/>
  <c r="AK82" i="8" l="1"/>
  <c r="AK69" i="8"/>
  <c r="AO69" i="8"/>
  <c r="AL68" i="8"/>
  <c r="AP68" i="8"/>
  <c r="AX38" i="1"/>
  <c r="CP40" i="8" s="1"/>
  <c r="BB55" i="1"/>
  <c r="BB56" i="1" s="1"/>
  <c r="AW52" i="1"/>
  <c r="AX51" i="1"/>
  <c r="AL123" i="51"/>
  <c r="AP123" i="51"/>
  <c r="AW80" i="4"/>
  <c r="AW72" i="1"/>
  <c r="AW96" i="1"/>
  <c r="AW89" i="1"/>
  <c r="AK34" i="8" s="1"/>
  <c r="AW388" i="1"/>
  <c r="AX390" i="1"/>
  <c r="AX39" i="1"/>
  <c r="BA390" i="1"/>
  <c r="BC390" i="1"/>
  <c r="AX81" i="4"/>
  <c r="AX69" i="1"/>
  <c r="AX71" i="1" s="1"/>
  <c r="AW40" i="1" l="1"/>
  <c r="AL31" i="8"/>
  <c r="AK70" i="8"/>
  <c r="AO70" i="8"/>
  <c r="AK83" i="8"/>
  <c r="AX72" i="1"/>
  <c r="AX80" i="4"/>
  <c r="AX96" i="1"/>
  <c r="AZ105" i="1"/>
  <c r="AX55" i="1"/>
  <c r="AX56" i="1" s="1"/>
  <c r="AX52" i="1"/>
  <c r="AW390" i="1"/>
  <c r="AY390" i="1"/>
  <c r="AV40" i="1"/>
  <c r="AX40" i="1" s="1"/>
  <c r="AX89" i="1"/>
  <c r="AW237" i="4"/>
  <c r="AW29" i="5"/>
  <c r="AW37" i="5" s="1"/>
  <c r="AW24" i="5" s="1"/>
  <c r="AY39" i="1"/>
  <c r="AM31" i="8" s="1"/>
  <c r="AW83" i="4"/>
  <c r="AM69" i="8" l="1"/>
  <c r="AM82" i="8"/>
  <c r="AY89" i="1"/>
  <c r="AM34" i="8" s="1"/>
  <c r="AM70" i="8" s="1"/>
  <c r="AL34" i="8"/>
  <c r="AL83" i="8" s="1"/>
  <c r="AL69" i="8"/>
  <c r="AP69" i="8"/>
  <c r="AL82" i="8"/>
  <c r="AK76" i="8"/>
  <c r="AW240" i="4"/>
  <c r="AW241" i="4" s="1"/>
  <c r="AW57" i="4" s="1"/>
  <c r="AX237" i="4"/>
  <c r="AX240" i="4" s="1"/>
  <c r="AX241" i="4" s="1"/>
  <c r="AW84" i="4"/>
  <c r="AW97" i="4" s="1"/>
  <c r="AZ84" i="4"/>
  <c r="AZ97" i="4" s="1"/>
  <c r="AX84" i="4"/>
  <c r="AX97" i="4" s="1"/>
  <c r="AW74" i="1"/>
  <c r="AW175" i="1"/>
  <c r="AZ82" i="5"/>
  <c r="BB105" i="1"/>
  <c r="AZ107" i="1"/>
  <c r="AX24" i="5"/>
  <c r="AW26" i="5"/>
  <c r="AW96" i="5"/>
  <c r="AX97" i="1"/>
  <c r="CP17" i="8" s="1"/>
  <c r="AX83" i="4"/>
  <c r="AJ76" i="8"/>
  <c r="CZ10" i="8"/>
  <c r="AX29" i="5"/>
  <c r="AX37" i="5" s="1"/>
  <c r="AL70" i="8" l="1"/>
  <c r="AP70" i="8"/>
  <c r="AM83" i="8"/>
  <c r="AZ238" i="4"/>
  <c r="BB238" i="4" s="1"/>
  <c r="BB82" i="5"/>
  <c r="AX74" i="1"/>
  <c r="AX175" i="1"/>
  <c r="AZ176" i="1"/>
  <c r="AW180" i="1"/>
  <c r="AW176" i="1"/>
  <c r="AX96" i="5"/>
  <c r="BB236" i="4"/>
  <c r="AX57" i="4"/>
  <c r="AZ236" i="4"/>
  <c r="AW97" i="5"/>
  <c r="AW101" i="5"/>
  <c r="AW183" i="1"/>
  <c r="AW127" i="5"/>
  <c r="AX26" i="5"/>
  <c r="AZ127" i="5"/>
  <c r="AZ120" i="1"/>
  <c r="BB107" i="1"/>
  <c r="BB106" i="1" s="1"/>
  <c r="AZ110" i="1"/>
  <c r="AW62" i="4"/>
  <c r="AZ240" i="4" l="1"/>
  <c r="AZ241" i="4" s="1"/>
  <c r="AZ57" i="4" s="1"/>
  <c r="BB240" i="4"/>
  <c r="BB241" i="4" s="1"/>
  <c r="AW98" i="5"/>
  <c r="AW64" i="4"/>
  <c r="CO72" i="8" s="1"/>
  <c r="AW194" i="1"/>
  <c r="AX180" i="1"/>
  <c r="AW184" i="1"/>
  <c r="AX127" i="5"/>
  <c r="AX129" i="5" s="1"/>
  <c r="AW129" i="5"/>
  <c r="BD236" i="4"/>
  <c r="BD240" i="4" s="1"/>
  <c r="BD241" i="4" s="1"/>
  <c r="BF236" i="4"/>
  <c r="BF240" i="4" s="1"/>
  <c r="BF241" i="4" s="1"/>
  <c r="BB57" i="4"/>
  <c r="AZ129" i="5"/>
  <c r="BB127" i="5"/>
  <c r="BB129" i="5" s="1"/>
  <c r="BA236" i="4"/>
  <c r="BA240" i="4" s="1"/>
  <c r="BA241" i="4" s="1"/>
  <c r="BA57" i="4" s="1"/>
  <c r="AX176" i="1"/>
  <c r="BB120" i="1"/>
  <c r="BB121" i="1" s="1"/>
  <c r="AZ121" i="1"/>
  <c r="AX97" i="5"/>
  <c r="AX183" i="1"/>
  <c r="AX101" i="5"/>
  <c r="AW103" i="5"/>
  <c r="AX62" i="4"/>
  <c r="AZ137" i="1"/>
  <c r="BB110" i="1"/>
  <c r="AX98" i="5" l="1"/>
  <c r="AX64" i="4"/>
  <c r="CP72" i="8" s="1"/>
  <c r="AX194" i="1"/>
  <c r="BB117" i="1"/>
  <c r="BB122" i="1" s="1"/>
  <c r="BB137" i="1"/>
  <c r="AW113" i="4"/>
  <c r="AW13" i="4" s="1"/>
  <c r="CO43" i="8" s="1"/>
  <c r="AW104" i="5"/>
  <c r="AX184" i="1"/>
  <c r="BD57" i="4"/>
  <c r="BE236" i="4"/>
  <c r="BE240" i="4" s="1"/>
  <c r="BE241" i="4" s="1"/>
  <c r="BE57" i="4" s="1"/>
  <c r="AW197" i="1"/>
  <c r="AW102" i="4"/>
  <c r="CO36" i="8" s="1"/>
  <c r="AW103" i="4"/>
  <c r="CO35" i="8" s="1"/>
  <c r="AX103" i="5"/>
  <c r="BH236" i="4"/>
  <c r="BH240" i="4" s="1"/>
  <c r="BH241" i="4" s="1"/>
  <c r="BF57" i="4"/>
  <c r="BJ236" i="4"/>
  <c r="BJ240" i="4" s="1"/>
  <c r="BJ241" i="4" s="1"/>
  <c r="AZ117" i="1"/>
  <c r="AZ56" i="4" s="1"/>
  <c r="BA118" i="1"/>
  <c r="BA121" i="1" s="1"/>
  <c r="AZ122" i="1" l="1"/>
  <c r="AZ85" i="5"/>
  <c r="AZ62" i="4"/>
  <c r="BB56" i="4"/>
  <c r="BD118" i="1"/>
  <c r="BJ57" i="4"/>
  <c r="BL236" i="4"/>
  <c r="BL240" i="4" s="1"/>
  <c r="BL241" i="4" s="1"/>
  <c r="BN236" i="4"/>
  <c r="BN240" i="4" s="1"/>
  <c r="BN241" i="4" s="1"/>
  <c r="BI236" i="4"/>
  <c r="BI240" i="4" s="1"/>
  <c r="BI241" i="4" s="1"/>
  <c r="BI57" i="4" s="1"/>
  <c r="BH57" i="4"/>
  <c r="AX113" i="4"/>
  <c r="AX13" i="4" s="1"/>
  <c r="CP43" i="8" s="1"/>
  <c r="BB100" i="5"/>
  <c r="AX104" i="5"/>
  <c r="AZ100" i="5"/>
  <c r="BA117" i="1"/>
  <c r="BA56" i="4" s="1"/>
  <c r="AX197" i="1"/>
  <c r="AW199" i="1"/>
  <c r="CO28" i="8" s="1"/>
  <c r="AW198" i="1"/>
  <c r="CO27" i="8" s="1"/>
  <c r="AW92" i="4"/>
  <c r="AW18" i="4"/>
  <c r="CO47" i="8" s="1"/>
  <c r="CO46" i="8" s="1"/>
  <c r="AW71" i="4"/>
  <c r="AW72" i="4" s="1"/>
  <c r="AW105" i="5"/>
  <c r="AW106" i="5" s="1"/>
  <c r="AW45" i="1"/>
  <c r="AW46" i="1" s="1"/>
  <c r="AW108" i="5"/>
  <c r="AX102" i="4"/>
  <c r="CP36" i="8" s="1"/>
  <c r="AX103" i="4"/>
  <c r="CP35" i="8" s="1"/>
  <c r="BA122" i="1" l="1"/>
  <c r="AZ64" i="4"/>
  <c r="CR72" i="8" s="1"/>
  <c r="AZ194" i="1"/>
  <c r="AW27" i="4"/>
  <c r="AX71" i="4"/>
  <c r="AX72" i="4" s="1"/>
  <c r="AX18" i="4"/>
  <c r="CP47" i="8" s="1"/>
  <c r="CP46" i="8" s="1"/>
  <c r="AX105" i="5"/>
  <c r="AX106" i="5" s="1"/>
  <c r="AX45" i="1"/>
  <c r="AX46" i="1" s="1"/>
  <c r="AX108" i="5"/>
  <c r="BA85" i="5"/>
  <c r="BA87" i="5" s="1"/>
  <c r="BA79" i="5" s="1"/>
  <c r="BA62" i="4"/>
  <c r="AW104" i="4"/>
  <c r="AW181" i="1" s="1"/>
  <c r="AW105" i="4"/>
  <c r="AW173" i="1"/>
  <c r="AZ87" i="5"/>
  <c r="AZ79" i="5" s="1"/>
  <c r="AX92" i="4"/>
  <c r="AW93" i="4"/>
  <c r="BR236" i="4"/>
  <c r="BR240" i="4" s="1"/>
  <c r="BR241" i="4" s="1"/>
  <c r="BN57" i="4"/>
  <c r="BP236" i="4"/>
  <c r="BP240" i="4" s="1"/>
  <c r="BP241" i="4" s="1"/>
  <c r="BB62" i="4"/>
  <c r="BL57" i="4"/>
  <c r="BM236" i="4"/>
  <c r="BM240" i="4" s="1"/>
  <c r="BM241" i="4" s="1"/>
  <c r="BM57" i="4" s="1"/>
  <c r="BF118" i="1"/>
  <c r="BF121" i="1" s="1"/>
  <c r="BD121" i="1"/>
  <c r="AX199" i="1"/>
  <c r="CP28" i="8" s="1"/>
  <c r="AX198" i="1"/>
  <c r="CP27" i="8" s="1"/>
  <c r="BV236" i="4" l="1"/>
  <c r="BV240" i="4" s="1"/>
  <c r="BV241" i="4" s="1"/>
  <c r="BT236" i="4"/>
  <c r="BT240" i="4" s="1"/>
  <c r="BT241" i="4" s="1"/>
  <c r="BR57" i="4"/>
  <c r="BB85" i="5"/>
  <c r="BB87" i="5" s="1"/>
  <c r="AX27" i="4"/>
  <c r="AW28" i="4"/>
  <c r="CO54" i="8" s="1"/>
  <c r="CO53" i="8" s="1"/>
  <c r="AW178" i="1"/>
  <c r="BE118" i="1"/>
  <c r="BE121" i="1" s="1"/>
  <c r="BD117" i="1"/>
  <c r="BD56" i="4" s="1"/>
  <c r="BA64" i="4"/>
  <c r="CS72" i="8" s="1"/>
  <c r="BA194" i="1"/>
  <c r="BA197" i="1" s="1"/>
  <c r="AX105" i="4"/>
  <c r="AX104" i="4"/>
  <c r="AX181" i="1" s="1"/>
  <c r="AX173" i="1"/>
  <c r="BA96" i="5"/>
  <c r="BB79" i="5"/>
  <c r="AZ102" i="4"/>
  <c r="CR36" i="8" s="1"/>
  <c r="AZ103" i="4"/>
  <c r="CR35" i="8" s="1"/>
  <c r="AX93" i="4"/>
  <c r="AW94" i="4"/>
  <c r="AW98" i="4" s="1"/>
  <c r="CO37" i="8" s="1"/>
  <c r="AZ197" i="1"/>
  <c r="BB64" i="4"/>
  <c r="CT72" i="8" s="1"/>
  <c r="BB194" i="1"/>
  <c r="BF117" i="1"/>
  <c r="BF122" i="1" s="1"/>
  <c r="BP57" i="4"/>
  <c r="BQ236" i="4"/>
  <c r="BQ240" i="4" s="1"/>
  <c r="BQ241" i="4" s="1"/>
  <c r="BQ57" i="4" s="1"/>
  <c r="AZ96" i="5"/>
  <c r="BT57" i="4" l="1"/>
  <c r="BU236" i="4"/>
  <c r="BU240" i="4" s="1"/>
  <c r="BU241" i="4" s="1"/>
  <c r="BU57" i="4" s="1"/>
  <c r="BZ236" i="4"/>
  <c r="BZ240" i="4" s="1"/>
  <c r="BZ241" i="4" s="1"/>
  <c r="BZ57" i="4" s="1"/>
  <c r="BV57" i="4"/>
  <c r="BX236" i="4"/>
  <c r="BX240" i="4" s="1"/>
  <c r="BX241" i="4" s="1"/>
  <c r="BD122" i="1"/>
  <c r="BB96" i="5"/>
  <c r="BA102" i="4"/>
  <c r="CS36" i="8" s="1"/>
  <c r="BA103" i="4"/>
  <c r="CS35" i="8" s="1"/>
  <c r="BB197" i="1"/>
  <c r="BA101" i="5"/>
  <c r="BA97" i="5"/>
  <c r="BA183" i="1"/>
  <c r="AW131" i="5"/>
  <c r="AX94" i="4"/>
  <c r="AX98" i="4" s="1"/>
  <c r="CP37" i="8" s="1"/>
  <c r="BF56" i="4"/>
  <c r="BH118" i="1"/>
  <c r="BD62" i="4"/>
  <c r="BD85" i="5"/>
  <c r="BB103" i="4"/>
  <c r="CT35" i="8" s="1"/>
  <c r="BB102" i="4"/>
  <c r="CT36" i="8" s="1"/>
  <c r="AX178" i="1"/>
  <c r="AZ198" i="1"/>
  <c r="CR27" i="8" s="1"/>
  <c r="AZ199" i="1"/>
  <c r="CR28" i="8" s="1"/>
  <c r="BA198" i="1"/>
  <c r="CS27" i="8" s="1"/>
  <c r="BA199" i="1"/>
  <c r="CS28" i="8" s="1"/>
  <c r="AW30" i="4"/>
  <c r="BE117" i="1"/>
  <c r="BE56" i="4" s="1"/>
  <c r="AX28" i="4"/>
  <c r="CP54" i="8" s="1"/>
  <c r="CP53" i="8" s="1"/>
  <c r="AZ101" i="5"/>
  <c r="AZ97" i="5"/>
  <c r="AZ183" i="1"/>
  <c r="BX57" i="4" l="1"/>
  <c r="BY236" i="4"/>
  <c r="BY240" i="4" s="1"/>
  <c r="BY241" i="4" s="1"/>
  <c r="BY57" i="4" s="1"/>
  <c r="AZ98" i="5"/>
  <c r="BE122" i="1"/>
  <c r="AX30" i="4"/>
  <c r="BB101" i="5"/>
  <c r="AZ103" i="5"/>
  <c r="BA98" i="5"/>
  <c r="BB97" i="5"/>
  <c r="BB183" i="1"/>
  <c r="BF62" i="4"/>
  <c r="BB199" i="1"/>
  <c r="CT28" i="8" s="1"/>
  <c r="BB198" i="1"/>
  <c r="CT27" i="8" s="1"/>
  <c r="BE62" i="4"/>
  <c r="BE85" i="5"/>
  <c r="BE87" i="5" s="1"/>
  <c r="BE79" i="5" s="1"/>
  <c r="AW51" i="4"/>
  <c r="AW202" i="1"/>
  <c r="BD64" i="4"/>
  <c r="BD194" i="1"/>
  <c r="BJ118" i="1"/>
  <c r="BJ121" i="1" s="1"/>
  <c r="BH121" i="1"/>
  <c r="BD87" i="5"/>
  <c r="BD79" i="5" s="1"/>
  <c r="BA184" i="1"/>
  <c r="AZ184" i="1"/>
  <c r="CO77" i="8"/>
  <c r="AX131" i="5"/>
  <c r="BF85" i="5" l="1"/>
  <c r="BF87" i="5" s="1"/>
  <c r="BB98" i="5"/>
  <c r="BD103" i="4"/>
  <c r="BD102" i="4"/>
  <c r="CV36" i="8" s="1"/>
  <c r="CV72" i="8"/>
  <c r="BJ117" i="1"/>
  <c r="BJ122" i="1" s="1"/>
  <c r="CP77" i="8"/>
  <c r="BF64" i="4"/>
  <c r="BF194" i="1"/>
  <c r="AZ113" i="4"/>
  <c r="AZ13" i="4" s="1"/>
  <c r="CR43" i="8" s="1"/>
  <c r="AZ104" i="5"/>
  <c r="BA100" i="5"/>
  <c r="BD197" i="1"/>
  <c r="BH117" i="1"/>
  <c r="BH56" i="4" s="1"/>
  <c r="BI118" i="1"/>
  <c r="BI121" i="1" s="1"/>
  <c r="AX51" i="4"/>
  <c r="AX202" i="1"/>
  <c r="AW203" i="1"/>
  <c r="AW52" i="4"/>
  <c r="AW65" i="4"/>
  <c r="AW188" i="1"/>
  <c r="BB103" i="5"/>
  <c r="BE64" i="4"/>
  <c r="BE194" i="1"/>
  <c r="BE197" i="1" s="1"/>
  <c r="BB184" i="1"/>
  <c r="BD96" i="5"/>
  <c r="BE96" i="5"/>
  <c r="BF79" i="5"/>
  <c r="AW53" i="4" l="1"/>
  <c r="BH122" i="1"/>
  <c r="BE199" i="1"/>
  <c r="BE198" i="1"/>
  <c r="BA103" i="5"/>
  <c r="AW191" i="1"/>
  <c r="BH62" i="4"/>
  <c r="BH85" i="5"/>
  <c r="AZ108" i="5"/>
  <c r="AZ92" i="4"/>
  <c r="AZ93" i="4" s="1"/>
  <c r="AZ71" i="4"/>
  <c r="AZ72" i="4" s="1"/>
  <c r="AZ18" i="4"/>
  <c r="CR47" i="8" s="1"/>
  <c r="CR46" i="8" s="1"/>
  <c r="AZ105" i="5"/>
  <c r="AZ106" i="5" s="1"/>
  <c r="AZ45" i="1"/>
  <c r="AZ46" i="1" s="1"/>
  <c r="BI117" i="1"/>
  <c r="BI56" i="4" s="1"/>
  <c r="CV35" i="8"/>
  <c r="BF103" i="4"/>
  <c r="BF102" i="4"/>
  <c r="CX36" i="8" s="1"/>
  <c r="CX72" i="8"/>
  <c r="BD100" i="5"/>
  <c r="BB113" i="4"/>
  <c r="BB13" i="4" s="1"/>
  <c r="CT43" i="8" s="1"/>
  <c r="BF100" i="5"/>
  <c r="BB104" i="5"/>
  <c r="BF197" i="1"/>
  <c r="BD199" i="1"/>
  <c r="BD198" i="1"/>
  <c r="BF96" i="5"/>
  <c r="BE97" i="5"/>
  <c r="BE101" i="5"/>
  <c r="BE183" i="1"/>
  <c r="BE102" i="4"/>
  <c r="CW36" i="8" s="1"/>
  <c r="BE103" i="4"/>
  <c r="CW72" i="8"/>
  <c r="AX203" i="1"/>
  <c r="AX204" i="1" s="1"/>
  <c r="CP29" i="8" s="1"/>
  <c r="AW204" i="1"/>
  <c r="CO29" i="8" s="1"/>
  <c r="BD101" i="5"/>
  <c r="BD97" i="5"/>
  <c r="BD183" i="1"/>
  <c r="AX52" i="4"/>
  <c r="AX65" i="4"/>
  <c r="AX188" i="1"/>
  <c r="BJ56" i="4"/>
  <c r="BL118" i="1"/>
  <c r="BE98" i="5" l="1"/>
  <c r="BI122" i="1"/>
  <c r="AX53" i="4"/>
  <c r="BD103" i="5"/>
  <c r="BH87" i="5"/>
  <c r="BH79" i="5" s="1"/>
  <c r="BH64" i="4"/>
  <c r="BH194" i="1"/>
  <c r="CW35" i="8"/>
  <c r="BI62" i="4"/>
  <c r="BI85" i="5"/>
  <c r="BI87" i="5" s="1"/>
  <c r="BI79" i="5" s="1"/>
  <c r="BE184" i="1"/>
  <c r="BD184" i="1"/>
  <c r="BF101" i="5"/>
  <c r="CV28" i="8"/>
  <c r="AZ27" i="4"/>
  <c r="AX191" i="1"/>
  <c r="AW192" i="1"/>
  <c r="CO26" i="8" s="1"/>
  <c r="BA113" i="4"/>
  <c r="BA13" i="4" s="1"/>
  <c r="CS43" i="8" s="1"/>
  <c r="BA104" i="5"/>
  <c r="BB18" i="4"/>
  <c r="CT47" i="8" s="1"/>
  <c r="CT46" i="8" s="1"/>
  <c r="BB71" i="4"/>
  <c r="BB72" i="4" s="1"/>
  <c r="BB108" i="5"/>
  <c r="BB105" i="5"/>
  <c r="BB106" i="5" s="1"/>
  <c r="BB45" i="1"/>
  <c r="BB46" i="1" s="1"/>
  <c r="CX35" i="8"/>
  <c r="AZ104" i="4"/>
  <c r="AZ181" i="1" s="1"/>
  <c r="AZ105" i="4"/>
  <c r="AZ173" i="1"/>
  <c r="CW27" i="8"/>
  <c r="BF97" i="5"/>
  <c r="BF183" i="1"/>
  <c r="BN118" i="1"/>
  <c r="BN121" i="1" s="1"/>
  <c r="BL121" i="1"/>
  <c r="AZ94" i="4"/>
  <c r="AZ98" i="4" s="1"/>
  <c r="CR37" i="8" s="1"/>
  <c r="CW28" i="8"/>
  <c r="BD98" i="5"/>
  <c r="CV27" i="8"/>
  <c r="BJ62" i="4"/>
  <c r="BF199" i="1"/>
  <c r="BF198" i="1"/>
  <c r="BI96" i="5" l="1"/>
  <c r="BJ79" i="5"/>
  <c r="CX27" i="8"/>
  <c r="BB104" i="4"/>
  <c r="BB181" i="1" s="1"/>
  <c r="BB105" i="4"/>
  <c r="BB173" i="1"/>
  <c r="CX28" i="8"/>
  <c r="BJ85" i="5"/>
  <c r="BJ87" i="5" s="1"/>
  <c r="BL117" i="1"/>
  <c r="BL56" i="4" s="1"/>
  <c r="BM118" i="1"/>
  <c r="BM121" i="1" s="1"/>
  <c r="BJ64" i="4"/>
  <c r="BJ194" i="1"/>
  <c r="BN117" i="1"/>
  <c r="BN122" i="1" s="1"/>
  <c r="AZ178" i="1"/>
  <c r="BH96" i="5"/>
  <c r="BA18" i="4"/>
  <c r="CS47" i="8" s="1"/>
  <c r="CS46" i="8" s="1"/>
  <c r="BA71" i="4"/>
  <c r="BA72" i="4" s="1"/>
  <c r="BA108" i="5"/>
  <c r="BA92" i="4"/>
  <c r="BA105" i="5"/>
  <c r="BA106" i="5" s="1"/>
  <c r="BA45" i="1"/>
  <c r="BA46" i="1" s="1"/>
  <c r="BI64" i="4"/>
  <c r="BI194" i="1"/>
  <c r="BI197" i="1" s="1"/>
  <c r="BH197" i="1"/>
  <c r="BH103" i="4"/>
  <c r="BH102" i="4"/>
  <c r="AX192" i="1"/>
  <c r="CP26" i="8" s="1"/>
  <c r="BF184" i="1"/>
  <c r="BD113" i="4"/>
  <c r="BD13" i="4" s="1"/>
  <c r="BD45" i="1" s="1"/>
  <c r="BD46" i="1" s="1"/>
  <c r="BE100" i="5"/>
  <c r="BD104" i="5"/>
  <c r="BF103" i="5"/>
  <c r="AZ28" i="4"/>
  <c r="CR54" i="8" s="1"/>
  <c r="CR53" i="8" s="1"/>
  <c r="AZ131" i="5"/>
  <c r="BF98" i="5"/>
  <c r="BI199" i="1" l="1"/>
  <c r="BI198" i="1"/>
  <c r="BA27" i="4"/>
  <c r="BL62" i="4"/>
  <c r="BL85" i="5"/>
  <c r="BF113" i="4"/>
  <c r="BF13" i="4" s="1"/>
  <c r="BH100" i="5"/>
  <c r="BJ100" i="5"/>
  <c r="BF104" i="5"/>
  <c r="BN56" i="4"/>
  <c r="BP118" i="1"/>
  <c r="BD18" i="4"/>
  <c r="BD108" i="5"/>
  <c r="BD71" i="4"/>
  <c r="BD72" i="4" s="1"/>
  <c r="BD92" i="4"/>
  <c r="BD105" i="5"/>
  <c r="BD106" i="5" s="1"/>
  <c r="CV43" i="8"/>
  <c r="BJ102" i="4"/>
  <c r="BJ103" i="4"/>
  <c r="BJ197" i="1"/>
  <c r="BE103" i="5"/>
  <c r="BH97" i="5"/>
  <c r="BH101" i="5"/>
  <c r="BH183" i="1"/>
  <c r="BB178" i="1"/>
  <c r="AZ30" i="4"/>
  <c r="BL122" i="1"/>
  <c r="BJ96" i="5"/>
  <c r="BB92" i="4"/>
  <c r="BA93" i="4"/>
  <c r="BH199" i="1"/>
  <c r="BH198" i="1"/>
  <c r="BI102" i="4"/>
  <c r="BI103" i="4"/>
  <c r="BA104" i="4"/>
  <c r="BA181" i="1" s="1"/>
  <c r="BA105" i="4"/>
  <c r="BA173" i="1"/>
  <c r="BM117" i="1"/>
  <c r="BM56" i="4" s="1"/>
  <c r="BI97" i="5"/>
  <c r="BI101" i="5"/>
  <c r="BI183" i="1"/>
  <c r="BI98" i="5" l="1"/>
  <c r="BM122" i="1"/>
  <c r="BH98" i="5"/>
  <c r="BA28" i="4"/>
  <c r="CS54" i="8" s="1"/>
  <c r="CS53" i="8" s="1"/>
  <c r="BB27" i="4"/>
  <c r="AZ51" i="4"/>
  <c r="AZ202" i="1"/>
  <c r="CV47" i="8"/>
  <c r="BD27" i="4"/>
  <c r="BA178" i="1"/>
  <c r="BE113" i="4"/>
  <c r="BE13" i="4" s="1"/>
  <c r="BE104" i="5"/>
  <c r="BH103" i="5"/>
  <c r="BF18" i="4"/>
  <c r="BF71" i="4"/>
  <c r="BF72" i="4" s="1"/>
  <c r="BF105" i="5"/>
  <c r="BF106" i="5" s="1"/>
  <c r="BF108" i="5"/>
  <c r="CX43" i="8"/>
  <c r="BF45" i="1"/>
  <c r="BF46" i="1" s="1"/>
  <c r="BD104" i="4"/>
  <c r="BD181" i="1" s="1"/>
  <c r="BD105" i="4"/>
  <c r="BD173" i="1"/>
  <c r="BJ198" i="1"/>
  <c r="BJ199" i="1"/>
  <c r="CR77" i="8"/>
  <c r="BJ101" i="5"/>
  <c r="BR118" i="1"/>
  <c r="BR121" i="1" s="1"/>
  <c r="BP121" i="1"/>
  <c r="BL87" i="5"/>
  <c r="BL79" i="5" s="1"/>
  <c r="BI184" i="1"/>
  <c r="BH184" i="1"/>
  <c r="BB93" i="4"/>
  <c r="BA94" i="4"/>
  <c r="BA98" i="4" s="1"/>
  <c r="CS37" i="8" s="1"/>
  <c r="BM62" i="4"/>
  <c r="BM85" i="5"/>
  <c r="BM87" i="5" s="1"/>
  <c r="BM79" i="5" s="1"/>
  <c r="BJ97" i="5"/>
  <c r="BJ183" i="1"/>
  <c r="BN62" i="4"/>
  <c r="BL64" i="4"/>
  <c r="BL194" i="1"/>
  <c r="BJ98" i="5" l="1"/>
  <c r="CX47" i="8"/>
  <c r="BD28" i="4"/>
  <c r="BE18" i="4"/>
  <c r="BE71" i="4"/>
  <c r="BE72" i="4" s="1"/>
  <c r="BE105" i="5"/>
  <c r="BE106" i="5" s="1"/>
  <c r="BE108" i="5"/>
  <c r="BE92" i="4"/>
  <c r="BF92" i="4" s="1"/>
  <c r="CW43" i="8"/>
  <c r="BE45" i="1"/>
  <c r="BE46" i="1" s="1"/>
  <c r="CV46" i="8"/>
  <c r="BJ103" i="5"/>
  <c r="BN79" i="5"/>
  <c r="BM96" i="5"/>
  <c r="BB28" i="4"/>
  <c r="CT54" i="8" s="1"/>
  <c r="CT53" i="8" s="1"/>
  <c r="BL197" i="1"/>
  <c r="AZ203" i="1"/>
  <c r="BA30" i="4"/>
  <c r="BD178" i="1"/>
  <c r="BH113" i="4"/>
  <c r="BH13" i="4" s="1"/>
  <c r="BI100" i="5"/>
  <c r="BH104" i="5"/>
  <c r="BN85" i="5"/>
  <c r="BN87" i="5" s="1"/>
  <c r="BR117" i="1"/>
  <c r="BT118" i="1" s="1"/>
  <c r="AZ52" i="4"/>
  <c r="AZ65" i="4"/>
  <c r="AZ188" i="1"/>
  <c r="BA131" i="5"/>
  <c r="BL96" i="5"/>
  <c r="BL103" i="4"/>
  <c r="BL102" i="4"/>
  <c r="BM64" i="4"/>
  <c r="BM194" i="1"/>
  <c r="BM197" i="1" s="1"/>
  <c r="BQ118" i="1"/>
  <c r="BQ121" i="1" s="1"/>
  <c r="BP117" i="1"/>
  <c r="BP56" i="4" s="1"/>
  <c r="BB94" i="4"/>
  <c r="BB98" i="4" s="1"/>
  <c r="CT37" i="8" s="1"/>
  <c r="BD93" i="4"/>
  <c r="BN64" i="4"/>
  <c r="BN194" i="1"/>
  <c r="BJ184" i="1"/>
  <c r="BF105" i="4"/>
  <c r="BF104" i="4"/>
  <c r="BF181" i="1" s="1"/>
  <c r="BF173" i="1"/>
  <c r="BT121" i="1" l="1"/>
  <c r="BV118" i="1"/>
  <c r="BV121" i="1" s="1"/>
  <c r="BR56" i="4"/>
  <c r="AZ53" i="4"/>
  <c r="BR122" i="1"/>
  <c r="BM198" i="1"/>
  <c r="BM199" i="1"/>
  <c r="AZ204" i="1"/>
  <c r="CR29" i="8" s="1"/>
  <c r="BQ117" i="1"/>
  <c r="BQ56" i="4" s="1"/>
  <c r="BM97" i="5"/>
  <c r="BM101" i="5"/>
  <c r="BM183" i="1"/>
  <c r="BN96" i="5"/>
  <c r="BP62" i="4"/>
  <c r="BP85" i="5"/>
  <c r="BI103" i="5"/>
  <c r="BH92" i="4"/>
  <c r="BH105" i="5"/>
  <c r="BH106" i="5" s="1"/>
  <c r="BH18" i="4"/>
  <c r="BH71" i="4"/>
  <c r="BH72" i="4" s="1"/>
  <c r="BH108" i="5"/>
  <c r="BJ104" i="5"/>
  <c r="BJ113" i="4"/>
  <c r="BJ13" i="4" s="1"/>
  <c r="BL100" i="5"/>
  <c r="BN100" i="5"/>
  <c r="BM102" i="4"/>
  <c r="BM103" i="4"/>
  <c r="AZ191" i="1"/>
  <c r="CV54" i="8"/>
  <c r="BD30" i="4"/>
  <c r="CX46" i="8"/>
  <c r="BL198" i="1"/>
  <c r="BL199" i="1"/>
  <c r="BL101" i="5"/>
  <c r="BL97" i="5"/>
  <c r="BL183" i="1"/>
  <c r="BN197" i="1"/>
  <c r="BN102" i="4"/>
  <c r="BN103" i="4"/>
  <c r="CS77" i="8"/>
  <c r="BA51" i="4"/>
  <c r="BA202" i="1"/>
  <c r="BB30" i="4"/>
  <c r="BE93" i="4"/>
  <c r="BD94" i="4"/>
  <c r="BD98" i="4" s="1"/>
  <c r="BB131" i="5"/>
  <c r="BE105" i="4"/>
  <c r="BE104" i="4"/>
  <c r="BE181" i="1" s="1"/>
  <c r="BE173" i="1"/>
  <c r="BH45" i="1"/>
  <c r="BH46" i="1" s="1"/>
  <c r="BF178" i="1"/>
  <c r="BP122" i="1"/>
  <c r="CW47" i="8"/>
  <c r="BE27" i="4"/>
  <c r="BV117" i="1" l="1"/>
  <c r="BV122" i="1" s="1"/>
  <c r="BU118" i="1"/>
  <c r="BU121" i="1" s="1"/>
  <c r="BT117" i="1"/>
  <c r="BT56" i="4" s="1"/>
  <c r="BT62" i="4" s="1"/>
  <c r="BT64" i="4" s="1"/>
  <c r="BR62" i="4"/>
  <c r="BM98" i="5"/>
  <c r="BL98" i="5"/>
  <c r="BQ122" i="1"/>
  <c r="BJ108" i="5"/>
  <c r="BJ18" i="4"/>
  <c r="BJ105" i="5"/>
  <c r="BJ106" i="5" s="1"/>
  <c r="BJ71" i="4"/>
  <c r="BJ72" i="4" s="1"/>
  <c r="BJ45" i="1"/>
  <c r="BJ46" i="1" s="1"/>
  <c r="BI104" i="5"/>
  <c r="BI113" i="4"/>
  <c r="BI13" i="4" s="1"/>
  <c r="BN97" i="5"/>
  <c r="BN183" i="1"/>
  <c r="BQ62" i="4"/>
  <c r="BQ85" i="5"/>
  <c r="BQ87" i="5" s="1"/>
  <c r="BQ79" i="5" s="1"/>
  <c r="BF93" i="4"/>
  <c r="BE94" i="4"/>
  <c r="BE98" i="4" s="1"/>
  <c r="CT77" i="8"/>
  <c r="BN198" i="1"/>
  <c r="BN199" i="1"/>
  <c r="CV53" i="8"/>
  <c r="CV77" i="8"/>
  <c r="BP64" i="4"/>
  <c r="BP194" i="1"/>
  <c r="BN101" i="5"/>
  <c r="BE28" i="4"/>
  <c r="BF27" i="4"/>
  <c r="BA203" i="1"/>
  <c r="CW46" i="8"/>
  <c r="BB51" i="4"/>
  <c r="BB202" i="1"/>
  <c r="AZ192" i="1"/>
  <c r="CR26" i="8" s="1"/>
  <c r="BA52" i="4"/>
  <c r="BA65" i="4"/>
  <c r="BA188" i="1"/>
  <c r="BH105" i="4"/>
  <c r="BH104" i="4"/>
  <c r="BH181" i="1" s="1"/>
  <c r="BH173" i="1"/>
  <c r="BH27" i="4"/>
  <c r="BD131" i="5"/>
  <c r="CV37" i="8"/>
  <c r="BD51" i="4"/>
  <c r="BD202" i="1"/>
  <c r="BD203" i="1" s="1"/>
  <c r="BP87" i="5"/>
  <c r="BP79" i="5" s="1"/>
  <c r="BM184" i="1"/>
  <c r="BL184" i="1"/>
  <c r="BE178" i="1"/>
  <c r="BL103" i="5"/>
  <c r="BT103" i="4" l="1"/>
  <c r="BT102" i="4"/>
  <c r="BR194" i="1"/>
  <c r="BR64" i="4"/>
  <c r="BR103" i="4" s="1"/>
  <c r="BX118" i="1"/>
  <c r="BV56" i="4"/>
  <c r="BV62" i="4" s="1"/>
  <c r="BV64" i="4" s="1"/>
  <c r="BU117" i="1"/>
  <c r="BU56" i="4" s="1"/>
  <c r="BU62" i="4" s="1"/>
  <c r="BU64" i="4" s="1"/>
  <c r="BT122" i="1"/>
  <c r="BN98" i="5"/>
  <c r="BN103" i="5"/>
  <c r="BN113" i="4" s="1"/>
  <c r="BN13" i="4" s="1"/>
  <c r="BR85" i="5"/>
  <c r="BR87" i="5" s="1"/>
  <c r="BA53" i="4"/>
  <c r="BD204" i="1"/>
  <c r="CV29" i="8" s="1"/>
  <c r="BH93" i="4"/>
  <c r="BF94" i="4"/>
  <c r="BF98" i="4" s="1"/>
  <c r="BF28" i="4"/>
  <c r="BQ96" i="5"/>
  <c r="BR79" i="5"/>
  <c r="BI92" i="4"/>
  <c r="BJ92" i="4" s="1"/>
  <c r="BI105" i="5"/>
  <c r="BI106" i="5" s="1"/>
  <c r="BI18" i="4"/>
  <c r="BI71" i="4"/>
  <c r="BI72" i="4" s="1"/>
  <c r="BI108" i="5"/>
  <c r="BI45" i="1"/>
  <c r="BI46" i="1" s="1"/>
  <c r="BL104" i="5"/>
  <c r="BL113" i="4"/>
  <c r="BL13" i="4" s="1"/>
  <c r="BL45" i="1" s="1"/>
  <c r="BL46" i="1" s="1"/>
  <c r="BM100" i="5"/>
  <c r="CW54" i="8"/>
  <c r="BE30" i="4"/>
  <c r="BP96" i="5"/>
  <c r="BA204" i="1"/>
  <c r="CS29" i="8" s="1"/>
  <c r="BB203" i="1"/>
  <c r="BB204" i="1" s="1"/>
  <c r="CT29" i="8" s="1"/>
  <c r="BQ64" i="4"/>
  <c r="BQ194" i="1"/>
  <c r="BN184" i="1"/>
  <c r="BR197" i="1"/>
  <c r="BJ105" i="4"/>
  <c r="BJ104" i="4"/>
  <c r="BJ181" i="1" s="1"/>
  <c r="BJ173" i="1"/>
  <c r="BH178" i="1"/>
  <c r="BH28" i="4"/>
  <c r="BP197" i="1"/>
  <c r="BB52" i="4"/>
  <c r="BB65" i="4"/>
  <c r="BB188" i="1"/>
  <c r="BD52" i="4"/>
  <c r="BD65" i="4"/>
  <c r="BD188" i="1"/>
  <c r="BD191" i="1" s="1"/>
  <c r="BA191" i="1"/>
  <c r="BP102" i="4"/>
  <c r="BP103" i="4"/>
  <c r="BE131" i="5"/>
  <c r="CW37" i="8"/>
  <c r="BR102" i="4" l="1"/>
  <c r="BV103" i="4"/>
  <c r="BV102" i="4"/>
  <c r="BU122" i="1"/>
  <c r="BX121" i="1"/>
  <c r="BZ118" i="1"/>
  <c r="BZ121" i="1" s="1"/>
  <c r="BU103" i="4"/>
  <c r="BU102" i="4"/>
  <c r="BT85" i="5"/>
  <c r="BT87" i="5" s="1"/>
  <c r="BT79" i="5" s="1"/>
  <c r="BP100" i="5"/>
  <c r="BR100" i="5"/>
  <c r="BN104" i="5"/>
  <c r="BQ197" i="1"/>
  <c r="BQ199" i="1" s="1"/>
  <c r="BB53" i="4"/>
  <c r="BR199" i="1"/>
  <c r="BR198" i="1"/>
  <c r="BF131" i="5"/>
  <c r="CX37" i="8"/>
  <c r="BH94" i="4"/>
  <c r="BH98" i="4" s="1"/>
  <c r="BH131" i="5" s="1"/>
  <c r="BI93" i="4"/>
  <c r="BP97" i="5"/>
  <c r="BP101" i="5"/>
  <c r="BP183" i="1"/>
  <c r="BQ102" i="4"/>
  <c r="BQ103" i="4"/>
  <c r="BE51" i="4"/>
  <c r="BE202" i="1"/>
  <c r="BN105" i="5"/>
  <c r="BN106" i="5" s="1"/>
  <c r="BN18" i="4"/>
  <c r="BN108" i="5"/>
  <c r="BN71" i="4"/>
  <c r="BN72" i="4" s="1"/>
  <c r="BN45" i="1"/>
  <c r="BN46" i="1" s="1"/>
  <c r="CW53" i="8"/>
  <c r="CW77" i="8"/>
  <c r="BR96" i="5"/>
  <c r="BQ101" i="5"/>
  <c r="BQ97" i="5"/>
  <c r="BQ183" i="1"/>
  <c r="BI105" i="4"/>
  <c r="BI104" i="4"/>
  <c r="BI181" i="1" s="1"/>
  <c r="BI173" i="1"/>
  <c r="BI27" i="4"/>
  <c r="BA192" i="1"/>
  <c r="CS26" i="8" s="1"/>
  <c r="BB191" i="1"/>
  <c r="BL108" i="5"/>
  <c r="BL92" i="4"/>
  <c r="BL18" i="4"/>
  <c r="BL105" i="5"/>
  <c r="BL106" i="5" s="1"/>
  <c r="BL71" i="4"/>
  <c r="BL72" i="4" s="1"/>
  <c r="BH30" i="4"/>
  <c r="BD192" i="1"/>
  <c r="BJ178" i="1"/>
  <c r="BM103" i="5"/>
  <c r="BP198" i="1"/>
  <c r="BP199" i="1"/>
  <c r="BD53" i="4"/>
  <c r="CX54" i="8"/>
  <c r="BF30" i="4"/>
  <c r="BT96" i="5" l="1"/>
  <c r="BY118" i="1"/>
  <c r="BY121" i="1" s="1"/>
  <c r="BX117" i="1"/>
  <c r="BX56" i="4" s="1"/>
  <c r="BZ117" i="1"/>
  <c r="BZ56" i="4" s="1"/>
  <c r="BZ62" i="4" s="1"/>
  <c r="BT194" i="1"/>
  <c r="BV194" i="1"/>
  <c r="BU85" i="5"/>
  <c r="BQ198" i="1"/>
  <c r="BP98" i="5"/>
  <c r="BL27" i="4"/>
  <c r="BN104" i="4"/>
  <c r="BN181" i="1" s="1"/>
  <c r="BN105" i="4"/>
  <c r="BN173" i="1"/>
  <c r="BE203" i="1"/>
  <c r="BQ184" i="1"/>
  <c r="BP184" i="1"/>
  <c r="BR101" i="5"/>
  <c r="BJ27" i="4"/>
  <c r="BI28" i="4"/>
  <c r="BE52" i="4"/>
  <c r="BE65" i="4"/>
  <c r="BE188" i="1"/>
  <c r="BI178" i="1"/>
  <c r="BP103" i="5"/>
  <c r="BM104" i="5"/>
  <c r="BM113" i="4"/>
  <c r="BM13" i="4" s="1"/>
  <c r="BF51" i="4"/>
  <c r="BF202" i="1"/>
  <c r="CX53" i="8"/>
  <c r="CX77" i="8"/>
  <c r="BI94" i="4"/>
  <c r="BI98" i="4" s="1"/>
  <c r="BI131" i="5" s="1"/>
  <c r="BJ93" i="4"/>
  <c r="BR97" i="5"/>
  <c r="BR183" i="1"/>
  <c r="BL104" i="4"/>
  <c r="BL181" i="1" s="1"/>
  <c r="BL105" i="4"/>
  <c r="BL173" i="1"/>
  <c r="BB192" i="1"/>
  <c r="CT26" i="8" s="1"/>
  <c r="CV26" i="8"/>
  <c r="BH51" i="4"/>
  <c r="BH202" i="1"/>
  <c r="BQ98" i="5"/>
  <c r="BX122" i="1" l="1"/>
  <c r="BZ122" i="1"/>
  <c r="BZ64" i="4"/>
  <c r="BZ194" i="1"/>
  <c r="BX62" i="4"/>
  <c r="BX85" i="5"/>
  <c r="BY117" i="1"/>
  <c r="BY56" i="4" s="1"/>
  <c r="BT97" i="5"/>
  <c r="BT98" i="5" s="1"/>
  <c r="BT101" i="5"/>
  <c r="BT183" i="1"/>
  <c r="BV85" i="5"/>
  <c r="BV87" i="5" s="1"/>
  <c r="BU87" i="5"/>
  <c r="BU79" i="5" s="1"/>
  <c r="BV197" i="1"/>
  <c r="BT197" i="1"/>
  <c r="BU194" i="1"/>
  <c r="BE53" i="4"/>
  <c r="BM92" i="4"/>
  <c r="BN92" i="4" s="1"/>
  <c r="BM18" i="4"/>
  <c r="BM105" i="5"/>
  <c r="BM106" i="5" s="1"/>
  <c r="BM108" i="5"/>
  <c r="BM71" i="4"/>
  <c r="BM72" i="4" s="1"/>
  <c r="BM45" i="1"/>
  <c r="BM46" i="1" s="1"/>
  <c r="BE204" i="1"/>
  <c r="CW29" i="8" s="1"/>
  <c r="BF203" i="1"/>
  <c r="BF204" i="1" s="1"/>
  <c r="CX29" i="8" s="1"/>
  <c r="BH203" i="1"/>
  <c r="BI30" i="4"/>
  <c r="BJ28" i="4"/>
  <c r="BH65" i="4"/>
  <c r="BH52" i="4"/>
  <c r="BH188" i="1"/>
  <c r="BH191" i="1" s="1"/>
  <c r="BJ94" i="4"/>
  <c r="BJ98" i="4" s="1"/>
  <c r="BJ131" i="5" s="1"/>
  <c r="BL93" i="4"/>
  <c r="BN178" i="1"/>
  <c r="BL178" i="1"/>
  <c r="BP113" i="4"/>
  <c r="BP13" i="4" s="1"/>
  <c r="BP45" i="1" s="1"/>
  <c r="BP46" i="1" s="1"/>
  <c r="BP104" i="5"/>
  <c r="BQ100" i="5"/>
  <c r="BE191" i="1"/>
  <c r="BF65" i="4"/>
  <c r="BF52" i="4"/>
  <c r="BF188" i="1"/>
  <c r="BR98" i="5"/>
  <c r="BR103" i="5"/>
  <c r="BL28" i="4"/>
  <c r="BR184" i="1"/>
  <c r="BY122" i="1" l="1"/>
  <c r="BV100" i="5"/>
  <c r="BT100" i="5"/>
  <c r="BT103" i="5" s="1"/>
  <c r="BX87" i="5"/>
  <c r="BX79" i="5" s="1"/>
  <c r="BX96" i="5" s="1"/>
  <c r="BZ197" i="1"/>
  <c r="BT184" i="1"/>
  <c r="BY62" i="4"/>
  <c r="BY85" i="5"/>
  <c r="BY87" i="5" s="1"/>
  <c r="BY79" i="5" s="1"/>
  <c r="BU197" i="1"/>
  <c r="BX64" i="4"/>
  <c r="BX194" i="1"/>
  <c r="BZ103" i="4"/>
  <c r="BZ102" i="4"/>
  <c r="BV79" i="5"/>
  <c r="BU96" i="5"/>
  <c r="BT199" i="1"/>
  <c r="BT198" i="1"/>
  <c r="BV199" i="1"/>
  <c r="BV198" i="1"/>
  <c r="BL94" i="4"/>
  <c r="BL98" i="4" s="1"/>
  <c r="BL131" i="5" s="1"/>
  <c r="BM93" i="4"/>
  <c r="BE192" i="1"/>
  <c r="BF191" i="1"/>
  <c r="BH192" i="1"/>
  <c r="BJ30" i="4"/>
  <c r="BQ103" i="5"/>
  <c r="BI51" i="4"/>
  <c r="BI202" i="1"/>
  <c r="BH53" i="4"/>
  <c r="BH204" i="1"/>
  <c r="BM104" i="4"/>
  <c r="BM181" i="1" s="1"/>
  <c r="BM105" i="4"/>
  <c r="BM173" i="1"/>
  <c r="BM27" i="4"/>
  <c r="BL30" i="4"/>
  <c r="BP105" i="5"/>
  <c r="BP106" i="5" s="1"/>
  <c r="BP18" i="4"/>
  <c r="BP108" i="5"/>
  <c r="BP71" i="4"/>
  <c r="BP72" i="4" s="1"/>
  <c r="BP92" i="4"/>
  <c r="BR113" i="4"/>
  <c r="BR13" i="4" s="1"/>
  <c r="BR104" i="5"/>
  <c r="BF53" i="4"/>
  <c r="BY64" i="4" l="1"/>
  <c r="BY194" i="1"/>
  <c r="BY197" i="1" s="1"/>
  <c r="BZ199" i="1"/>
  <c r="BZ198" i="1"/>
  <c r="BX183" i="1"/>
  <c r="BX97" i="5"/>
  <c r="BX98" i="5" s="1"/>
  <c r="BX101" i="5"/>
  <c r="BU198" i="1"/>
  <c r="BT113" i="4"/>
  <c r="BT13" i="4" s="1"/>
  <c r="BT104" i="5"/>
  <c r="BU100" i="5"/>
  <c r="BU199" i="1"/>
  <c r="BZ79" i="5"/>
  <c r="BZ96" i="5" s="1"/>
  <c r="BY96" i="5"/>
  <c r="BZ85" i="5"/>
  <c r="BZ87" i="5" s="1"/>
  <c r="BX103" i="4"/>
  <c r="BX102" i="4"/>
  <c r="BX197" i="1"/>
  <c r="BU101" i="5"/>
  <c r="BU183" i="1"/>
  <c r="BU97" i="5"/>
  <c r="BU98" i="5" s="1"/>
  <c r="BV96" i="5"/>
  <c r="BQ104" i="5"/>
  <c r="BQ113" i="4"/>
  <c r="BQ13" i="4" s="1"/>
  <c r="BF192" i="1"/>
  <c r="CW26" i="8"/>
  <c r="BL51" i="4"/>
  <c r="BL202" i="1"/>
  <c r="BP104" i="4"/>
  <c r="BP181" i="1" s="1"/>
  <c r="BP173" i="1"/>
  <c r="BP105" i="4"/>
  <c r="BI203" i="1"/>
  <c r="BM178" i="1"/>
  <c r="BP27" i="4"/>
  <c r="BI65" i="4"/>
  <c r="BI52" i="4"/>
  <c r="BI188" i="1"/>
  <c r="BM94" i="4"/>
  <c r="BM98" i="4" s="1"/>
  <c r="BM131" i="5" s="1"/>
  <c r="BN93" i="4"/>
  <c r="BJ51" i="4"/>
  <c r="BJ202" i="1"/>
  <c r="BR18" i="4"/>
  <c r="BR71" i="4"/>
  <c r="BR72" i="4" s="1"/>
  <c r="BR108" i="5"/>
  <c r="BR105" i="5"/>
  <c r="BR106" i="5" s="1"/>
  <c r="BR45" i="1"/>
  <c r="BR46" i="1" s="1"/>
  <c r="BN27" i="4"/>
  <c r="BM28" i="4"/>
  <c r="BT92" i="4" l="1"/>
  <c r="BT18" i="4"/>
  <c r="BT27" i="4" s="1"/>
  <c r="BT28" i="4" s="1"/>
  <c r="BT30" i="4" s="1"/>
  <c r="BT51" i="4" s="1"/>
  <c r="BT71" i="4"/>
  <c r="BT72" i="4" s="1"/>
  <c r="BY199" i="1"/>
  <c r="BY198" i="1"/>
  <c r="BY97" i="5"/>
  <c r="BY98" i="5" s="1"/>
  <c r="BY101" i="5"/>
  <c r="BZ101" i="5" s="1"/>
  <c r="BY183" i="1"/>
  <c r="BY184" i="1" s="1"/>
  <c r="BX199" i="1"/>
  <c r="BX198" i="1"/>
  <c r="BZ97" i="5"/>
  <c r="BZ98" i="5" s="1"/>
  <c r="BZ183" i="1"/>
  <c r="BY103" i="4"/>
  <c r="BY102" i="4"/>
  <c r="BX184" i="1"/>
  <c r="BU184" i="1"/>
  <c r="BV97" i="5"/>
  <c r="BV98" i="5" s="1"/>
  <c r="BV183" i="1"/>
  <c r="BV101" i="5"/>
  <c r="BV103" i="5" s="1"/>
  <c r="BU103" i="5"/>
  <c r="BP28" i="4"/>
  <c r="BL65" i="4"/>
  <c r="BL52" i="4"/>
  <c r="BL188" i="1"/>
  <c r="BR104" i="4"/>
  <c r="BR181" i="1" s="1"/>
  <c r="BR105" i="4"/>
  <c r="BR173" i="1"/>
  <c r="BI191" i="1"/>
  <c r="CX26" i="8"/>
  <c r="BN28" i="4"/>
  <c r="BN94" i="4"/>
  <c r="BN98" i="4" s="1"/>
  <c r="BN131" i="5" s="1"/>
  <c r="BP93" i="4"/>
  <c r="BL203" i="1"/>
  <c r="BP178" i="1"/>
  <c r="BQ18" i="4"/>
  <c r="BQ71" i="4"/>
  <c r="BQ72" i="4" s="1"/>
  <c r="BQ105" i="5"/>
  <c r="BQ106" i="5" s="1"/>
  <c r="BQ108" i="5"/>
  <c r="BQ92" i="4"/>
  <c r="BR92" i="4" s="1"/>
  <c r="BQ45" i="1"/>
  <c r="BQ46" i="1" s="1"/>
  <c r="BM30" i="4"/>
  <c r="BJ65" i="4"/>
  <c r="BJ52" i="4"/>
  <c r="BJ188" i="1"/>
  <c r="BI204" i="1"/>
  <c r="BJ203" i="1"/>
  <c r="BJ204" i="1" s="1"/>
  <c r="BI53" i="4"/>
  <c r="BT105" i="4" l="1"/>
  <c r="BT104" i="4"/>
  <c r="BZ184" i="1"/>
  <c r="BT52" i="4"/>
  <c r="BT65" i="4"/>
  <c r="BT53" i="4"/>
  <c r="BV104" i="5"/>
  <c r="BZ100" i="5"/>
  <c r="BZ103" i="5" s="1"/>
  <c r="BX100" i="5"/>
  <c r="BX103" i="5" s="1"/>
  <c r="BV113" i="4"/>
  <c r="BV13" i="4" s="1"/>
  <c r="BV105" i="5" s="1"/>
  <c r="BV106" i="5" s="1"/>
  <c r="BV184" i="1"/>
  <c r="BU113" i="4"/>
  <c r="BU13" i="4" s="1"/>
  <c r="BU104" i="5"/>
  <c r="BT108" i="5"/>
  <c r="BT105" i="5"/>
  <c r="BT106" i="5" s="1"/>
  <c r="BT45" i="1"/>
  <c r="BT46" i="1" s="1"/>
  <c r="BT173" i="1"/>
  <c r="BJ53" i="4"/>
  <c r="BL53" i="4"/>
  <c r="BQ104" i="4"/>
  <c r="BQ181" i="1" s="1"/>
  <c r="BQ173" i="1"/>
  <c r="BQ105" i="4"/>
  <c r="BN30" i="4"/>
  <c r="BQ27" i="4"/>
  <c r="BM51" i="4"/>
  <c r="BM202" i="1"/>
  <c r="BL191" i="1"/>
  <c r="BL204" i="1"/>
  <c r="BR178" i="1"/>
  <c r="BI192" i="1"/>
  <c r="BJ191" i="1"/>
  <c r="BQ93" i="4"/>
  <c r="BP94" i="4"/>
  <c r="BP98" i="4" s="1"/>
  <c r="BP131" i="5" s="1"/>
  <c r="BP30" i="4"/>
  <c r="BV45" i="1" l="1"/>
  <c r="BV46" i="1" s="1"/>
  <c r="BV108" i="5"/>
  <c r="BV18" i="4"/>
  <c r="BV71" i="4"/>
  <c r="BV72" i="4" s="1"/>
  <c r="BX113" i="4"/>
  <c r="BX13" i="4" s="1"/>
  <c r="BX104" i="5"/>
  <c r="BY100" i="5"/>
  <c r="BY103" i="5" s="1"/>
  <c r="BZ104" i="5"/>
  <c r="BZ113" i="4"/>
  <c r="BZ13" i="4" s="1"/>
  <c r="BU71" i="4"/>
  <c r="BU72" i="4" s="1"/>
  <c r="BU92" i="4"/>
  <c r="BU18" i="4"/>
  <c r="BU27" i="4" s="1"/>
  <c r="BT178" i="1"/>
  <c r="BR93" i="4"/>
  <c r="BT93" i="4" s="1"/>
  <c r="BT94" i="4" s="1"/>
  <c r="BT98" i="4" s="1"/>
  <c r="BQ94" i="4"/>
  <c r="BQ98" i="4" s="1"/>
  <c r="BQ131" i="5" s="1"/>
  <c r="BN51" i="4"/>
  <c r="BN202" i="1"/>
  <c r="BL192" i="1"/>
  <c r="BM203" i="1"/>
  <c r="BP51" i="4"/>
  <c r="BP202" i="1"/>
  <c r="BM52" i="4"/>
  <c r="BM65" i="4"/>
  <c r="BM188" i="1"/>
  <c r="BQ178" i="1"/>
  <c r="BJ192" i="1"/>
  <c r="BQ28" i="4"/>
  <c r="BR27" i="4"/>
  <c r="BZ71" i="4" l="1"/>
  <c r="BZ72" i="4" s="1"/>
  <c r="BZ18" i="4"/>
  <c r="BZ45" i="1"/>
  <c r="BZ46" i="1" s="1"/>
  <c r="BZ105" i="5"/>
  <c r="BZ106" i="5" s="1"/>
  <c r="BZ108" i="5"/>
  <c r="BV27" i="4"/>
  <c r="BV28" i="4" s="1"/>
  <c r="BV30" i="4" s="1"/>
  <c r="BV51" i="4" s="1"/>
  <c r="BU28" i="4"/>
  <c r="BU30" i="4" s="1"/>
  <c r="BU51" i="4" s="1"/>
  <c r="BU104" i="4"/>
  <c r="BU105" i="4"/>
  <c r="BY104" i="5"/>
  <c r="BY113" i="4"/>
  <c r="BY13" i="4" s="1"/>
  <c r="BY45" i="1" s="1"/>
  <c r="BY46" i="1" s="1"/>
  <c r="BV105" i="4"/>
  <c r="BV104" i="4"/>
  <c r="BV181" i="1" s="1"/>
  <c r="BV173" i="1"/>
  <c r="BV92" i="4"/>
  <c r="BU93" i="4"/>
  <c r="BX92" i="4"/>
  <c r="BX18" i="4"/>
  <c r="BX71" i="4"/>
  <c r="BX72" i="4" s="1"/>
  <c r="BX105" i="5"/>
  <c r="BX106" i="5" s="1"/>
  <c r="BX108" i="5"/>
  <c r="BX45" i="1"/>
  <c r="BX46" i="1" s="1"/>
  <c r="BU105" i="5"/>
  <c r="BU106" i="5" s="1"/>
  <c r="BU108" i="5"/>
  <c r="BT181" i="1"/>
  <c r="BU45" i="1"/>
  <c r="BU46" i="1" s="1"/>
  <c r="BU173" i="1"/>
  <c r="BR94" i="4"/>
  <c r="BR98" i="4" s="1"/>
  <c r="BR131" i="5" s="1"/>
  <c r="BM53" i="4"/>
  <c r="BM191" i="1"/>
  <c r="BR28" i="4"/>
  <c r="BP52" i="4"/>
  <c r="BP65" i="4"/>
  <c r="BP188" i="1"/>
  <c r="BP191" i="1" s="1"/>
  <c r="BQ30" i="4"/>
  <c r="BN52" i="4"/>
  <c r="BN65" i="4"/>
  <c r="BN188" i="1"/>
  <c r="BM204" i="1"/>
  <c r="BN203" i="1"/>
  <c r="BN204" i="1" s="1"/>
  <c r="BP203" i="1"/>
  <c r="BV52" i="4" l="1"/>
  <c r="BV53" i="4" s="1"/>
  <c r="BV65" i="4"/>
  <c r="BU94" i="4"/>
  <c r="BU98" i="4" s="1"/>
  <c r="BV93" i="4"/>
  <c r="BV94" i="4" s="1"/>
  <c r="BV98" i="4" s="1"/>
  <c r="BY92" i="4"/>
  <c r="BZ92" i="4" s="1"/>
  <c r="BY18" i="4"/>
  <c r="BY27" i="4" s="1"/>
  <c r="BY71" i="4"/>
  <c r="BY72" i="4" s="1"/>
  <c r="BY108" i="5"/>
  <c r="BY105" i="5"/>
  <c r="BY106" i="5" s="1"/>
  <c r="BU65" i="4"/>
  <c r="BU52" i="4"/>
  <c r="BU53" i="4" s="1"/>
  <c r="BX27" i="4"/>
  <c r="BX28" i="4" s="1"/>
  <c r="BX30" i="4" s="1"/>
  <c r="A13" i="4" a="1"/>
  <c r="A13" i="4" s="1"/>
  <c r="BV178" i="1"/>
  <c r="BX105" i="4"/>
  <c r="BX104" i="4"/>
  <c r="BX181" i="1" s="1"/>
  <c r="BX173" i="1"/>
  <c r="BX93" i="4"/>
  <c r="BZ104" i="4"/>
  <c r="BZ181" i="1" s="1"/>
  <c r="BZ105" i="4"/>
  <c r="BZ173" i="1"/>
  <c r="BU178" i="1"/>
  <c r="BT202" i="1"/>
  <c r="BT131" i="5"/>
  <c r="BN53" i="4"/>
  <c r="BP53" i="4"/>
  <c r="BR30" i="4"/>
  <c r="BM192" i="1"/>
  <c r="BN191" i="1"/>
  <c r="BP192" i="1"/>
  <c r="BP204" i="1"/>
  <c r="BQ51" i="4"/>
  <c r="BQ202" i="1"/>
  <c r="BX94" i="4" l="1"/>
  <c r="BX98" i="4" s="1"/>
  <c r="BY93" i="4"/>
  <c r="BX178" i="1"/>
  <c r="BZ27" i="4"/>
  <c r="BZ28" i="4" s="1"/>
  <c r="BZ30" i="4" s="1"/>
  <c r="BY28" i="4"/>
  <c r="BY30" i="4" s="1"/>
  <c r="BY104" i="4"/>
  <c r="BY181" i="1" s="1"/>
  <c r="BY105" i="4"/>
  <c r="BY173" i="1"/>
  <c r="BX51" i="4"/>
  <c r="BX202" i="1"/>
  <c r="BZ178" i="1"/>
  <c r="BT203" i="1"/>
  <c r="BU181" i="1"/>
  <c r="BT188" i="1"/>
  <c r="BU131" i="5"/>
  <c r="BQ203" i="1"/>
  <c r="BQ204" i="1" s="1"/>
  <c r="BN192" i="1"/>
  <c r="BQ52" i="4"/>
  <c r="BQ65" i="4"/>
  <c r="BQ188" i="1"/>
  <c r="BR51" i="4"/>
  <c r="BR202" i="1"/>
  <c r="A27" i="4" l="1" a="1"/>
  <c r="A27" i="4" s="1"/>
  <c r="CZ44" i="8" s="1"/>
  <c r="BY51" i="4"/>
  <c r="BY202" i="1"/>
  <c r="BY203" i="1" s="1"/>
  <c r="BY204" i="1" s="1"/>
  <c r="BZ51" i="4"/>
  <c r="BZ202" i="1"/>
  <c r="BZ93" i="4"/>
  <c r="BZ94" i="4" s="1"/>
  <c r="BZ98" i="4" s="1"/>
  <c r="BY94" i="4"/>
  <c r="BY98" i="4" s="1"/>
  <c r="BX52" i="4"/>
  <c r="BX53" i="4" s="1"/>
  <c r="BX65" i="4"/>
  <c r="BX188" i="1"/>
  <c r="BY178" i="1"/>
  <c r="BT191" i="1"/>
  <c r="BT204" i="1"/>
  <c r="BX131" i="5"/>
  <c r="BV131" i="5"/>
  <c r="BR203" i="1"/>
  <c r="BR204" i="1" s="1"/>
  <c r="BU202" i="1"/>
  <c r="BQ53" i="4"/>
  <c r="BR52" i="4"/>
  <c r="BR65" i="4"/>
  <c r="BR188" i="1"/>
  <c r="BQ191" i="1"/>
  <c r="BZ65" i="4" l="1"/>
  <c r="BZ52" i="4"/>
  <c r="BZ53" i="4" s="1"/>
  <c r="BZ188" i="1"/>
  <c r="BX203" i="1"/>
  <c r="BU203" i="1"/>
  <c r="BY52" i="4"/>
  <c r="BY53" i="4" s="1"/>
  <c r="BY65" i="4"/>
  <c r="BY188" i="1"/>
  <c r="BZ203" i="1"/>
  <c r="BZ204" i="1" s="1"/>
  <c r="BX204" i="1"/>
  <c r="BT192" i="1"/>
  <c r="BZ131" i="5"/>
  <c r="BY131" i="5"/>
  <c r="BU188" i="1"/>
  <c r="BU191" i="1" s="1"/>
  <c r="BU192" i="1" s="1"/>
  <c r="BV202" i="1"/>
  <c r="BR53" i="4"/>
  <c r="BQ192" i="1"/>
  <c r="BR191" i="1"/>
  <c r="BY191" i="1" l="1"/>
  <c r="BY192" i="1" s="1"/>
  <c r="BV191" i="1"/>
  <c r="BU204" i="1"/>
  <c r="BV203" i="1"/>
  <c r="BV204" i="1" s="1"/>
  <c r="BX191" i="1"/>
  <c r="BV188" i="1"/>
  <c r="BR192" i="1"/>
  <c r="BV192" i="1" l="1"/>
  <c r="BZ191" i="1"/>
  <c r="BZ192" i="1" s="1"/>
  <c r="BX192" i="1"/>
  <c r="AO108" i="1" l="1"/>
  <c r="AP108" i="1"/>
  <c r="AO110" i="1"/>
  <c r="AP110" i="1"/>
  <c r="AO114" i="1"/>
  <c r="AO113" i="1" s="1"/>
  <c r="AP114" i="1"/>
  <c r="AP113" i="1" s="1"/>
  <c r="AR136" i="1"/>
  <c r="AR140" i="1" s="1"/>
  <c r="CG12" i="8"/>
  <c r="CG13" i="8"/>
  <c r="CH13" i="8"/>
  <c r="CG14" i="8"/>
  <c r="CG20" i="8"/>
  <c r="CH20" i="8"/>
  <c r="CG21" i="8"/>
  <c r="CH21" i="8"/>
  <c r="CG22" i="8"/>
  <c r="CH22" i="8"/>
  <c r="AD36" i="8"/>
  <c r="AC37" i="8"/>
  <c r="AC72" i="8" s="1"/>
  <c r="AD37" i="8"/>
  <c r="AD72" i="8" s="1"/>
  <c r="AC38" i="8"/>
  <c r="AC73" i="8" s="1"/>
  <c r="AD38" i="8"/>
  <c r="AD73" i="8" s="1"/>
  <c r="AQ114" i="1" l="1"/>
  <c r="AT136" i="1"/>
  <c r="AR131" i="1"/>
  <c r="AR132" i="1"/>
  <c r="AS136" i="1"/>
  <c r="AS140" i="1" s="1"/>
  <c r="CH15" i="8"/>
  <c r="CH9" i="8"/>
  <c r="CG16" i="8"/>
  <c r="CH14" i="8"/>
  <c r="CH16" i="8"/>
  <c r="AC36" i="8"/>
  <c r="CH11" i="8" l="1"/>
  <c r="CG10" i="8"/>
  <c r="AR146" i="1"/>
  <c r="AR145" i="1"/>
  <c r="AR133" i="1"/>
  <c r="CJ21" i="8"/>
  <c r="CG15" i="8"/>
  <c r="CG11" i="8"/>
  <c r="AV136" i="1"/>
  <c r="AT140" i="1"/>
  <c r="AS131" i="1"/>
  <c r="AS132" i="1"/>
  <c r="AT132" i="1" s="1"/>
  <c r="AR189" i="1"/>
  <c r="AR172" i="1"/>
  <c r="AR95" i="1"/>
  <c r="AR185" i="1"/>
  <c r="AR195" i="1"/>
  <c r="CJ20" i="8"/>
  <c r="AR147" i="1" l="1"/>
  <c r="AR154" i="1"/>
  <c r="CJ22" i="8"/>
  <c r="AR148" i="1"/>
  <c r="AR150" i="1"/>
  <c r="AF37" i="8"/>
  <c r="AF72" i="8" s="1"/>
  <c r="CH10" i="8"/>
  <c r="AS185" i="1"/>
  <c r="AS95" i="1"/>
  <c r="AS98" i="1" s="1"/>
  <c r="CK20" i="8"/>
  <c r="AS172" i="1"/>
  <c r="AS189" i="1"/>
  <c r="AS195" i="1"/>
  <c r="AX136" i="1"/>
  <c r="AV140" i="1"/>
  <c r="AT145" i="1"/>
  <c r="AT146" i="1"/>
  <c r="CL21" i="8"/>
  <c r="AR151" i="1"/>
  <c r="AF38" i="8"/>
  <c r="AF73" i="8" s="1"/>
  <c r="CJ14" i="8"/>
  <c r="AR196" i="1"/>
  <c r="AR186" i="1"/>
  <c r="AS146" i="1"/>
  <c r="AS145" i="1"/>
  <c r="AS133" i="1"/>
  <c r="AT133" i="1" s="1"/>
  <c r="CK21" i="8"/>
  <c r="AR98" i="1"/>
  <c r="AF39" i="8"/>
  <c r="AF74" i="8" s="1"/>
  <c r="AT131" i="1"/>
  <c r="F50" i="61"/>
  <c r="F51" i="61" s="1"/>
  <c r="AR174" i="1"/>
  <c r="CH12" i="8"/>
  <c r="AR190" i="1"/>
  <c r="CJ13" i="8"/>
  <c r="AT95" i="1" l="1"/>
  <c r="AH39" i="8"/>
  <c r="AH74" i="8" s="1"/>
  <c r="AH37" i="8"/>
  <c r="AH72" i="8" s="1"/>
  <c r="AT150" i="1"/>
  <c r="CJ16" i="8"/>
  <c r="AR163" i="1"/>
  <c r="CK14" i="8"/>
  <c r="AS196" i="1"/>
  <c r="CJ15" i="8"/>
  <c r="AR168" i="1"/>
  <c r="AR153" i="1"/>
  <c r="F52" i="61"/>
  <c r="AH38" i="8"/>
  <c r="AH73" i="8" s="1"/>
  <c r="AT151" i="1"/>
  <c r="AW136" i="1"/>
  <c r="AW140" i="1" s="1"/>
  <c r="AV131" i="1"/>
  <c r="AV132" i="1"/>
  <c r="AS99" i="1"/>
  <c r="AT98" i="1"/>
  <c r="AR99" i="1"/>
  <c r="CK13" i="8"/>
  <c r="AS190" i="1"/>
  <c r="AG39" i="8"/>
  <c r="AG74" i="8" s="1"/>
  <c r="AF36" i="8"/>
  <c r="AR167" i="1"/>
  <c r="AT185" i="1"/>
  <c r="AT189" i="1"/>
  <c r="CL20" i="8"/>
  <c r="AT172" i="1"/>
  <c r="AT195" i="1"/>
  <c r="AS174" i="1"/>
  <c r="AR164" i="1"/>
  <c r="AT147" i="1"/>
  <c r="AT154" i="1"/>
  <c r="CL22" i="8"/>
  <c r="AT148" i="1"/>
  <c r="CK22" i="8"/>
  <c r="AS148" i="1"/>
  <c r="AS147" i="1"/>
  <c r="AS154" i="1"/>
  <c r="AS167" i="1" s="1"/>
  <c r="AG37" i="8"/>
  <c r="AS150" i="1"/>
  <c r="AS163" i="1" s="1"/>
  <c r="AR177" i="1"/>
  <c r="AG38" i="8"/>
  <c r="AG73" i="8" s="1"/>
  <c r="AS151" i="1"/>
  <c r="AS186" i="1"/>
  <c r="AR152" i="1"/>
  <c r="AS177" i="1" l="1"/>
  <c r="CK11" i="8"/>
  <c r="AT99" i="1"/>
  <c r="AS152" i="1"/>
  <c r="AS165" i="1" s="1"/>
  <c r="CK9" i="8"/>
  <c r="AS153" i="1"/>
  <c r="AS166" i="1" s="1"/>
  <c r="CK18" i="8"/>
  <c r="CJ12" i="8"/>
  <c r="AV145" i="1"/>
  <c r="CN21" i="8"/>
  <c r="AV146" i="1"/>
  <c r="AV133" i="1"/>
  <c r="AT196" i="1"/>
  <c r="CL14" i="8"/>
  <c r="AT174" i="1"/>
  <c r="CJ11" i="8"/>
  <c r="AR170" i="1"/>
  <c r="AR166" i="1"/>
  <c r="AT167" i="1"/>
  <c r="AH36" i="8"/>
  <c r="AT152" i="1"/>
  <c r="CK16" i="8"/>
  <c r="AT153" i="1"/>
  <c r="AT168" i="1"/>
  <c r="F54" i="61"/>
  <c r="F56" i="61" s="1"/>
  <c r="AV95" i="1"/>
  <c r="AV185" i="1"/>
  <c r="AV172" i="1"/>
  <c r="CN20" i="8"/>
  <c r="AV189" i="1"/>
  <c r="AV195" i="1"/>
  <c r="AT163" i="1"/>
  <c r="AT164" i="1"/>
  <c r="CK15" i="8"/>
  <c r="AS164" i="1"/>
  <c r="CJ9" i="8"/>
  <c r="CJ18" i="8"/>
  <c r="AS168" i="1"/>
  <c r="AW131" i="1"/>
  <c r="AW132" i="1"/>
  <c r="AX140" i="1"/>
  <c r="AX131" i="1" s="1"/>
  <c r="AZ136" i="1"/>
  <c r="AR165" i="1"/>
  <c r="CL13" i="8"/>
  <c r="AT190" i="1"/>
  <c r="AT186" i="1"/>
  <c r="AG36" i="8"/>
  <c r="CL11" i="8" l="1"/>
  <c r="CJ10" i="8"/>
  <c r="CK10" i="8"/>
  <c r="CP20" i="8"/>
  <c r="AX185" i="1"/>
  <c r="AX172" i="1"/>
  <c r="AX189" i="1"/>
  <c r="AX195" i="1"/>
  <c r="AW133" i="1"/>
  <c r="AX133" i="1" s="1"/>
  <c r="AW145" i="1"/>
  <c r="CO21" i="8"/>
  <c r="AW146" i="1"/>
  <c r="CN14" i="8"/>
  <c r="AV196" i="1"/>
  <c r="AV174" i="1"/>
  <c r="AV150" i="1"/>
  <c r="AJ37" i="8"/>
  <c r="AJ72" i="8" s="1"/>
  <c r="CN13" i="8"/>
  <c r="AV190" i="1"/>
  <c r="AT177" i="1"/>
  <c r="CL15" i="8"/>
  <c r="CL16" i="8"/>
  <c r="AJ38" i="8"/>
  <c r="AJ73" i="8" s="1"/>
  <c r="AV151" i="1"/>
  <c r="AZ140" i="1"/>
  <c r="BB136" i="1"/>
  <c r="AT166" i="1"/>
  <c r="AT170" i="1"/>
  <c r="AW95" i="1"/>
  <c r="AW98" i="1" s="1"/>
  <c r="AW185" i="1"/>
  <c r="CO20" i="8"/>
  <c r="AW172" i="1"/>
  <c r="AW189" i="1"/>
  <c r="AW195" i="1"/>
  <c r="AT165" i="1"/>
  <c r="AV186" i="1"/>
  <c r="CL9" i="8"/>
  <c r="AS170" i="1"/>
  <c r="CK12" i="8"/>
  <c r="AX132" i="1"/>
  <c r="CL18" i="8"/>
  <c r="AJ39" i="8"/>
  <c r="AJ74" i="8" s="1"/>
  <c r="AV98" i="1"/>
  <c r="AV148" i="1"/>
  <c r="AV147" i="1"/>
  <c r="AV154" i="1"/>
  <c r="CN22" i="8"/>
  <c r="AW99" i="1" l="1"/>
  <c r="AX98" i="1"/>
  <c r="AX196" i="1"/>
  <c r="CP14" i="8"/>
  <c r="AX95" i="1"/>
  <c r="AV177" i="1"/>
  <c r="CL12" i="8"/>
  <c r="AX186" i="1"/>
  <c r="AX190" i="1"/>
  <c r="CP13" i="8"/>
  <c r="CL10" i="8"/>
  <c r="AX174" i="1"/>
  <c r="CN15" i="8"/>
  <c r="AJ36" i="8"/>
  <c r="AV167" i="1"/>
  <c r="AW196" i="1"/>
  <c r="CO14" i="8"/>
  <c r="AV164" i="1"/>
  <c r="CO13" i="8"/>
  <c r="AW190" i="1"/>
  <c r="AX148" i="1"/>
  <c r="AX147" i="1"/>
  <c r="AX154" i="1"/>
  <c r="CP22" i="8"/>
  <c r="AV163" i="1"/>
  <c r="AK39" i="8"/>
  <c r="AK74" i="8" s="1"/>
  <c r="CN16" i="8"/>
  <c r="AZ131" i="1"/>
  <c r="AZ132" i="1"/>
  <c r="BA136" i="1"/>
  <c r="BA140" i="1" s="1"/>
  <c r="CP21" i="8"/>
  <c r="AX146" i="1"/>
  <c r="AX145" i="1"/>
  <c r="AV152" i="1"/>
  <c r="AW151" i="1"/>
  <c r="AW164" i="1" s="1"/>
  <c r="AK38" i="8"/>
  <c r="AK73" i="8" s="1"/>
  <c r="AV153" i="1"/>
  <c r="AV168" i="1"/>
  <c r="AW174" i="1"/>
  <c r="AV99" i="1"/>
  <c r="AK37" i="8"/>
  <c r="AK72" i="8" s="1"/>
  <c r="AW150" i="1"/>
  <c r="AW186" i="1"/>
  <c r="AW148" i="1"/>
  <c r="AW168" i="1" s="1"/>
  <c r="AW147" i="1"/>
  <c r="AW154" i="1"/>
  <c r="CO22" i="8"/>
  <c r="DE12" i="8" l="1"/>
  <c r="DC12" i="8"/>
  <c r="DE10" i="8"/>
  <c r="DC10" i="8"/>
  <c r="CN11" i="8"/>
  <c r="AX177" i="1"/>
  <c r="AV170" i="1"/>
  <c r="AV166" i="1"/>
  <c r="AW163" i="1"/>
  <c r="CN12" i="8"/>
  <c r="BA131" i="1"/>
  <c r="BA132" i="1"/>
  <c r="BD136" i="1"/>
  <c r="BB140" i="1"/>
  <c r="BB131" i="1" s="1"/>
  <c r="AL39" i="8"/>
  <c r="AL74" i="8" s="1"/>
  <c r="AX150" i="1"/>
  <c r="AL37" i="8"/>
  <c r="AL72" i="8" s="1"/>
  <c r="AZ133" i="1"/>
  <c r="AZ146" i="1"/>
  <c r="AZ145" i="1"/>
  <c r="CR21" i="8"/>
  <c r="AX151" i="1"/>
  <c r="AL38" i="8"/>
  <c r="AX167" i="1"/>
  <c r="AL36" i="8"/>
  <c r="AK36" i="8"/>
  <c r="AX152" i="1"/>
  <c r="AX168" i="1"/>
  <c r="AX153" i="1"/>
  <c r="CP16" i="8"/>
  <c r="CO15" i="8"/>
  <c r="AW167" i="1"/>
  <c r="AX99" i="1"/>
  <c r="AZ195" i="1"/>
  <c r="CR20" i="8"/>
  <c r="AZ95" i="1"/>
  <c r="AZ185" i="1"/>
  <c r="AZ172" i="1"/>
  <c r="AZ189" i="1"/>
  <c r="CN9" i="8"/>
  <c r="CP15" i="8"/>
  <c r="AW152" i="1"/>
  <c r="AW153" i="1"/>
  <c r="AW166" i="1" s="1"/>
  <c r="CO16" i="8"/>
  <c r="CN18" i="8"/>
  <c r="AW177" i="1"/>
  <c r="AV165" i="1"/>
  <c r="CO18" i="8"/>
  <c r="CP18" i="8" l="1"/>
  <c r="CO11" i="8"/>
  <c r="CO9" i="8"/>
  <c r="CN10" i="8"/>
  <c r="AX166" i="1"/>
  <c r="AX170" i="1"/>
  <c r="BB172" i="1"/>
  <c r="BB195" i="1"/>
  <c r="BB189" i="1"/>
  <c r="BB185" i="1"/>
  <c r="CT20" i="8"/>
  <c r="AX163" i="1"/>
  <c r="AX164" i="1"/>
  <c r="AN39" i="8"/>
  <c r="AN74" i="8" s="1"/>
  <c r="AZ98" i="1"/>
  <c r="AZ151" i="1"/>
  <c r="AN38" i="8"/>
  <c r="AN73" i="8" s="1"/>
  <c r="BF136" i="1"/>
  <c r="BD140" i="1"/>
  <c r="CP12" i="8"/>
  <c r="CO10" i="8"/>
  <c r="CP9" i="8"/>
  <c r="AZ186" i="1"/>
  <c r="AW165" i="1"/>
  <c r="BA133" i="1"/>
  <c r="BB133" i="1" s="1"/>
  <c r="BA146" i="1"/>
  <c r="CS21" i="8"/>
  <c r="BA145" i="1"/>
  <c r="AZ190" i="1"/>
  <c r="CR13" i="8"/>
  <c r="AZ150" i="1"/>
  <c r="AN37" i="8"/>
  <c r="AN72" i="8" s="1"/>
  <c r="AW170" i="1"/>
  <c r="AZ196" i="1"/>
  <c r="CR14" i="8"/>
  <c r="AX165" i="1"/>
  <c r="BB132" i="1"/>
  <c r="BA172" i="1"/>
  <c r="BA195" i="1"/>
  <c r="CS20" i="8"/>
  <c r="BA95" i="1"/>
  <c r="BA189" i="1"/>
  <c r="BA185" i="1"/>
  <c r="AZ174" i="1"/>
  <c r="CO12" i="8"/>
  <c r="CZ8" i="8"/>
  <c r="AL73" i="8"/>
  <c r="AZ148" i="1"/>
  <c r="AZ147" i="1"/>
  <c r="AZ154" i="1"/>
  <c r="CR22" i="8"/>
  <c r="BA98" i="1" l="1"/>
  <c r="BB95" i="1"/>
  <c r="BB148" i="1"/>
  <c r="BB154" i="1"/>
  <c r="CT22" i="8"/>
  <c r="BB147" i="1"/>
  <c r="BB146" i="1"/>
  <c r="CT21" i="8"/>
  <c r="BB145" i="1"/>
  <c r="AZ164" i="1"/>
  <c r="CP11" i="8"/>
  <c r="AZ99" i="1"/>
  <c r="BA186" i="1"/>
  <c r="AN36" i="8"/>
  <c r="AZ167" i="1"/>
  <c r="BB196" i="1"/>
  <c r="CT14" i="8"/>
  <c r="CR16" i="8"/>
  <c r="BB190" i="1"/>
  <c r="CT13" i="8"/>
  <c r="CR15" i="8"/>
  <c r="AZ177" i="1"/>
  <c r="BB186" i="1"/>
  <c r="BA190" i="1"/>
  <c r="CS13" i="8"/>
  <c r="AZ152" i="1"/>
  <c r="BA148" i="1"/>
  <c r="BA147" i="1"/>
  <c r="BA154" i="1"/>
  <c r="CS22" i="8"/>
  <c r="BE136" i="1"/>
  <c r="BE140" i="1" s="1"/>
  <c r="BD131" i="1"/>
  <c r="BD132" i="1"/>
  <c r="AZ163" i="1"/>
  <c r="BA150" i="1"/>
  <c r="BA163" i="1" s="1"/>
  <c r="AO37" i="8"/>
  <c r="AO72" i="8" s="1"/>
  <c r="BA151" i="1"/>
  <c r="BA164" i="1" s="1"/>
  <c r="AO38" i="8"/>
  <c r="AO73" i="8" s="1"/>
  <c r="AO39" i="8"/>
  <c r="AO74" i="8" s="1"/>
  <c r="AZ153" i="1"/>
  <c r="AZ168" i="1"/>
  <c r="BB174" i="1"/>
  <c r="BA196" i="1"/>
  <c r="CS14" i="8"/>
  <c r="BA174" i="1"/>
  <c r="CP10" i="8"/>
  <c r="BB98" i="1" l="1"/>
  <c r="BA99" i="1"/>
  <c r="AP39" i="8"/>
  <c r="AP74" i="8" s="1"/>
  <c r="BA167" i="1"/>
  <c r="CS9" i="8" s="1"/>
  <c r="CS11" i="8"/>
  <c r="BA153" i="1"/>
  <c r="BA166" i="1" s="1"/>
  <c r="CR9" i="8"/>
  <c r="CR18" i="8"/>
  <c r="CR11" i="8"/>
  <c r="BB150" i="1"/>
  <c r="AP37" i="8"/>
  <c r="AP72" i="8" s="1"/>
  <c r="CS15" i="8"/>
  <c r="BB151" i="1"/>
  <c r="AP38" i="8"/>
  <c r="AP73" i="8" s="1"/>
  <c r="BD145" i="1"/>
  <c r="BD146" i="1"/>
  <c r="CV21" i="8"/>
  <c r="BD133" i="1"/>
  <c r="AP36" i="8"/>
  <c r="BB167" i="1"/>
  <c r="CT15" i="8"/>
  <c r="BA177" i="1"/>
  <c r="BB99" i="1"/>
  <c r="BD95" i="1"/>
  <c r="BD185" i="1"/>
  <c r="BD195" i="1"/>
  <c r="CV20" i="8"/>
  <c r="BD189" i="1"/>
  <c r="BD172" i="1"/>
  <c r="BB152" i="1"/>
  <c r="BB168" i="1"/>
  <c r="BB153" i="1"/>
  <c r="CT16" i="8"/>
  <c r="AZ170" i="1"/>
  <c r="AZ166" i="1"/>
  <c r="AZ165" i="1"/>
  <c r="BA168" i="1"/>
  <c r="CS18" i="8"/>
  <c r="BE131" i="1"/>
  <c r="BH136" i="1"/>
  <c r="BF140" i="1"/>
  <c r="BF131" i="1" s="1"/>
  <c r="BE132" i="1"/>
  <c r="CS16" i="8"/>
  <c r="AO36" i="8"/>
  <c r="BB177" i="1"/>
  <c r="BA152" i="1"/>
  <c r="BA165" i="1" s="1"/>
  <c r="CR12" i="8"/>
  <c r="BB165" i="1" l="1"/>
  <c r="CR10" i="8"/>
  <c r="BB163" i="1"/>
  <c r="BE133" i="1"/>
  <c r="BF133" i="1" s="1"/>
  <c r="BE145" i="1"/>
  <c r="CW21" i="8"/>
  <c r="BE146" i="1"/>
  <c r="CS12" i="8"/>
  <c r="CS10" i="8"/>
  <c r="CV14" i="8"/>
  <c r="BD196" i="1"/>
  <c r="CT12" i="8"/>
  <c r="BD186" i="1"/>
  <c r="AR39" i="8"/>
  <c r="AR74" i="8" s="1"/>
  <c r="BD98" i="1"/>
  <c r="BD151" i="1"/>
  <c r="BD150" i="1"/>
  <c r="AR37" i="8"/>
  <c r="AR72" i="8" s="1"/>
  <c r="BD174" i="1"/>
  <c r="BD190" i="1"/>
  <c r="CV13" i="8"/>
  <c r="BB164" i="1"/>
  <c r="BJ136" i="1"/>
  <c r="BH140" i="1"/>
  <c r="CT9" i="8"/>
  <c r="BA170" i="1"/>
  <c r="BE95" i="1"/>
  <c r="BE98" i="1" s="1"/>
  <c r="BE172" i="1"/>
  <c r="BE189" i="1"/>
  <c r="BE195" i="1"/>
  <c r="BE185" i="1"/>
  <c r="CW20" i="8"/>
  <c r="BD148" i="1"/>
  <c r="BD147" i="1"/>
  <c r="BD154" i="1"/>
  <c r="CV22" i="8"/>
  <c r="BF172" i="1"/>
  <c r="BF189" i="1"/>
  <c r="BF195" i="1"/>
  <c r="BF185" i="1"/>
  <c r="CX20" i="8"/>
  <c r="BB170" i="1"/>
  <c r="BB166" i="1"/>
  <c r="CT18" i="8"/>
  <c r="BF132" i="1"/>
  <c r="BF98" i="1" l="1"/>
  <c r="BE99" i="1"/>
  <c r="CT10" i="8"/>
  <c r="BE151" i="1"/>
  <c r="BD152" i="1"/>
  <c r="BF147" i="1"/>
  <c r="BF154" i="1"/>
  <c r="CX22" i="8"/>
  <c r="BF148" i="1"/>
  <c r="BE150" i="1"/>
  <c r="BE163" i="1" s="1"/>
  <c r="AS37" i="8"/>
  <c r="AS72" i="8" s="1"/>
  <c r="BF186" i="1"/>
  <c r="BD163" i="1"/>
  <c r="BD164" i="1"/>
  <c r="BE190" i="1"/>
  <c r="CW13" i="8"/>
  <c r="BF174" i="1"/>
  <c r="BD99" i="1"/>
  <c r="BD177" i="1"/>
  <c r="BD153" i="1"/>
  <c r="AR38" i="8"/>
  <c r="AR73" i="8" s="1"/>
  <c r="BD168" i="1"/>
  <c r="BH132" i="1"/>
  <c r="BI136" i="1"/>
  <c r="BI140" i="1" s="1"/>
  <c r="BH131" i="1"/>
  <c r="CW14" i="8"/>
  <c r="BE196" i="1"/>
  <c r="CV16" i="8"/>
  <c r="CX13" i="8"/>
  <c r="BF190" i="1"/>
  <c r="BE148" i="1"/>
  <c r="BE168" i="1" s="1"/>
  <c r="BE147" i="1"/>
  <c r="BE154" i="1"/>
  <c r="CW22" i="8"/>
  <c r="BE186" i="1"/>
  <c r="CX14" i="8"/>
  <c r="BF196" i="1"/>
  <c r="CT11" i="8"/>
  <c r="BE174" i="1"/>
  <c r="AS39" i="8"/>
  <c r="AS74" i="8" s="1"/>
  <c r="BF145" i="1"/>
  <c r="CX21" i="8"/>
  <c r="BF146" i="1"/>
  <c r="AR36" i="8"/>
  <c r="BD167" i="1"/>
  <c r="CV15" i="8"/>
  <c r="BF95" i="1"/>
  <c r="BF151" i="1" l="1"/>
  <c r="BF152" i="1"/>
  <c r="BD165" i="1"/>
  <c r="AT39" i="8"/>
  <c r="AT74" i="8" s="1"/>
  <c r="BF177" i="1"/>
  <c r="CV11" i="8"/>
  <c r="CW11" i="8"/>
  <c r="CW15" i="8"/>
  <c r="CV12" i="8"/>
  <c r="AS36" i="8"/>
  <c r="BE152" i="1"/>
  <c r="BE165" i="1" s="1"/>
  <c r="BE177" i="1"/>
  <c r="CV9" i="8"/>
  <c r="BF168" i="1"/>
  <c r="AT38" i="8"/>
  <c r="AT73" i="8" s="1"/>
  <c r="BF153" i="1"/>
  <c r="CW18" i="8"/>
  <c r="BF150" i="1"/>
  <c r="AT37" i="8"/>
  <c r="AT72" i="8" s="1"/>
  <c r="CW16" i="8"/>
  <c r="CV18" i="8"/>
  <c r="BH95" i="1"/>
  <c r="BH172" i="1"/>
  <c r="BH189" i="1"/>
  <c r="BH195" i="1"/>
  <c r="BH185" i="1"/>
  <c r="BI131" i="1"/>
  <c r="BI132" i="1"/>
  <c r="BL136" i="1"/>
  <c r="BJ140" i="1"/>
  <c r="BJ131" i="1" s="1"/>
  <c r="BJ132" i="1"/>
  <c r="BH133" i="1"/>
  <c r="BH145" i="1"/>
  <c r="BH146" i="1"/>
  <c r="BF99" i="1"/>
  <c r="AS38" i="8"/>
  <c r="AS73" i="8" s="1"/>
  <c r="BE153" i="1"/>
  <c r="BE167" i="1"/>
  <c r="CX15" i="8"/>
  <c r="CX16" i="8"/>
  <c r="BD170" i="1"/>
  <c r="BD166" i="1"/>
  <c r="BE164" i="1"/>
  <c r="AT36" i="8"/>
  <c r="BF167" i="1"/>
  <c r="BH150" i="1" l="1"/>
  <c r="AV37" i="8"/>
  <c r="AV72" i="8" s="1"/>
  <c r="CX9" i="8"/>
  <c r="CV10" i="8"/>
  <c r="BJ185" i="1"/>
  <c r="BJ172" i="1"/>
  <c r="BJ189" i="1"/>
  <c r="BJ195" i="1"/>
  <c r="BI172" i="1"/>
  <c r="BI95" i="1"/>
  <c r="BI98" i="1" s="1"/>
  <c r="BI189" i="1"/>
  <c r="BI195" i="1"/>
  <c r="BI185" i="1"/>
  <c r="BF163" i="1"/>
  <c r="BF164" i="1"/>
  <c r="BN136" i="1"/>
  <c r="BL140" i="1"/>
  <c r="BH186" i="1"/>
  <c r="CX12" i="8"/>
  <c r="AV39" i="8"/>
  <c r="AV74" i="8" s="1"/>
  <c r="BH98" i="1"/>
  <c r="BH147" i="1"/>
  <c r="BH154" i="1"/>
  <c r="BH148" i="1"/>
  <c r="BJ145" i="1"/>
  <c r="BJ146" i="1"/>
  <c r="CW9" i="8"/>
  <c r="BE170" i="1"/>
  <c r="BI146" i="1"/>
  <c r="BI133" i="1"/>
  <c r="BJ133" i="1" s="1"/>
  <c r="BI145" i="1"/>
  <c r="CW12" i="8"/>
  <c r="BF165" i="1"/>
  <c r="BE166" i="1"/>
  <c r="CX18" i="8"/>
  <c r="BH196" i="1"/>
  <c r="BH190" i="1"/>
  <c r="BH151" i="1"/>
  <c r="BH174" i="1"/>
  <c r="BF170" i="1"/>
  <c r="BF166" i="1"/>
  <c r="BJ95" i="1" l="1"/>
  <c r="BJ147" i="1"/>
  <c r="BJ154" i="1"/>
  <c r="BJ148" i="1"/>
  <c r="BJ190" i="1"/>
  <c r="BJ186" i="1"/>
  <c r="BI148" i="1"/>
  <c r="BI168" i="1" s="1"/>
  <c r="BI154" i="1"/>
  <c r="BI167" i="1" s="1"/>
  <c r="BI147" i="1"/>
  <c r="BJ196" i="1"/>
  <c r="CX10" i="8"/>
  <c r="BH99" i="1"/>
  <c r="BM136" i="1"/>
  <c r="BM140" i="1" s="1"/>
  <c r="BL131" i="1"/>
  <c r="BL132" i="1"/>
  <c r="AV36" i="8"/>
  <c r="BH167" i="1"/>
  <c r="BH152" i="1"/>
  <c r="BH177" i="1"/>
  <c r="CW10" i="8"/>
  <c r="BH164" i="1"/>
  <c r="BI99" i="1"/>
  <c r="BJ98" i="1"/>
  <c r="BI186" i="1"/>
  <c r="BI196" i="1"/>
  <c r="BJ151" i="1"/>
  <c r="BI190" i="1"/>
  <c r="AX37" i="8"/>
  <c r="AX72" i="8" s="1"/>
  <c r="BJ150" i="1"/>
  <c r="AW39" i="8"/>
  <c r="AW74" i="8" s="1"/>
  <c r="AW37" i="8"/>
  <c r="AW72" i="8" s="1"/>
  <c r="BI150" i="1"/>
  <c r="BI151" i="1"/>
  <c r="BI164" i="1" s="1"/>
  <c r="BJ174" i="1"/>
  <c r="CX11" i="8"/>
  <c r="AX39" i="8"/>
  <c r="AX74" i="8" s="1"/>
  <c r="AV38" i="8"/>
  <c r="AV73" i="8" s="1"/>
  <c r="BH153" i="1"/>
  <c r="BH168" i="1"/>
  <c r="BI174" i="1"/>
  <c r="BH163" i="1"/>
  <c r="BH165" i="1" l="1"/>
  <c r="BJ167" i="1"/>
  <c r="AX36" i="8"/>
  <c r="BJ177" i="1"/>
  <c r="BI177" i="1"/>
  <c r="BL145" i="1"/>
  <c r="BL146" i="1"/>
  <c r="BL133" i="1"/>
  <c r="BH170" i="1"/>
  <c r="BH166" i="1"/>
  <c r="BL185" i="1"/>
  <c r="BL95" i="1"/>
  <c r="BL189" i="1"/>
  <c r="BL195" i="1"/>
  <c r="BL172" i="1"/>
  <c r="BM131" i="1"/>
  <c r="BM132" i="1"/>
  <c r="BN140" i="1"/>
  <c r="BN131" i="1" s="1"/>
  <c r="BP136" i="1"/>
  <c r="BJ153" i="1"/>
  <c r="AX38" i="8"/>
  <c r="AX73" i="8" s="1"/>
  <c r="BJ168" i="1"/>
  <c r="BJ152" i="1"/>
  <c r="BI152" i="1"/>
  <c r="BI165" i="1" s="1"/>
  <c r="AW36" i="8"/>
  <c r="BI153" i="1"/>
  <c r="BI166" i="1" s="1"/>
  <c r="AW38" i="8"/>
  <c r="AW73" i="8" s="1"/>
  <c r="BJ164" i="1"/>
  <c r="BI163" i="1"/>
  <c r="BJ163" i="1"/>
  <c r="BJ99" i="1"/>
  <c r="BL186" i="1" l="1"/>
  <c r="BN172" i="1"/>
  <c r="BN185" i="1"/>
  <c r="BN189" i="1"/>
  <c r="BN195" i="1"/>
  <c r="BM95" i="1"/>
  <c r="BM98" i="1" s="1"/>
  <c r="BM185" i="1"/>
  <c r="BM189" i="1"/>
  <c r="BM195" i="1"/>
  <c r="BM172" i="1"/>
  <c r="BL151" i="1"/>
  <c r="BL150" i="1"/>
  <c r="AZ37" i="8"/>
  <c r="AZ72" i="8" s="1"/>
  <c r="AZ39" i="8"/>
  <c r="AZ74" i="8" s="1"/>
  <c r="BL98" i="1"/>
  <c r="BI170" i="1"/>
  <c r="BJ166" i="1"/>
  <c r="BJ170" i="1"/>
  <c r="BP140" i="1"/>
  <c r="BR136" i="1"/>
  <c r="BM133" i="1"/>
  <c r="BN133" i="1" s="1"/>
  <c r="BM145" i="1"/>
  <c r="BM146" i="1"/>
  <c r="BL147" i="1"/>
  <c r="BL154" i="1"/>
  <c r="BL148" i="1"/>
  <c r="BL174" i="1"/>
  <c r="BL196" i="1"/>
  <c r="BN132" i="1"/>
  <c r="BJ165" i="1"/>
  <c r="BL190" i="1"/>
  <c r="BN95" i="1" l="1"/>
  <c r="BN148" i="1"/>
  <c r="BN147" i="1"/>
  <c r="BN154" i="1"/>
  <c r="BB39" i="8"/>
  <c r="BB74" i="8" s="1"/>
  <c r="BN146" i="1"/>
  <c r="BN145" i="1"/>
  <c r="BL177" i="1"/>
  <c r="AZ36" i="8"/>
  <c r="BL167" i="1"/>
  <c r="BN186" i="1"/>
  <c r="BL164" i="1"/>
  <c r="BM190" i="1"/>
  <c r="BM186" i="1"/>
  <c r="BP131" i="1"/>
  <c r="BP132" i="1"/>
  <c r="BQ136" i="1"/>
  <c r="BQ140" i="1" s="1"/>
  <c r="BT136" i="1" s="1"/>
  <c r="BA39" i="8"/>
  <c r="BA74" i="8" s="1"/>
  <c r="BL153" i="1"/>
  <c r="AZ38" i="8"/>
  <c r="AZ73" i="8" s="1"/>
  <c r="BL168" i="1"/>
  <c r="BN196" i="1"/>
  <c r="BN190" i="1"/>
  <c r="BM151" i="1"/>
  <c r="BM164" i="1" s="1"/>
  <c r="BL99" i="1"/>
  <c r="BM196" i="1"/>
  <c r="BM147" i="1"/>
  <c r="BM154" i="1"/>
  <c r="BM148" i="1"/>
  <c r="BM168" i="1" s="1"/>
  <c r="BM99" i="1"/>
  <c r="BN98" i="1"/>
  <c r="BL163" i="1"/>
  <c r="BL152" i="1"/>
  <c r="BN174" i="1"/>
  <c r="BA37" i="8"/>
  <c r="BA72" i="8" s="1"/>
  <c r="BM150" i="1"/>
  <c r="BM163" i="1" s="1"/>
  <c r="BM174" i="1"/>
  <c r="BV136" i="1" l="1"/>
  <c r="BT140" i="1"/>
  <c r="BL165" i="1"/>
  <c r="BN151" i="1"/>
  <c r="BN177" i="1"/>
  <c r="BL170" i="1"/>
  <c r="BL166" i="1"/>
  <c r="BN167" i="1"/>
  <c r="BB36" i="8"/>
  <c r="BM152" i="1"/>
  <c r="BM165" i="1" s="1"/>
  <c r="BN152" i="1"/>
  <c r="BA36" i="8"/>
  <c r="BN150" i="1"/>
  <c r="BB37" i="8"/>
  <c r="BB72" i="8" s="1"/>
  <c r="BN99" i="1"/>
  <c r="BM177" i="1"/>
  <c r="BQ131" i="1"/>
  <c r="BQ132" i="1"/>
  <c r="BR140" i="1"/>
  <c r="BR131" i="1" s="1"/>
  <c r="BM153" i="1"/>
  <c r="BM166" i="1" s="1"/>
  <c r="BA38" i="8"/>
  <c r="BA73" i="8" s="1"/>
  <c r="BP133" i="1"/>
  <c r="BP146" i="1"/>
  <c r="BP145" i="1"/>
  <c r="BP195" i="1"/>
  <c r="BP185" i="1"/>
  <c r="BP95" i="1"/>
  <c r="BP172" i="1"/>
  <c r="BP189" i="1"/>
  <c r="BM167" i="1"/>
  <c r="BN153" i="1"/>
  <c r="BB38" i="8"/>
  <c r="BB73" i="8" s="1"/>
  <c r="BN168" i="1"/>
  <c r="BT131" i="1" l="1"/>
  <c r="BU136" i="1"/>
  <c r="BU140" i="1" s="1"/>
  <c r="BT132" i="1"/>
  <c r="BP196" i="1"/>
  <c r="BD37" i="8"/>
  <c r="BD72" i="8" s="1"/>
  <c r="BP150" i="1"/>
  <c r="BN166" i="1"/>
  <c r="BN170" i="1"/>
  <c r="BQ133" i="1"/>
  <c r="BQ146" i="1"/>
  <c r="BQ145" i="1"/>
  <c r="BR132" i="1"/>
  <c r="BR172" i="1"/>
  <c r="BR195" i="1"/>
  <c r="BR189" i="1"/>
  <c r="BR185" i="1"/>
  <c r="BP148" i="1"/>
  <c r="BP147" i="1"/>
  <c r="BP154" i="1"/>
  <c r="BN164" i="1"/>
  <c r="BM170" i="1"/>
  <c r="BN163" i="1"/>
  <c r="BP186" i="1"/>
  <c r="BQ172" i="1"/>
  <c r="BQ195" i="1"/>
  <c r="BQ95" i="1"/>
  <c r="BQ185" i="1"/>
  <c r="BQ189" i="1"/>
  <c r="BP151" i="1"/>
  <c r="BN165" i="1"/>
  <c r="BP190" i="1"/>
  <c r="BP174" i="1"/>
  <c r="BD39" i="8"/>
  <c r="BD74" i="8" s="1"/>
  <c r="BP98" i="1"/>
  <c r="BQ98" i="1" l="1"/>
  <c r="BQ99" i="1" s="1"/>
  <c r="BT172" i="1"/>
  <c r="BT174" i="1" s="1"/>
  <c r="BT177" i="1" s="1"/>
  <c r="BT95" i="1"/>
  <c r="BT98" i="1" s="1"/>
  <c r="BT99" i="1" s="1"/>
  <c r="BT195" i="1"/>
  <c r="BT196" i="1" s="1"/>
  <c r="BT185" i="1"/>
  <c r="BT186" i="1" s="1"/>
  <c r="BT189" i="1"/>
  <c r="BT190" i="1" s="1"/>
  <c r="BX136" i="1"/>
  <c r="BU131" i="1"/>
  <c r="BV140" i="1"/>
  <c r="BV131" i="1" s="1"/>
  <c r="BU132" i="1"/>
  <c r="BV132" i="1" s="1"/>
  <c r="BT133" i="1"/>
  <c r="BT146" i="1"/>
  <c r="BT151" i="1" s="1"/>
  <c r="BT145" i="1"/>
  <c r="BT150" i="1" s="1"/>
  <c r="BQ174" i="1"/>
  <c r="BP152" i="1"/>
  <c r="BP99" i="1"/>
  <c r="BR196" i="1"/>
  <c r="BR174" i="1"/>
  <c r="BE39" i="8"/>
  <c r="BE74" i="8" s="1"/>
  <c r="BQ196" i="1"/>
  <c r="BQ151" i="1"/>
  <c r="BQ148" i="1"/>
  <c r="BQ147" i="1"/>
  <c r="BQ154" i="1"/>
  <c r="BQ167" i="1" s="1"/>
  <c r="BP153" i="1"/>
  <c r="BD38" i="8"/>
  <c r="BD73" i="8" s="1"/>
  <c r="BP168" i="1"/>
  <c r="BR133" i="1"/>
  <c r="BR95" i="1"/>
  <c r="BR190" i="1"/>
  <c r="BP163" i="1"/>
  <c r="BP164" i="1"/>
  <c r="BQ150" i="1"/>
  <c r="BE37" i="8"/>
  <c r="BE72" i="8" s="1"/>
  <c r="BD36" i="8"/>
  <c r="BP167" i="1"/>
  <c r="BR186" i="1"/>
  <c r="BQ190" i="1"/>
  <c r="BP177" i="1"/>
  <c r="BQ186" i="1"/>
  <c r="BR146" i="1"/>
  <c r="BR145" i="1"/>
  <c r="BT163" i="1" l="1"/>
  <c r="BV146" i="1"/>
  <c r="BV151" i="1" s="1"/>
  <c r="BV164" i="1" s="1"/>
  <c r="BV145" i="1"/>
  <c r="BV150" i="1" s="1"/>
  <c r="BV163" i="1" s="1"/>
  <c r="BZ136" i="1"/>
  <c r="BX140" i="1"/>
  <c r="BU133" i="1"/>
  <c r="BU146" i="1"/>
  <c r="BU151" i="1" s="1"/>
  <c r="BU164" i="1" s="1"/>
  <c r="BU145" i="1"/>
  <c r="BU150" i="1" s="1"/>
  <c r="BU163" i="1" s="1"/>
  <c r="BR98" i="1"/>
  <c r="BQ168" i="1"/>
  <c r="BT154" i="1"/>
  <c r="BT167" i="1" s="1"/>
  <c r="BT148" i="1"/>
  <c r="BT147" i="1"/>
  <c r="BT152" i="1" s="1"/>
  <c r="BT164" i="1"/>
  <c r="BV172" i="1"/>
  <c r="BV174" i="1" s="1"/>
  <c r="BV177" i="1" s="1"/>
  <c r="BV195" i="1"/>
  <c r="BV196" i="1" s="1"/>
  <c r="BV185" i="1"/>
  <c r="BV186" i="1" s="1"/>
  <c r="BV189" i="1"/>
  <c r="BV190" i="1" s="1"/>
  <c r="BU172" i="1"/>
  <c r="BU174" i="1" s="1"/>
  <c r="BU177" i="1" s="1"/>
  <c r="BU95" i="1"/>
  <c r="BV95" i="1" s="1"/>
  <c r="BU195" i="1"/>
  <c r="BU196" i="1" s="1"/>
  <c r="BU185" i="1"/>
  <c r="BU186" i="1" s="1"/>
  <c r="BU189" i="1"/>
  <c r="BU190" i="1" s="1"/>
  <c r="BR151" i="1"/>
  <c r="BF39" i="8"/>
  <c r="BF74" i="8" s="1"/>
  <c r="BR148" i="1"/>
  <c r="BR147" i="1"/>
  <c r="BR154" i="1"/>
  <c r="BE36" i="8"/>
  <c r="BQ177" i="1"/>
  <c r="BP170" i="1"/>
  <c r="BP166" i="1"/>
  <c r="BP165" i="1"/>
  <c r="BQ164" i="1"/>
  <c r="BR177" i="1"/>
  <c r="BQ163" i="1"/>
  <c r="BQ152" i="1"/>
  <c r="BR150" i="1"/>
  <c r="BF37" i="8"/>
  <c r="BF72" i="8" s="1"/>
  <c r="BQ153" i="1"/>
  <c r="BE38" i="8"/>
  <c r="BE73" i="8" s="1"/>
  <c r="BT165" i="1" l="1"/>
  <c r="BR99" i="1"/>
  <c r="BU154" i="1"/>
  <c r="BU167" i="1" s="1"/>
  <c r="BU148" i="1"/>
  <c r="BU147" i="1"/>
  <c r="BU152" i="1" s="1"/>
  <c r="BU165" i="1" s="1"/>
  <c r="BV133" i="1"/>
  <c r="BU98" i="1"/>
  <c r="BT153" i="1"/>
  <c r="BU168" i="1"/>
  <c r="BX132" i="1"/>
  <c r="BX131" i="1"/>
  <c r="BY136" i="1"/>
  <c r="BY140" i="1" s="1"/>
  <c r="BQ166" i="1"/>
  <c r="BT168" i="1"/>
  <c r="BR152" i="1"/>
  <c r="BR168" i="1"/>
  <c r="BR153" i="1"/>
  <c r="BF38" i="8"/>
  <c r="BF73" i="8" s="1"/>
  <c r="BR164" i="1"/>
  <c r="BR167" i="1"/>
  <c r="BF36" i="8"/>
  <c r="BR163" i="1"/>
  <c r="BQ170" i="1"/>
  <c r="BQ165" i="1"/>
  <c r="BX172" i="1" l="1"/>
  <c r="BX174" i="1" s="1"/>
  <c r="BX177" i="1" s="1"/>
  <c r="BX95" i="1"/>
  <c r="BX195" i="1"/>
  <c r="BX196" i="1" s="1"/>
  <c r="BX185" i="1"/>
  <c r="BX186" i="1" s="1"/>
  <c r="BX189" i="1"/>
  <c r="BX190" i="1" s="1"/>
  <c r="BT170" i="1"/>
  <c r="BU99" i="1"/>
  <c r="BV98" i="1"/>
  <c r="BV99" i="1" s="1"/>
  <c r="BZ140" i="1"/>
  <c r="BZ131" i="1" s="1"/>
  <c r="BY132" i="1"/>
  <c r="BZ132" i="1" s="1"/>
  <c r="BY131" i="1"/>
  <c r="BX133" i="1"/>
  <c r="BX146" i="1"/>
  <c r="BX151" i="1" s="1"/>
  <c r="BX164" i="1" s="1"/>
  <c r="BX145" i="1"/>
  <c r="BX150" i="1" s="1"/>
  <c r="BX163" i="1" s="1"/>
  <c r="BV148" i="1"/>
  <c r="BV154" i="1"/>
  <c r="BV167" i="1" s="1"/>
  <c r="BV147" i="1"/>
  <c r="BV152" i="1" s="1"/>
  <c r="BV165" i="1" s="1"/>
  <c r="BT166" i="1"/>
  <c r="BU153" i="1"/>
  <c r="BU166" i="1" s="1"/>
  <c r="BR170" i="1"/>
  <c r="BR166" i="1"/>
  <c r="BR165" i="1"/>
  <c r="BX148" i="1" l="1"/>
  <c r="BX154" i="1"/>
  <c r="BX147" i="1"/>
  <c r="BX152" i="1" s="1"/>
  <c r="BX165" i="1" s="1"/>
  <c r="BY133" i="1"/>
  <c r="BY146" i="1"/>
  <c r="BY151" i="1" s="1"/>
  <c r="BY164" i="1" s="1"/>
  <c r="BY145" i="1"/>
  <c r="BY150" i="1" s="1"/>
  <c r="BY163" i="1" s="1"/>
  <c r="BX98" i="1"/>
  <c r="BX99" i="1" s="1"/>
  <c r="BY172" i="1"/>
  <c r="BY174" i="1" s="1"/>
  <c r="BY177" i="1" s="1"/>
  <c r="BY95" i="1"/>
  <c r="BZ95" i="1" s="1"/>
  <c r="BY195" i="1"/>
  <c r="BY196" i="1" s="1"/>
  <c r="BY185" i="1"/>
  <c r="BY186" i="1" s="1"/>
  <c r="BY189" i="1"/>
  <c r="BY190" i="1" s="1"/>
  <c r="BZ172" i="1"/>
  <c r="BZ174" i="1" s="1"/>
  <c r="BZ177" i="1" s="1"/>
  <c r="BZ195" i="1"/>
  <c r="BZ196" i="1" s="1"/>
  <c r="BZ185" i="1"/>
  <c r="BZ186" i="1" s="1"/>
  <c r="BZ189" i="1"/>
  <c r="BZ190" i="1" s="1"/>
  <c r="BV153" i="1"/>
  <c r="BV168" i="1"/>
  <c r="BZ146" i="1"/>
  <c r="BZ151" i="1" s="1"/>
  <c r="BZ164" i="1" s="1"/>
  <c r="BZ145" i="1"/>
  <c r="BZ150" i="1" s="1"/>
  <c r="BZ163" i="1" s="1"/>
  <c r="BU170" i="1"/>
  <c r="BX167" i="1" l="1"/>
  <c r="BY98" i="1"/>
  <c r="BV170" i="1"/>
  <c r="BV166" i="1"/>
  <c r="BZ133" i="1"/>
  <c r="BY154" i="1"/>
  <c r="BY167" i="1" s="1"/>
  <c r="BY148" i="1"/>
  <c r="BY153" i="1" s="1"/>
  <c r="BY170" i="1" s="1"/>
  <c r="BY147" i="1"/>
  <c r="BY152" i="1" s="1"/>
  <c r="BY165" i="1" s="1"/>
  <c r="BX153" i="1"/>
  <c r="BX168" i="1"/>
  <c r="BY168" i="1" l="1"/>
  <c r="BX170" i="1"/>
  <c r="BY166" i="1"/>
  <c r="BX166" i="1"/>
  <c r="BZ154" i="1"/>
  <c r="BZ167" i="1" s="1"/>
  <c r="BZ148" i="1"/>
  <c r="BZ147" i="1"/>
  <c r="BZ152" i="1" s="1"/>
  <c r="BZ165" i="1" s="1"/>
  <c r="BY99" i="1"/>
  <c r="BZ98" i="1"/>
  <c r="BZ99" i="1" s="1"/>
  <c r="BZ168" i="1" l="1"/>
  <c r="BZ153" i="1"/>
  <c r="BZ170" i="1" l="1"/>
  <c r="BZ166" i="1"/>
  <c r="AO141" i="4" l="1"/>
  <c r="AQ141" i="4" s="1"/>
  <c r="AF138" i="4" l="1"/>
  <c r="AG138" i="4"/>
  <c r="AJ138" i="4"/>
  <c r="AK138" i="4"/>
  <c r="AM138" i="4"/>
  <c r="AN138" i="4"/>
  <c r="AO138" i="4"/>
  <c r="AQ138" i="4"/>
  <c r="AF139" i="4"/>
  <c r="AG139" i="4"/>
  <c r="AJ139" i="4"/>
  <c r="AK139" i="4"/>
  <c r="AM139" i="4"/>
  <c r="AN139" i="4"/>
  <c r="AO139" i="4"/>
  <c r="AQ139" i="4"/>
  <c r="AF140" i="4"/>
  <c r="AG140" i="4"/>
  <c r="AJ140" i="4"/>
  <c r="AK140" i="4"/>
  <c r="AM140" i="4"/>
  <c r="AN140" i="4"/>
  <c r="AO140" i="4"/>
  <c r="AQ140" i="4"/>
  <c r="AF141" i="4"/>
  <c r="AG141" i="4"/>
  <c r="AJ141" i="4"/>
  <c r="AK141" i="4"/>
  <c r="AM141" i="4"/>
  <c r="AF144" i="4"/>
  <c r="AG144" i="4"/>
  <c r="AJ144" i="4"/>
  <c r="AK144" i="4"/>
  <c r="AM144" i="4"/>
  <c r="AN144" i="4"/>
  <c r="AO144" i="4"/>
  <c r="AQ144" i="4"/>
  <c r="AG145" i="4"/>
  <c r="AK145" i="4"/>
  <c r="AM145" i="4"/>
  <c r="AO145" i="4"/>
  <c r="AQ145" i="4"/>
  <c r="AG149" i="4"/>
  <c r="AK149" i="4"/>
  <c r="AO14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Stadnik, Andrei (Research)</author>
    <author>tc={CEC2D8B0-8F0D-45FA-8725-AA15FEDF36B6}</author>
    <author>tc={A4223050-6E6B-4638-935C-E85CD5EE9A62}</author>
    <author>tc={79FC4CC5-C589-469C-A0B6-6EEA0423CC74}</author>
    <author>tc={F52AFF62-1CF3-42D2-99C4-4C542E6A295C}</author>
    <author>tc={EAD8322E-982C-4E44-BB42-54309A93669B}</author>
    <author>tc={AFAB973B-2C13-49A5-80A8-A85DB1397C52}</author>
    <author>tc={6DFE8494-A6D4-4DA4-81BD-573270C53FD2}</author>
    <author>tc={07E24D24-F7D9-4339-B9C9-CC148F20BB3C}</author>
    <author>tc={55BD0456-1CDE-494A-B5D9-69AC5A9F3867}</author>
    <author>tc={83012AD7-9EA8-4FEE-BAD4-F1BF17EFC05F}</author>
    <author>tc={4B323C4E-0BD4-40A9-9B5F-324BC8F5F07B}</author>
    <author>tc={A2BEE530-49F9-4148-9E09-D84821CFAD87}</author>
    <author>tc={AA576956-434C-4095-B8B2-93969416F7B0}</author>
    <author>tc={E04E3D90-EDBC-4426-8212-7293030BF99F}</author>
    <author>tc={90DEF506-9F5B-4341-AD22-41C314A630C8}</author>
    <author>tc={CEE86F96-F497-4175-B39C-B024C72E9262}</author>
    <author>tc={ACD9DF30-1CA0-4920-A261-0FA0ACADAD62}</author>
    <author>tc={A4A7CD33-001E-447C-809B-7C61E05D1EFF}</author>
    <author>tc={EAAA37AB-5AC5-4E3F-9115-CC24F044D011}</author>
    <author>tc={1F9584D3-C5A6-41F7-8F57-3354BDD14E1C}</author>
    <author>tc={A6E6A473-01A2-406A-8D8C-5CFE88448E95}</author>
    <author>tc={2DD47416-6399-4D02-A3A7-EB3B9D92F6B0}</author>
    <author>tc={971FEBA9-88D8-48EF-90F3-162CF64E847D}</author>
    <author>tc={157A9E8D-7651-436D-854B-D5D4640B92EB}</author>
    <author>tc={1CE6FE74-8D4F-4B47-8C21-1031345B0976}</author>
    <author>tc={C5E9EB8A-DFBC-44D2-BA07-20DBAC2EC904}</author>
    <author>tc={EFB3F30B-7413-4A95-9FEA-40D3D3780080}</author>
    <author>tc={C06EB34F-4933-4BFF-9FCD-5E526E8FF151}</author>
    <author>tc={0C7C8631-1F2E-4E81-A260-846F59BA4F96}</author>
    <author>tc={C41BD30B-BD53-4417-9044-F2B1F1BA9131}</author>
    <author>tc={60E810F1-B5E7-4945-AD28-D34EC1E2FDDC}</author>
    <author>tc={5DC838C4-1129-41C9-8383-D95CBB07AD70}</author>
    <author>tc={0971A522-CB89-4A96-8637-32D16AAA3E7F}</author>
    <author>tc={BEC3E6C7-614B-4E55-91BC-5718EDFB0902}</author>
    <author>tc={B8EAC954-BC8C-46F0-82BF-F3CAF156B5F0}</author>
    <author>tc={AE79EA4A-7F48-4F6A-9A44-5A103638EE70}</author>
    <author>tc={FB87436D-8DDE-4768-B675-CDACA7217C84}</author>
  </authors>
  <commentList>
    <comment ref="AR38" authorId="0" shapeId="0" xr:uid="{33E43922-A7D3-41CE-AD4A-E62D95C427CA}">
      <text>
        <r>
          <rPr>
            <b/>
            <sz val="9"/>
            <color indexed="81"/>
            <rFont val="Tahoma"/>
            <family val="2"/>
          </rPr>
          <t>Stadnik, Andrei (Research):</t>
        </r>
        <r>
          <rPr>
            <sz val="9"/>
            <color indexed="81"/>
            <rFont val="Tahoma"/>
            <family val="2"/>
          </rPr>
          <t xml:space="preserve">
UK lower tax, but lower cntrbtn in 1H</t>
        </r>
      </text>
    </comment>
    <comment ref="AV38" authorId="0" shapeId="0" xr:uid="{125084B6-83E9-489A-87D6-E169C8A25EB8}">
      <text>
        <r>
          <rPr>
            <b/>
            <sz val="9"/>
            <color indexed="81"/>
            <rFont val="Tahoma"/>
            <family val="2"/>
          </rPr>
          <t>Stadnik, Andrei (Research):</t>
        </r>
        <r>
          <rPr>
            <sz val="9"/>
            <color indexed="81"/>
            <rFont val="Tahoma"/>
            <family val="2"/>
          </rPr>
          <t xml:space="preserve">
UK lower tax, but lower cntrbtn in 1H</t>
        </r>
      </text>
    </comment>
    <comment ref="AZ38" authorId="0" shapeId="0" xr:uid="{1B15C9A4-7902-4AD7-8D47-B14265B59E33}">
      <text>
        <r>
          <rPr>
            <b/>
            <sz val="9"/>
            <color indexed="81"/>
            <rFont val="Tahoma"/>
            <family val="2"/>
          </rPr>
          <t>Stadnik, Andrei (Research):</t>
        </r>
        <r>
          <rPr>
            <sz val="9"/>
            <color indexed="81"/>
            <rFont val="Tahoma"/>
            <family val="2"/>
          </rPr>
          <t xml:space="preserve">
UK lower tax, but lower cntrbtn in 1H</t>
        </r>
      </text>
    </comment>
    <comment ref="BD38" authorId="0" shapeId="0" xr:uid="{6D4D931F-91A6-442D-97DD-8CE120F2B58F}">
      <text>
        <r>
          <rPr>
            <b/>
            <sz val="9"/>
            <color indexed="81"/>
            <rFont val="Tahoma"/>
            <family val="2"/>
          </rPr>
          <t>Stadnik, Andrei (Research):</t>
        </r>
        <r>
          <rPr>
            <sz val="9"/>
            <color indexed="81"/>
            <rFont val="Tahoma"/>
            <family val="2"/>
          </rPr>
          <t xml:space="preserve">
UK lower tax, but lower cntrbtn in 1H</t>
        </r>
      </text>
    </comment>
    <comment ref="BH38" authorId="0" shapeId="0" xr:uid="{3DBD1D53-434D-40F2-A592-377EC33E612D}">
      <text>
        <r>
          <rPr>
            <b/>
            <sz val="9"/>
            <color indexed="81"/>
            <rFont val="Tahoma"/>
            <family val="2"/>
          </rPr>
          <t>Stadnik, Andrei (Research):</t>
        </r>
        <r>
          <rPr>
            <sz val="9"/>
            <color indexed="81"/>
            <rFont val="Tahoma"/>
            <family val="2"/>
          </rPr>
          <t xml:space="preserve">
UK lower tax, but lower cntrbtn in 1H</t>
        </r>
      </text>
    </comment>
    <comment ref="BL38" authorId="0" shapeId="0" xr:uid="{EB6CC8C3-3F18-4AA8-A94C-11B056576842}">
      <text>
        <r>
          <rPr>
            <b/>
            <sz val="9"/>
            <color indexed="81"/>
            <rFont val="Tahoma"/>
            <family val="2"/>
          </rPr>
          <t>Stadnik, Andrei (Research):</t>
        </r>
        <r>
          <rPr>
            <sz val="9"/>
            <color indexed="81"/>
            <rFont val="Tahoma"/>
            <family val="2"/>
          </rPr>
          <t xml:space="preserve">
UK lower tax, but lower cntrbtn in 1H</t>
        </r>
      </text>
    </comment>
    <comment ref="BP38" authorId="0" shapeId="0" xr:uid="{30BC3E9B-E119-43DD-85F4-47C2D6D14CA3}">
      <text>
        <r>
          <rPr>
            <b/>
            <sz val="9"/>
            <color indexed="81"/>
            <rFont val="Tahoma"/>
            <family val="2"/>
          </rPr>
          <t>Stadnik, Andrei (Research):</t>
        </r>
        <r>
          <rPr>
            <sz val="9"/>
            <color indexed="81"/>
            <rFont val="Tahoma"/>
            <family val="2"/>
          </rPr>
          <t xml:space="preserve">
UK lower tax, but lower cntrbtn in 1H</t>
        </r>
      </text>
    </comment>
    <comment ref="BT38" authorId="0" shapeId="0" xr:uid="{3A546510-035D-4291-80FB-0012066ACF10}">
      <text>
        <r>
          <rPr>
            <b/>
            <sz val="9"/>
            <color indexed="81"/>
            <rFont val="Tahoma"/>
            <family val="2"/>
          </rPr>
          <t>Stadnik, Andrei (Research):</t>
        </r>
        <r>
          <rPr>
            <sz val="9"/>
            <color indexed="81"/>
            <rFont val="Tahoma"/>
            <family val="2"/>
          </rPr>
          <t xml:space="preserve">
UK lower tax, but lower cntrbtn in 1H</t>
        </r>
      </text>
    </comment>
    <comment ref="BX38" authorId="0" shapeId="0" xr:uid="{E2D8D8D7-2960-41D0-8CED-844EEB240888}">
      <text>
        <r>
          <rPr>
            <b/>
            <sz val="9"/>
            <color indexed="81"/>
            <rFont val="Tahoma"/>
            <family val="2"/>
          </rPr>
          <t>Stadnik, Andrei (Research):</t>
        </r>
        <r>
          <rPr>
            <sz val="9"/>
            <color indexed="81"/>
            <rFont val="Tahoma"/>
            <family val="2"/>
          </rPr>
          <t xml:space="preserve">
UK lower tax, but lower cntrbtn in 1H</t>
        </r>
      </text>
    </comment>
    <comment ref="B78" authorId="1" shapeId="0" xr:uid="{CEC2D8B0-8F0D-45FA-8725-AA15FEDF36B6}">
      <text>
        <t>[Threaded comment]
Your version of Excel allows you to read this threaded comment; however, any edits to it will get removed if the file is opened in a newer version of Excel. Learn more: https://go.microsoft.com/fwlink/?linkid=870924
Comment:
    Adj to carrying value of associates or controlled entities where the Group increases its equity in associates whereupon they become controlled entities or deconsolidated. 
Accounting standards require the carrying value for the existing investment have been adjusted to FV and the increase included in net profit. 
This adjustment will only occur in the future if further acquisition or sales of this type are made.</t>
      </text>
    </comment>
    <comment ref="B97" authorId="2" shapeId="0" xr:uid="{A4223050-6E6B-4638-935C-E85CD5EE9A62}">
      <text>
        <t>[Threaded comment]
Your version of Excel allows you to read this threaded comment; however, any edits to it will get removed if the file is opened in a newer version of Excel. Learn more: https://go.microsoft.com/fwlink/?linkid=870924
Comment:
    Target payout ratio of 50 to 70% of Underlying NPAT.</t>
      </text>
    </comment>
    <comment ref="AD113" authorId="3" shapeId="0" xr:uid="{79FC4CC5-C589-469C-A0B6-6EEA0423CC74}">
      <text>
        <t>[Threaded comment]
Your version of Excel allows you to read this threaded comment; however, any edits to it will get removed if the file is opened in a newer version of Excel. Learn more: https://go.microsoft.com/fwlink/?linkid=870924
Comment:
    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
      </text>
    </comment>
    <comment ref="AH113" authorId="4" shapeId="0" xr:uid="{F52AFF62-1CF3-42D2-99C4-4C542E6A295C}">
      <text>
        <t>[Threaded comment]
Your version of Excel allows you to read this threaded comment; however, any edits to it will get removed if the file is opened in a newer version of Excel. Learn more: https://go.microsoft.com/fwlink/?linkid=870924
Comment:
    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
      </text>
    </comment>
    <comment ref="AL113" authorId="5" shapeId="0" xr:uid="{EAD8322E-982C-4E44-BB42-54309A93669B}">
      <text>
        <t>[Threaded comment]
Your version of Excel allows you to read this threaded comment; however, any edits to it will get removed if the file is opened in a newer version of Excel. Learn more: https://go.microsoft.com/fwlink/?linkid=870924
Comment:
    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
      </text>
    </comment>
    <comment ref="AP113" authorId="6" shapeId="0" xr:uid="{AFAB973B-2C13-49A5-80A8-A85DB1397C52}">
      <text>
        <t>[Threaded comment]
Your version of Excel allows you to read this threaded comment; however, any edits to it will get removed if the file is opened in a newer version of Excel. Learn more: https://go.microsoft.com/fwlink/?linkid=870924
Comment:
    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
      </text>
    </comment>
    <comment ref="AJ133" authorId="7" shapeId="0" xr:uid="{6DFE8494-A6D4-4DA4-81BD-573270C53FD2}">
      <text>
        <t xml:space="preserve">[Threaded comment]
Your version of Excel allows you to read this threaded comment; however, any edits to it will get removed if the file is opened in a newer version of Excel. Learn more: https://go.microsoft.com/fwlink/?linkid=870924
Comment:
    Implied
</t>
      </text>
    </comment>
    <comment ref="AN133" authorId="8" shapeId="0" xr:uid="{07E24D24-F7D9-4339-B9C9-CC148F20BB3C}">
      <text>
        <t xml:space="preserve">[Threaded comment]
Your version of Excel allows you to read this threaded comment; however, any edits to it will get removed if the file is opened in a newer version of Excel. Learn more: https://go.microsoft.com/fwlink/?linkid=870924
Comment:
    Implied
</t>
      </text>
    </comment>
    <comment ref="AB139" authorId="9" shapeId="0" xr:uid="{55BD0456-1CDE-494A-B5D9-69AC5A9F3867}">
      <text>
        <t>[Threaded comment]
Your version of Excel allows you to read this threaded comment; however, any edits to it will get removed if the file is opened in a newer version of Excel. Learn more: https://go.microsoft.com/fwlink/?linkid=870924
Comment:
    Options exercised.</t>
      </text>
    </comment>
    <comment ref="AD139" authorId="10" shapeId="0" xr:uid="{83012AD7-9EA8-4FEE-BAD4-F1BF17EFC05F}">
      <text>
        <t>[Threaded comment]
Your version of Excel allows you to read this threaded comment; however, any edits to it will get removed if the file is opened in a newer version of Excel. Learn more: https://go.microsoft.com/fwlink/?linkid=870924
Comment:
    Options exercised.</t>
      </text>
    </comment>
    <comment ref="AH139" authorId="11" shapeId="0" xr:uid="{4B323C4E-0BD4-40A9-9B5F-324BC8F5F07B}">
      <text>
        <t>[Threaded comment]
Your version of Excel allows you to read this threaded comment; however, any edits to it will get removed if the file is opened in a newer version of Excel. Learn more: https://go.microsoft.com/fwlink/?linkid=870924
Comment:
    Options exercised.</t>
      </text>
    </comment>
    <comment ref="AL139" authorId="12" shapeId="0" xr:uid="{A2BEE530-49F9-4148-9E09-D84821CFAD87}">
      <text>
        <t>[Threaded comment]
Your version of Excel allows you to read this threaded comment; however, any edits to it will get removed if the file is opened in a newer version of Excel. Learn more: https://go.microsoft.com/fwlink/?linkid=870924
Comment:
    Options exercised.</t>
      </text>
    </comment>
    <comment ref="AP139" authorId="13" shapeId="0" xr:uid="{AA576956-434C-4095-B8B2-93969416F7B0}">
      <text>
        <t>[Threaded comment]
Your version of Excel allows you to read this threaded comment; however, any edits to it will get removed if the file is opened in a newer version of Excel. Learn more: https://go.microsoft.com/fwlink/?linkid=870924
Comment:
    Options exercised.</t>
      </text>
    </comment>
    <comment ref="P208" authorId="14" shapeId="0" xr:uid="{E04E3D90-EDBC-4426-8212-7293030BF99F}">
      <text>
        <t>[Threaded comment]
Your version of Excel allows you to read this threaded comment; however, any edits to it will get removed if the file is opened in a newer version of Excel. Learn more: https://go.microsoft.com/fwlink/?linkid=870924
Comment:
    Mid single digit average premium.</t>
      </text>
    </comment>
    <comment ref="R253" authorId="0" shapeId="0" xr:uid="{66C2C62D-F4A4-4C87-8F12-14D9FFE944BF}">
      <text>
        <r>
          <rPr>
            <b/>
            <sz val="9"/>
            <color indexed="81"/>
            <rFont val="Tahoma"/>
            <family val="2"/>
          </rPr>
          <t>Stadnik, Andrei (Research):</t>
        </r>
        <r>
          <rPr>
            <sz val="9"/>
            <color indexed="81"/>
            <rFont val="Tahoma"/>
            <family val="2"/>
          </rPr>
          <t xml:space="preserve">
ex Canberra business, but adjusted by MS to reconcile on org vs M&amp;A gorwth</t>
        </r>
      </text>
    </comment>
    <comment ref="T253" authorId="0" shapeId="0" xr:uid="{2374204A-1012-4978-BA4D-DC781EA05984}">
      <text>
        <r>
          <rPr>
            <b/>
            <sz val="9"/>
            <color indexed="81"/>
            <rFont val="Tahoma"/>
            <family val="2"/>
          </rPr>
          <t>Stadnik, Andrei (Research):</t>
        </r>
        <r>
          <rPr>
            <sz val="9"/>
            <color indexed="81"/>
            <rFont val="Tahoma"/>
            <family val="2"/>
          </rPr>
          <t xml:space="preserve">
extr restatements with bizcover moving to its own division</t>
        </r>
      </text>
    </comment>
    <comment ref="V253" authorId="0" shapeId="0" xr:uid="{92F0DB9A-9C22-4335-86B4-B8DFFAABC847}">
      <text>
        <r>
          <rPr>
            <b/>
            <sz val="9"/>
            <color indexed="81"/>
            <rFont val="Tahoma"/>
            <family val="2"/>
          </rPr>
          <t>Stadnik, Andrei (Research):</t>
        </r>
        <r>
          <rPr>
            <sz val="9"/>
            <color indexed="81"/>
            <rFont val="Tahoma"/>
            <family val="2"/>
          </rPr>
          <t xml:space="preserve">
extr restatements with bizcover moving to its own division</t>
        </r>
      </text>
    </comment>
    <comment ref="P257" authorId="15" shapeId="0" xr:uid="{90DEF506-9F5B-4341-AD22-41C314A630C8}">
      <text>
        <t>[Threaded comment]
Your version of Excel allows you to read this threaded comment; however, any edits to it will get removed if the file is opened in a newer version of Excel. Learn more: https://go.microsoft.com/fwlink/?linkid=870924
Comment:
    re-statement does not reconcile.</t>
      </text>
    </comment>
    <comment ref="V267" authorId="16" shapeId="0" xr:uid="{CEE86F96-F497-4175-B39C-B024C72E9262}">
      <text>
        <t>[Threaded comment]
Your version of Excel allows you to read this threaded comment; however, any edits to it will get removed if the file is opened in a newer version of Excel. Learn more: https://go.microsoft.com/fwlink/?linkid=870924
Comment:
    For 5 months since acquisition</t>
      </text>
    </comment>
    <comment ref="N290" authorId="17" shapeId="0" xr:uid="{ACD9DF30-1CA0-4920-A261-0FA0ACADAD62}">
      <text>
        <t>[Threaded comment]
Your version of Excel allows you to read this threaded comment; however, any edits to it will get removed if the file is opened in a newer version of Excel. Learn more: https://go.microsoft.com/fwlink/?linkid=870924
Comment:
    Mid single digit premium rate growth.</t>
      </text>
    </comment>
    <comment ref="P290" authorId="18" shapeId="0" xr:uid="{A4A7CD33-001E-447C-809B-7C61E05D1EFF}">
      <text>
        <t>[Threaded comment]
Your version of Excel allows you to read this threaded comment; however, any edits to it will get removed if the file is opened in a newer version of Excel. Learn more: https://go.microsoft.com/fwlink/?linkid=870924
Comment:
    Mid single digit premium rate growth.</t>
      </text>
    </comment>
    <comment ref="AL291" authorId="19" shapeId="0" xr:uid="{EAAA37AB-5AC5-4E3F-9115-CC24F044D011}">
      <text>
        <t xml:space="preserve">[Threaded comment]
Your version of Excel allows you to read this threaded comment; however, any edits to it will get removed if the file is opened in a newer version of Excel. Learn more: https://go.microsoft.com/fwlink/?linkid=870924
Comment:
    $1,265m pro forma for Pacific indemnity acquisition which adds $177m GWP and $16m of EBIT.
</t>
      </text>
    </comment>
    <comment ref="AJ330" authorId="20" shapeId="0" xr:uid="{1F9584D3-C5A6-41F7-8F57-3354BDD14E1C}">
      <text>
        <t xml:space="preserve">[Threaded comment]
Your version of Excel allows you to read this threaded comment; however, any edits to it will get removed if the file is opened in a newer version of Excel. Learn more: https://go.microsoft.com/fwlink/?linkid=870924
Comment:
    Organic growth ex profit comms
</t>
      </text>
    </comment>
    <comment ref="AJ332" authorId="21" shapeId="0" xr:uid="{A6E6A473-01A2-406A-8D8C-5CFE88448E95}">
      <text>
        <t xml:space="preserve">[Threaded comment]
Your version of Excel allows you to read this threaded comment; however, any edits to it will get removed if the file is opened in a newer version of Excel. Learn more: https://go.microsoft.com/fwlink/?linkid=870924
Comment:
    Acquisition
 growth ex profit comms
</t>
      </text>
    </comment>
    <comment ref="V334" authorId="22" shapeId="0" xr:uid="{2DD47416-6399-4D02-A3A7-EB3B9D92F6B0}">
      <text>
        <t>[Threaded comment]
Your version of Excel allows you to read this threaded comment; however, any edits to it will get removed if the file is opened in a newer version of Excel. Learn more: https://go.microsoft.com/fwlink/?linkid=870924
Comment:
    Adjustment to get to re-stated amount.</t>
      </text>
    </comment>
    <comment ref="X334" authorId="23" shapeId="0" xr:uid="{971FEBA9-88D8-48EF-90F3-162CF64E847D}">
      <text>
        <t>[Threaded comment]
Your version of Excel allows you to read this threaded comment; however, any edits to it will get removed if the file is opened in a newer version of Excel. Learn more: https://go.microsoft.com/fwlink/?linkid=870924
Comment:
    Adjustment to get to re-stated amount.</t>
      </text>
    </comment>
    <comment ref="AJ334" authorId="24" shapeId="0" xr:uid="{157A9E8D-7651-436D-854B-D5D4640B92EB}">
      <text>
        <t xml:space="preserve">[Threaded comment]
Your version of Excel allows you to read this threaded comment; however, any edits to it will get removed if the file is opened in a newer version of Excel. Learn more: https://go.microsoft.com/fwlink/?linkid=870924
Comment:
    Agencies profit comms adjustment.
</t>
      </text>
    </comment>
    <comment ref="F343" authorId="25" shapeId="0" xr:uid="{1CE6FE74-8D4F-4B47-8C21-1031345B0976}">
      <text>
        <t>[Threaded comment]
Your version of Excel allows you to read this threaded comment; however, any edits to it will get removed if the file is opened in a newer version of Excel. Learn more: https://go.microsoft.com/fwlink/?linkid=870924
Comment:
    Premium rate environment challenging, similar to Australia.</t>
      </text>
    </comment>
    <comment ref="H343" authorId="26" shapeId="0" xr:uid="{C5E9EB8A-DFBC-44D2-BA07-20DBAC2EC904}">
      <text>
        <t>[Threaded comment]
Your version of Excel allows you to read this threaded comment; however, any edits to it will get removed if the file is opened in a newer version of Excel. Learn more: https://go.microsoft.com/fwlink/?linkid=870924
Comment:
    Premium rate declines.</t>
      </text>
    </comment>
    <comment ref="J343" authorId="27" shapeId="0" xr:uid="{EFB3F30B-7413-4A95-9FEA-40D3D3780080}">
      <text>
        <t>[Threaded comment]
Your version of Excel allows you to read this threaded comment; however, any edits to it will get removed if the file is opened in a newer version of Excel. Learn more: https://go.microsoft.com/fwlink/?linkid=870924
Comment:
    Early signs premium rates are stabilising.</t>
      </text>
    </comment>
    <comment ref="P343" authorId="28" shapeId="0" xr:uid="{C06EB34F-4933-4BFF-9FCD-5E526E8FF151}">
      <text>
        <t>[Threaded comment]
Your version of Excel allows you to read this threaded comment; however, any edits to it will get removed if the file is opened in a newer version of Excel. Learn more: https://go.microsoft.com/fwlink/?linkid=870924
Comment:
    Mid single digit premium rate growth.</t>
      </text>
    </comment>
    <comment ref="Z381" authorId="29" shapeId="0" xr:uid="{0C7C8631-1F2E-4E81-A260-846F59BA4F96}">
      <text>
        <t>[Threaded comment]
Your version of Excel allows you to read this threaded comment; however, any edits to it will get removed if the file is opened in a newer version of Excel. Learn more: https://go.microsoft.com/fwlink/?linkid=870924
Comment:
    NZ Tech Investment</t>
      </text>
    </comment>
    <comment ref="V389" authorId="30" shapeId="0" xr:uid="{C41BD30B-BD53-4417-9044-F2B1F1BA9131}">
      <text>
        <t>[Threaded comment]
Your version of Excel allows you to read this threaded comment; however, any edits to it will get removed if the file is opened in a newer version of Excel. Learn more: https://go.microsoft.com/fwlink/?linkid=870924
Comment:
    Financing costs of acquisition.</t>
      </text>
    </comment>
    <comment ref="X389" authorId="31" shapeId="0" xr:uid="{60E810F1-B5E7-4945-AD28-D34EC1E2FDDC}">
      <text>
        <t>[Threaded comment]
Your version of Excel allows you to read this threaded comment; however, any edits to it will get removed if the file is opened in a newer version of Excel. Learn more: https://go.microsoft.com/fwlink/?linkid=870924
Comment:
    Adjustment to get to re-stated amount.</t>
      </text>
    </comment>
    <comment ref="Z389" authorId="32" shapeId="0" xr:uid="{5DC838C4-1129-41C9-8383-D95CBB07AD70}">
      <text>
        <t>[Threaded comment]
Your version of Excel allows you to read this threaded comment; however, any edits to it will get removed if the file is opened in a newer version of Excel. Learn more: https://go.microsoft.com/fwlink/?linkid=870924
Comment:
    Adjustment to get to re-stated amount.</t>
      </text>
    </comment>
    <comment ref="AJ389" authorId="33" shapeId="0" xr:uid="{0971A522-CB89-4A96-8637-32D16AAA3E7F}">
      <text>
        <t xml:space="preserve">[Threaded comment]
Your version of Excel allows you to read this threaded comment; however, any edits to it will get removed if the file is opened in a newer version of Excel. Learn more: https://go.microsoft.com/fwlink/?linkid=870924
Comment:
    NZ tech investment - change in Project Lola cots to transform the NZ broking experience via new platform.
</t>
      </text>
    </comment>
    <comment ref="AN389" authorId="34" shapeId="0" xr:uid="{BEC3E6C7-614B-4E55-91BC-5718EDFB0902}">
      <text>
        <t xml:space="preserve">[Threaded comment]
Your version of Excel allows you to read this threaded comment; however, any edits to it will get removed if the file is opened in a newer version of Excel. Learn more: https://go.microsoft.com/fwlink/?linkid=870924
Comment:
    NZ tech investment - change in Project Lola cots to transform the NZ broking experience via new platform.
</t>
      </text>
    </comment>
    <comment ref="AF421" authorId="35" shapeId="0" xr:uid="{B8EAC954-BC8C-46F0-82BF-F3CAF156B5F0}">
      <text>
        <t>[Threaded comment]
Your version of Excel allows you to read this threaded comment; however, any edits to it will get removed if the file is opened in a newer version of Excel. Learn more: https://go.microsoft.com/fwlink/?linkid=870924
Comment:
    Tysers included from 1 October 2022.</t>
      </text>
    </comment>
    <comment ref="B443" authorId="36" shapeId="0" xr:uid="{AE79EA4A-7F48-4F6A-9A44-5A103638EE70}">
      <text>
        <t>[Threaded comment]
Your version of Excel allows you to read this threaded comment; however, any edits to it will get removed if the file is opened in a newer version of Excel. Learn more: https://go.microsoft.com/fwlink/?linkid=870924
Comment:
    Revenue levers:
- Increased placement of AUB client risks with Tysers. 
- Expand Agency portfolio.
Benefits commencing May-23.
Target run-rate of $10m achieved by Jul-24.</t>
      </text>
    </comment>
    <comment ref="B444" authorId="37" shapeId="0" xr:uid="{FB87436D-8DDE-4768-B675-CDACA7217C84}">
      <text>
        <t>[Threaded comment]
Your version of Excel allows you to read this threaded comment; however, any edits to it will get removed if the file is opened in a newer version of Excel. Learn more: https://go.microsoft.com/fwlink/?linkid=870924
Comment:
    - Optimise Tysers &amp; AUB operating structure &amp; governance. 
- Deiver efficieny operations.
Total $15m of run-rate savings by Dec-23.
Benefits start from Oct-23.</t>
      </text>
    </comment>
    <comment ref="AR461" authorId="0" shapeId="0" xr:uid="{1E3C53F9-717B-4BE6-9C39-32D1F90D100B}">
      <text>
        <r>
          <rPr>
            <b/>
            <sz val="9"/>
            <color indexed="81"/>
            <rFont val="Tahoma"/>
            <family val="2"/>
          </rPr>
          <t>Stadnik, Andrei (Research):</t>
        </r>
        <r>
          <rPr>
            <sz val="9"/>
            <color indexed="81"/>
            <rFont val="Tahoma"/>
            <family val="2"/>
          </rPr>
          <t xml:space="preserve">
unwind of 1H 39% vs 2H 61% FY25 guide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tc={2655439C-F69B-4F32-B53F-EBFEA9EDC739}</author>
    <author>Stadnik, Andrei (Research)</author>
    <author>tc={A9F29192-8A8D-408F-8969-0329B39F5F2C}</author>
    <author>tc={D9E9E8F0-7361-4E10-BC3F-F322CFA3064B}</author>
  </authors>
  <commentList>
    <comment ref="AJ20" authorId="0" shapeId="0" xr:uid="{2655439C-F69B-4F32-B53F-EBFEA9EDC739}">
      <text>
        <t xml:space="preserve">[Threaded comment]
Your version of Excel allows you to read this threaded comment; however, any edits to it will get removed if the file is opened in a newer version of Excel. Learn more: https://go.microsoft.com/fwlink/?linkid=870924
Comment:
    Net settlement with department of justice.
</t>
      </text>
    </comment>
    <comment ref="N46" authorId="1" shapeId="0" xr:uid="{251AFF48-EECD-4C9D-80CF-3318B4B3F4B2}">
      <text>
        <r>
          <rPr>
            <b/>
            <sz val="9"/>
            <color indexed="81"/>
            <rFont val="Tahoma"/>
            <family val="2"/>
          </rPr>
          <t>Stadnik, Andrei (Research):</t>
        </r>
        <r>
          <rPr>
            <sz val="9"/>
            <color indexed="81"/>
            <rFont val="Tahoma"/>
            <family val="2"/>
          </rPr>
          <t xml:space="preserve">
RESTATED</t>
        </r>
      </text>
    </comment>
    <comment ref="B113" authorId="1" shapeId="0" xr:uid="{B6D67F5D-6891-42E1-ACE3-DB7DF37B8DA4}">
      <text>
        <r>
          <rPr>
            <b/>
            <sz val="9"/>
            <color indexed="81"/>
            <rFont val="Tahoma"/>
            <family val="2"/>
          </rPr>
          <t>Stadnik, Andrei (Research):</t>
        </r>
        <r>
          <rPr>
            <sz val="9"/>
            <color indexed="81"/>
            <rFont val="Tahoma"/>
            <family val="2"/>
          </rPr>
          <t xml:space="preserve">
drives cashflows and change in debt</t>
        </r>
      </text>
    </comment>
    <comment ref="B114" authorId="1" shapeId="0" xr:uid="{DD2AF87A-0233-45B7-B8BE-4B8F87D5800D}">
      <text>
        <r>
          <rPr>
            <b/>
            <sz val="9"/>
            <color indexed="81"/>
            <rFont val="Tahoma"/>
            <family val="2"/>
          </rPr>
          <t>Stadnik, Andrei (Research):</t>
        </r>
        <r>
          <rPr>
            <sz val="9"/>
            <color indexed="81"/>
            <rFont val="Tahoma"/>
            <family val="2"/>
          </rPr>
          <t xml:space="preserve">
drive cashflows and share issurance</t>
        </r>
      </text>
    </comment>
    <comment ref="B116" authorId="2" shapeId="0" xr:uid="{A9F29192-8A8D-408F-8969-0329B39F5F2C}">
      <text>
        <t>[Threaded comment]
Your version of Excel allows you to read this threaded comment; however, any edits to it will get removed if the file is opened in a newer version of Excel. Learn more: https://go.microsoft.com/fwlink/?linkid=870924
Comment:
    Note that some of this cash is used to pay down debt, so using the total FCF is likely to overstate the total acquisition spend.</t>
      </text>
    </comment>
    <comment ref="V117" authorId="1" shapeId="0" xr:uid="{EA40EB1A-1976-44B4-920F-5FCA333BE82D}">
      <text>
        <r>
          <rPr>
            <b/>
            <sz val="9"/>
            <color indexed="81"/>
            <rFont val="Tahoma"/>
            <family val="2"/>
          </rPr>
          <t>Stadnik, Andrei (Research):</t>
        </r>
        <r>
          <rPr>
            <sz val="9"/>
            <color indexed="81"/>
            <rFont val="Tahoma"/>
            <family val="2"/>
          </rPr>
          <t xml:space="preserve">
ex TYSERS and BizCover and 
other large deals</t>
        </r>
      </text>
    </comment>
    <comment ref="Z117" authorId="1" shapeId="0" xr:uid="{77994FB1-5E45-4A1A-B033-A5D3FC51FE91}">
      <text>
        <r>
          <rPr>
            <b/>
            <sz val="9"/>
            <color indexed="81"/>
            <rFont val="Tahoma"/>
            <family val="2"/>
          </rPr>
          <t>Stadnik, Andrei (Research):</t>
        </r>
        <r>
          <rPr>
            <sz val="9"/>
            <color indexed="81"/>
            <rFont val="Tahoma"/>
            <family val="2"/>
          </rPr>
          <t xml:space="preserve">
ex TYSERS and BizCover and 
other large deals</t>
        </r>
      </text>
    </comment>
    <comment ref="AD117" authorId="1" shapeId="0" xr:uid="{B744CB90-F301-497F-A42E-4A5C5FBB0199}">
      <text>
        <r>
          <rPr>
            <b/>
            <sz val="9"/>
            <color indexed="81"/>
            <rFont val="Tahoma"/>
            <family val="2"/>
          </rPr>
          <t>Stadnik, Andrei (Research):</t>
        </r>
        <r>
          <rPr>
            <sz val="9"/>
            <color indexed="81"/>
            <rFont val="Tahoma"/>
            <family val="2"/>
          </rPr>
          <t xml:space="preserve">
ex TYSERS and BizCover and 
other large deals</t>
        </r>
      </text>
    </comment>
    <comment ref="AH117" authorId="1" shapeId="0" xr:uid="{2A22A58A-21DE-4F84-9833-6E23EC78AD06}">
      <text>
        <r>
          <rPr>
            <b/>
            <sz val="9"/>
            <color indexed="81"/>
            <rFont val="Tahoma"/>
            <family val="2"/>
          </rPr>
          <t>Stadnik, Andrei (Research):</t>
        </r>
        <r>
          <rPr>
            <sz val="9"/>
            <color indexed="81"/>
            <rFont val="Tahoma"/>
            <family val="2"/>
          </rPr>
          <t xml:space="preserve">
ex TYSERS and BizCover and 
other large deals</t>
        </r>
      </text>
    </comment>
    <comment ref="AL117" authorId="1" shapeId="0" xr:uid="{9F80A27D-271E-4999-9C3A-F89646DE651E}">
      <text>
        <r>
          <rPr>
            <b/>
            <sz val="9"/>
            <color indexed="81"/>
            <rFont val="Tahoma"/>
            <family val="2"/>
          </rPr>
          <t>Stadnik, Andrei (Research):</t>
        </r>
        <r>
          <rPr>
            <sz val="9"/>
            <color indexed="81"/>
            <rFont val="Tahoma"/>
            <family val="2"/>
          </rPr>
          <t xml:space="preserve">
ex TYSERS and BizCover and 
other large deals</t>
        </r>
      </text>
    </comment>
    <comment ref="AP117" authorId="1" shapeId="0" xr:uid="{1F5BD7F7-4729-424C-B276-ED78960AB177}">
      <text>
        <r>
          <rPr>
            <b/>
            <sz val="9"/>
            <color indexed="81"/>
            <rFont val="Tahoma"/>
            <family val="2"/>
          </rPr>
          <t>Stadnik, Andrei (Research):</t>
        </r>
        <r>
          <rPr>
            <sz val="9"/>
            <color indexed="81"/>
            <rFont val="Tahoma"/>
            <family val="2"/>
          </rPr>
          <t xml:space="preserve">
ex TYSERS and BizCover and 
other large deals</t>
        </r>
      </text>
    </comment>
    <comment ref="B127" authorId="3" shapeId="0" xr:uid="{D9E9E8F0-7361-4E10-BC3F-F322CFA3064B}">
      <text>
        <t>[Threaded comment]
Your version of Excel allows you to read this threaded comment; however, any edits to it will get removed if the file is opened in a newer version of Excel. Learn more: https://go.microsoft.com/fwlink/?linkid=870924
Comment:
    Note that some of this cash is used to pay down debt, so using the total FCF is likely to overstate the total acquisition spend.</t>
      </text>
    </comment>
    <comment ref="R181" authorId="1" shapeId="0" xr:uid="{277DED36-8F3A-4545-818D-F0C9A9B5231D}">
      <text>
        <r>
          <rPr>
            <b/>
            <sz val="9"/>
            <color indexed="81"/>
            <rFont val="Tahoma"/>
            <family val="2"/>
          </rPr>
          <t>Stadnik, Andrei (Research):</t>
        </r>
        <r>
          <rPr>
            <sz val="9"/>
            <color indexed="81"/>
            <rFont val="Tahoma"/>
            <family val="2"/>
          </rPr>
          <t xml:space="preserve">
page 57  of FY20 report</t>
        </r>
      </text>
    </comment>
    <comment ref="R185" authorId="1" shapeId="0" xr:uid="{4082F740-80FD-40C6-869E-BF4178833E59}">
      <text>
        <r>
          <rPr>
            <b/>
            <sz val="9"/>
            <color indexed="81"/>
            <rFont val="Tahoma"/>
            <family val="2"/>
          </rPr>
          <t>Stadnik, Andrei (Research):</t>
        </r>
        <r>
          <rPr>
            <sz val="9"/>
            <color indexed="81"/>
            <rFont val="Tahoma"/>
            <family val="2"/>
          </rPr>
          <t xml:space="preserve">
includes some trust cash</t>
        </r>
      </text>
    </comment>
    <comment ref="Z203" authorId="1" shapeId="0" xr:uid="{C95EA9A8-F8F8-4679-A285-49A95257CD06}">
      <text>
        <r>
          <rPr>
            <b/>
            <sz val="9"/>
            <color indexed="81"/>
            <rFont val="Tahoma"/>
            <family val="2"/>
          </rPr>
          <t>Stadnik, Andrei (Research):</t>
        </r>
        <r>
          <rPr>
            <sz val="9"/>
            <color indexed="81"/>
            <rFont val="Tahoma"/>
            <family val="2"/>
          </rPr>
          <t xml:space="preserve">
estimated as AUB numbers do not reconciles otherwise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tc={11505AB8-BA59-4771-86E8-E2AF20FA37AF}</author>
    <author>tc={FD499A61-8578-43A1-9A75-4D9BAD4919ED}</author>
    <author>tc={1F0FBB9E-F633-43D7-BC89-8E3989EFE320}</author>
    <author>tc={17867952-C01E-4839-9227-A3C6DB19BFBE}</author>
    <author>tc={9A271E83-652B-43D3-BEB7-E73DF613CCC7}</author>
    <author>tc={3FCE0EC0-BC8E-4629-B162-39295D46F3A3}</author>
    <author>tc={92ABC58E-1229-4BBC-A18E-A0D645794162}</author>
    <author>tc={C167442F-6CE2-4623-9EA1-C4AAECD38E6D}</author>
    <author>tc={9796DB2B-9D9D-4267-A46F-EFD1C3875F26}</author>
    <author>tc={15DE24C8-1BAD-484D-9CFB-5E00919E9CA7}</author>
    <author>tc={498DC9B4-63CA-4D13-B97F-CB7E25D75D83}</author>
    <author>tc={64FFB57A-5455-4582-AA3C-7DE814117122}</author>
    <author>tc={A2D3EA3C-52C0-4688-93D6-40A6A62B464B}</author>
    <author>tc={F13F0067-3967-449C-B197-EA0753525281}</author>
    <author>tc={9372518F-46F7-4ABA-B51C-A6D3574E7A33}</author>
    <author>tc={9D295B7A-FE81-4255-92EB-5A584902D258}</author>
    <author>tc={D8AD47DE-7645-4ED0-9626-92D85182729D}</author>
    <author>tc={ECF12A88-08AE-4768-95BA-505D2D5DBA5B}</author>
    <author>Stadnik, Andrei (Research)</author>
  </authors>
  <commentList>
    <comment ref="B14" authorId="0" shapeId="0" xr:uid="{11505AB8-BA59-4771-86E8-E2AF20FA37AF}">
      <text>
        <t>[Threaded comment]
Your version of Excel allows you to read this threaded comment; however, any edits to it will get removed if the file is opened in a newer version of Excel. Learn more: https://go.microsoft.com/fwlink/?linkid=870924
Comment:
    Trust cash relates to cash held for insurance premiums received from policyholders which will ultimately be paid to insurers.
Trust cash cannot be used to meet business obligations other than payments to underwriters amd/or refunds to policyholders.</t>
      </text>
    </comment>
    <comment ref="B115" authorId="1" shapeId="0" xr:uid="{FD499A61-8578-43A1-9A75-4D9BAD4919ED}">
      <text>
        <t>[Threaded comment]
Your version of Excel allows you to read this threaded comment; however, any edits to it will get removed if the file is opened in a newer version of Excel. Learn more: https://go.microsoft.com/fwlink/?linkid=870924
Comment:
    Cash held in trust for insurance premiums received from policyholders which will ultimately be paid to insurers.</t>
      </text>
    </comment>
    <comment ref="B121" authorId="2" shapeId="0" xr:uid="{1F0FBB9E-F633-43D7-BC89-8E3989EFE320}">
      <text>
        <t>[Threaded comment]
Your version of Excel allows you to read this threaded comment; however, any edits to it will get removed if the file is opened in a newer version of Excel. Learn more: https://go.microsoft.com/fwlink/?linkid=870924
Comment:
    Generally have 30 day credit terms.</t>
      </text>
    </comment>
    <comment ref="B124" authorId="3" shapeId="0" xr:uid="{17867952-C01E-4839-9227-A3C6DB19BFBE}">
      <text>
        <t>[Threaded comment]
Your version of Excel allows you to read this threaded comment; however, any edits to it will get removed if the file is opened in a newer version of Excel. Learn more: https://go.microsoft.com/fwlink/?linkid=870924
Comment:
    Right of Use asset of sub lease of premesis.</t>
      </text>
    </comment>
    <comment ref="AH125" authorId="4" shapeId="0" xr:uid="{9A271E83-652B-43D3-BEB7-E73DF613CCC7}">
      <text>
        <t>[Threaded comment]
Your version of Excel allows you to read this threaded comment; however, any edits to it will get removed if the file is opened in a newer version of Excel. Learn more: https://go.microsoft.com/fwlink/?linkid=870924
Comment:
    Includes deferred transaction costs</t>
      </text>
    </comment>
    <comment ref="AL125" authorId="5" shapeId="0" xr:uid="{3FCE0EC0-BC8E-4629-B162-39295D46F3A3}">
      <text>
        <t>[Threaded comment]
Your version of Excel allows you to read this threaded comment; however, any edits to it will get removed if the file is opened in a newer version of Excel. Learn more: https://go.microsoft.com/fwlink/?linkid=870924
Comment:
    Includes deferred transaction costs</t>
      </text>
    </comment>
    <comment ref="AP125" authorId="6" shapeId="0" xr:uid="{92ABC58E-1229-4BBC-A18E-A0D645794162}">
      <text>
        <t>[Threaded comment]
Your version of Excel allows you to read this threaded comment; however, any edits to it will get removed if the file is opened in a newer version of Excel. Learn more: https://go.microsoft.com/fwlink/?linkid=870924
Comment:
    Includes deferred transaction costs</t>
      </text>
    </comment>
    <comment ref="AJ153" authorId="7" shapeId="0" xr:uid="{C167442F-6CE2-4623-9EA1-C4AAECD38E6D}">
      <text>
        <t xml:space="preserve">[Threaded comment]
Your version of Excel allows you to read this threaded comment; however, any edits to it will get removed if the file is opened in a newer version of Excel. Learn more: https://go.microsoft.com/fwlink/?linkid=870924
Comment:
    Not disclosed.
</t>
      </text>
    </comment>
    <comment ref="AN153" authorId="8" shapeId="0" xr:uid="{9796DB2B-9D9D-4267-A46F-EFD1C3875F26}">
      <text>
        <t xml:space="preserve">[Threaded comment]
Your version of Excel allows you to read this threaded comment; however, any edits to it will get removed if the file is opened in a newer version of Excel. Learn more: https://go.microsoft.com/fwlink/?linkid=870924
Comment:
    Not disclosed.
</t>
      </text>
    </comment>
    <comment ref="D158" authorId="9" shapeId="0" xr:uid="{15DE24C8-1BAD-484D-9CFB-5E00919E9CA7}">
      <text>
        <t>[Threaded comment]
Your version of Excel allows you to read this threaded comment; however, any edits to it will get removed if the file is opened in a newer version of Excel. Learn more: https://go.microsoft.com/fwlink/?linkid=870924
Comment:
    sensible estimate</t>
      </text>
    </comment>
    <comment ref="H158" authorId="10" shapeId="0" xr:uid="{498DC9B4-63CA-4D13-B97F-CB7E25D75D83}">
      <text>
        <t>[Threaded comment]
Your version of Excel allows you to read this threaded comment; however, any edits to it will get removed if the file is opened in a newer version of Excel. Learn more: https://go.microsoft.com/fwlink/?linkid=870924
Comment:
    sensible estimate</t>
      </text>
    </comment>
    <comment ref="L158" authorId="11" shapeId="0" xr:uid="{64FFB57A-5455-4582-AA3C-7DE814117122}">
      <text>
        <t>[Threaded comment]
Your version of Excel allows you to read this threaded comment; however, any edits to it will get removed if the file is opened in a newer version of Excel. Learn more: https://go.microsoft.com/fwlink/?linkid=870924
Comment:
    sensible estimate</t>
      </text>
    </comment>
    <comment ref="P158" authorId="12" shapeId="0" xr:uid="{A2D3EA3C-52C0-4688-93D6-40A6A62B464B}">
      <text>
        <t>[Threaded comment]
Your version of Excel allows you to read this threaded comment; however, any edits to it will get removed if the file is opened in a newer version of Excel. Learn more: https://go.microsoft.com/fwlink/?linkid=870924
Comment:
    sensible estimate</t>
      </text>
    </comment>
    <comment ref="T158" authorId="13" shapeId="0" xr:uid="{F13F0067-3967-449C-B197-EA0753525281}">
      <text>
        <t>[Threaded comment]
Your version of Excel allows you to read this threaded comment; however, any edits to it will get removed if the file is opened in a newer version of Excel. Learn more: https://go.microsoft.com/fwlink/?linkid=870924
Comment:
    sensible estimate</t>
      </text>
    </comment>
    <comment ref="X158" authorId="14" shapeId="0" xr:uid="{9372518F-46F7-4ABA-B51C-A6D3574E7A33}">
      <text>
        <t>[Threaded comment]
Your version of Excel allows you to read this threaded comment; however, any edits to it will get removed if the file is opened in a newer version of Excel. Learn more: https://go.microsoft.com/fwlink/?linkid=870924
Comment:
    sensible estimate</t>
      </text>
    </comment>
    <comment ref="B198" authorId="15" shapeId="0" xr:uid="{9D295B7A-FE81-4255-92EB-5A584902D258}">
      <text>
        <t>[Threaded comment]
Your version of Excel allows you to read this threaded comment; however, any edits to it will get removed if the file is opened in a newer version of Excel. Learn more: https://go.microsoft.com/fwlink/?linkid=870924
Comment:
    Payables mostly settled on 90 day terms.</t>
      </text>
    </comment>
    <comment ref="B216" authorId="16" shapeId="0" xr:uid="{D8AD47DE-7645-4ED0-9626-92D85182729D}">
      <text>
        <t>[Threaded comment]
Your version of Excel allows you to read this threaded comment; however, any edits to it will get removed if the file is opened in a newer version of Excel. Learn more: https://go.microsoft.com/fwlink/?linkid=870924
Comment:
    Mostly contingent or deferred consideration payables and put shares granted to associates.</t>
      </text>
    </comment>
    <comment ref="B219" authorId="17" shapeId="0" xr:uid="{ECF12A88-08AE-4768-95BA-505D2D5DBA5B}">
      <text>
        <t>[Threaded comment]
Your version of Excel allows you to read this threaded comment; however, any edits to it will get removed if the file is opened in a newer version of Excel. Learn more: https://go.microsoft.com/fwlink/?linkid=870924
Comment:
    Mostly contingent or deferred consideration payables and put shares granted to associates.</t>
      </text>
    </comment>
    <comment ref="T236" authorId="18" shapeId="0" xr:uid="{F733F335-1316-420F-8E32-2222E483AE0C}">
      <text>
        <r>
          <rPr>
            <b/>
            <sz val="9"/>
            <color indexed="81"/>
            <rFont val="Tahoma"/>
            <family val="2"/>
          </rPr>
          <t>Stadnik, Andrei (Research):</t>
        </r>
        <r>
          <rPr>
            <sz val="9"/>
            <color indexed="81"/>
            <rFont val="Tahoma"/>
            <family val="2"/>
          </rPr>
          <t xml:space="preserve">
restated</t>
        </r>
      </text>
    </comment>
    <comment ref="V236" authorId="18" shapeId="0" xr:uid="{B991C516-C668-4C64-9394-DF910B62DFA3}">
      <text>
        <r>
          <rPr>
            <b/>
            <sz val="9"/>
            <color indexed="81"/>
            <rFont val="Tahoma"/>
            <family val="2"/>
          </rPr>
          <t>Stadnik, Andrei (Research):</t>
        </r>
        <r>
          <rPr>
            <sz val="9"/>
            <color indexed="81"/>
            <rFont val="Tahoma"/>
            <family val="2"/>
          </rPr>
          <t xml:space="preserve">
restated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<sst xmlns="http://schemas.openxmlformats.org/spreadsheetml/2006/main" count="1821" uniqueCount="1156">
  <si>
    <t>Revenue</t>
  </si>
  <si>
    <t>Expenses</t>
  </si>
  <si>
    <t>Income tax expense</t>
  </si>
  <si>
    <t>Current assets</t>
  </si>
  <si>
    <t>Cash and cash equivalents</t>
  </si>
  <si>
    <t>Total current assets</t>
  </si>
  <si>
    <t>Non-current assets</t>
  </si>
  <si>
    <t>Total non-current assets</t>
  </si>
  <si>
    <t>Total assets</t>
  </si>
  <si>
    <t>Current liabilities</t>
  </si>
  <si>
    <t>Total current liabilities</t>
  </si>
  <si>
    <t>Non-current liabilities</t>
  </si>
  <si>
    <t>Total non-current liabilities</t>
  </si>
  <si>
    <t>Total liabilities</t>
  </si>
  <si>
    <t>Net assets</t>
  </si>
  <si>
    <t>Equity</t>
  </si>
  <si>
    <t>Total equity</t>
  </si>
  <si>
    <t>Check = 0</t>
  </si>
  <si>
    <t>Operating</t>
  </si>
  <si>
    <t>Investing</t>
  </si>
  <si>
    <t>Financing</t>
  </si>
  <si>
    <t>Net increase in cash and cash equivalents</t>
  </si>
  <si>
    <t>Start cash and cash equivalents</t>
  </si>
  <si>
    <t>FX impacts</t>
  </si>
  <si>
    <t>Net increase</t>
  </si>
  <si>
    <t>End cash and cash equivalents</t>
  </si>
  <si>
    <t>Number of shares</t>
  </si>
  <si>
    <t xml:space="preserve"> - payout ratio</t>
  </si>
  <si>
    <t xml:space="preserve"> - franking</t>
  </si>
  <si>
    <t>Franking</t>
  </si>
  <si>
    <t xml:space="preserve"> - change</t>
  </si>
  <si>
    <t xml:space="preserve"> - spot</t>
  </si>
  <si>
    <t xml:space="preserve"> - average basic</t>
  </si>
  <si>
    <t xml:space="preserve"> - average diluted</t>
  </si>
  <si>
    <t>Check=0</t>
  </si>
  <si>
    <t>Risk free rate</t>
  </si>
  <si>
    <t>Equity risk premium</t>
  </si>
  <si>
    <t>Beta</t>
  </si>
  <si>
    <t>Cost of equity</t>
  </si>
  <si>
    <t>%</t>
  </si>
  <si>
    <t>x</t>
  </si>
  <si>
    <t>Valuation</t>
  </si>
  <si>
    <t>Balance sheet forecasting</t>
  </si>
  <si>
    <t>Current Price</t>
  </si>
  <si>
    <t>SHARE RATIOS &amp; VALUATION</t>
  </si>
  <si>
    <t>30 June year-end</t>
  </si>
  <si>
    <t>FCF yield</t>
  </si>
  <si>
    <t>Price / NTA</t>
  </si>
  <si>
    <t>Price / Book</t>
  </si>
  <si>
    <t>Dividend yield</t>
  </si>
  <si>
    <t>Shares on issue (m)</t>
  </si>
  <si>
    <t>Weighted avg basic shares (m)</t>
  </si>
  <si>
    <t>Weighted avg diluted shares (m)</t>
  </si>
  <si>
    <t>PERFORMANCE ANALYSIS (%)</t>
  </si>
  <si>
    <t>Profitability</t>
  </si>
  <si>
    <t>RONTA</t>
  </si>
  <si>
    <t>DPS (cps)</t>
  </si>
  <si>
    <t>Leverage</t>
  </si>
  <si>
    <t>Gearing</t>
  </si>
  <si>
    <t>Tax rate</t>
  </si>
  <si>
    <t>Underlying tax rate</t>
  </si>
  <si>
    <t>GROWTH RATES (%)</t>
  </si>
  <si>
    <t>PT</t>
  </si>
  <si>
    <t>Current scenario</t>
  </si>
  <si>
    <t>Base</t>
  </si>
  <si>
    <t>Bull</t>
  </si>
  <si>
    <t>Bear</t>
  </si>
  <si>
    <t xml:space="preserve"> - modelware</t>
  </si>
  <si>
    <t>PE</t>
  </si>
  <si>
    <t xml:space="preserve"> - rolled forward</t>
  </si>
  <si>
    <t>Market cap</t>
  </si>
  <si>
    <t>Net debt</t>
  </si>
  <si>
    <t>EV</t>
  </si>
  <si>
    <t>EV/EBITDA</t>
  </si>
  <si>
    <t>Net debt/EBITDA</t>
  </si>
  <si>
    <t>EBITDA/interest expense</t>
  </si>
  <si>
    <t>D / D+E</t>
  </si>
  <si>
    <t>FCF</t>
  </si>
  <si>
    <t>FCF (trailing 2H)</t>
  </si>
  <si>
    <t>FCF per share</t>
  </si>
  <si>
    <t>NTA</t>
  </si>
  <si>
    <t>NTAPS</t>
  </si>
  <si>
    <t>P/NTA</t>
  </si>
  <si>
    <t>Average NTA</t>
  </si>
  <si>
    <t>BV</t>
  </si>
  <si>
    <t>BVPS</t>
  </si>
  <si>
    <t>P/BV</t>
  </si>
  <si>
    <t>Average BV</t>
  </si>
  <si>
    <t>Assets</t>
  </si>
  <si>
    <t>Average assets</t>
  </si>
  <si>
    <t xml:space="preserve"> - dividend yield</t>
  </si>
  <si>
    <t xml:space="preserve"> - DPS (trailing 12 month)</t>
  </si>
  <si>
    <t>AUD</t>
  </si>
  <si>
    <t>Balance sheet</t>
  </si>
  <si>
    <t>upside</t>
  </si>
  <si>
    <t>1H26E</t>
  </si>
  <si>
    <t>2H26E</t>
  </si>
  <si>
    <t>FY26E</t>
  </si>
  <si>
    <t>1H27E</t>
  </si>
  <si>
    <t>2H27E</t>
  </si>
  <si>
    <t>FY27E</t>
  </si>
  <si>
    <t>1H28E</t>
  </si>
  <si>
    <t>2H28E</t>
  </si>
  <si>
    <t>FY28E</t>
  </si>
  <si>
    <t>1H29E</t>
  </si>
  <si>
    <t>2H29E</t>
  </si>
  <si>
    <t>FY29E</t>
  </si>
  <si>
    <t>Check</t>
  </si>
  <si>
    <t>1H30E</t>
  </si>
  <si>
    <t>2H30E</t>
  </si>
  <si>
    <t>FY30E</t>
  </si>
  <si>
    <t>1H19</t>
  </si>
  <si>
    <t>2H19</t>
  </si>
  <si>
    <t>FY19</t>
  </si>
  <si>
    <t>New Zealand</t>
  </si>
  <si>
    <t>To Publish</t>
  </si>
  <si>
    <t>SUM</t>
  </si>
  <si>
    <t>P&amp;L</t>
  </si>
  <si>
    <t>BS</t>
  </si>
  <si>
    <t>CF</t>
  </si>
  <si>
    <t>1H20</t>
  </si>
  <si>
    <t>FY20</t>
  </si>
  <si>
    <t>Distribution</t>
  </si>
  <si>
    <t>2H20</t>
  </si>
  <si>
    <t>1H31E</t>
  </si>
  <si>
    <t>2H31E</t>
  </si>
  <si>
    <t>FY31E</t>
  </si>
  <si>
    <t>1H21</t>
  </si>
  <si>
    <t>1H32E</t>
  </si>
  <si>
    <t>2H32E</t>
  </si>
  <si>
    <t>FY32E</t>
  </si>
  <si>
    <t>2H21</t>
  </si>
  <si>
    <t>FY21</t>
  </si>
  <si>
    <t>1H22</t>
  </si>
  <si>
    <t>Deferred tax asset</t>
  </si>
  <si>
    <t>Historical Cash Flow Statement</t>
  </si>
  <si>
    <t>Net assets - Actual</t>
  </si>
  <si>
    <t xml:space="preserve">Net increase in cash and cash equivalents - Actual </t>
  </si>
  <si>
    <t xml:space="preserve">Cash Flow Statement </t>
  </si>
  <si>
    <t>Negative cash?</t>
  </si>
  <si>
    <t>Equity value</t>
  </si>
  <si>
    <t>Other income</t>
  </si>
  <si>
    <t>INCOME STATEMENT (US$m)</t>
  </si>
  <si>
    <t>2H22</t>
  </si>
  <si>
    <t>1H23</t>
  </si>
  <si>
    <t>2H23</t>
  </si>
  <si>
    <t>1H24</t>
  </si>
  <si>
    <t>2H24</t>
  </si>
  <si>
    <t>FY22</t>
  </si>
  <si>
    <t>FY24</t>
  </si>
  <si>
    <t>FY23</t>
  </si>
  <si>
    <t>Net working capital</t>
  </si>
  <si>
    <t>NA</t>
  </si>
  <si>
    <t>Share price (AUD)</t>
  </si>
  <si>
    <t>A$'m</t>
  </si>
  <si>
    <t>Corporate revenues</t>
  </si>
  <si>
    <t>Total Underlying Revenue</t>
  </si>
  <si>
    <t>Management P&amp;L</t>
  </si>
  <si>
    <t>Operating segment costs</t>
  </si>
  <si>
    <t>Corporate costs</t>
  </si>
  <si>
    <t>Total Underlying Costs</t>
  </si>
  <si>
    <t>Corporate EBIT</t>
  </si>
  <si>
    <t>Group Net Profit Before Tax &amp; NCI</t>
  </si>
  <si>
    <t>Non-controlling interest</t>
  </si>
  <si>
    <t>Underlying net profit before tax</t>
  </si>
  <si>
    <t>Underlying NPAT</t>
  </si>
  <si>
    <t>Reconciliation to Statutory NPAT</t>
  </si>
  <si>
    <t>Adj to value of equities (to FV) on the day them became controlled entities</t>
  </si>
  <si>
    <t>Remeasurement of put option liability (net of interest unwind)</t>
  </si>
  <si>
    <t>Share of impairment charge</t>
  </si>
  <si>
    <t>Share of movements in contingent consideration, net of impairment charge</t>
  </si>
  <si>
    <t>Profit on deconsolidation of controlled entity</t>
  </si>
  <si>
    <t xml:space="preserve">Capital losses not previously recognised </t>
  </si>
  <si>
    <t>Share of profit from sale or dilution of interests in associates, controlled entities and broking portfolios</t>
  </si>
  <si>
    <t>Share of Impairment of the Right of Use and Onerous Lease Expense</t>
  </si>
  <si>
    <t>Statutory NPAT</t>
  </si>
  <si>
    <t>Australian Broking</t>
  </si>
  <si>
    <t xml:space="preserve">Commission and fee income </t>
  </si>
  <si>
    <t>Premium funding</t>
  </si>
  <si>
    <t>Interest</t>
  </si>
  <si>
    <t>Underlying EBIT</t>
  </si>
  <si>
    <t>Profit before tax &amp; non-controlling interests</t>
  </si>
  <si>
    <t>Net profit before tax attributable to equity holders of parent entity</t>
  </si>
  <si>
    <t>BIZCOVER</t>
  </si>
  <si>
    <t>Underlying revenues</t>
  </si>
  <si>
    <t>Underlying Expenses</t>
  </si>
  <si>
    <t>Profit before tax &amp; non-controlling interests - 100% view</t>
  </si>
  <si>
    <t>Agencies</t>
  </si>
  <si>
    <t>New Zealand Broking</t>
  </si>
  <si>
    <t>Ausbrokers - Statement of Cash Flows</t>
  </si>
  <si>
    <t>Cash and cash equivalents - Trust</t>
  </si>
  <si>
    <t>Trade and other receivables</t>
  </si>
  <si>
    <t>Lease Net Investment</t>
  </si>
  <si>
    <t>Other financial assets</t>
  </si>
  <si>
    <t>Receipts from customers</t>
  </si>
  <si>
    <t>Dividends/trust distributions received from associates</t>
  </si>
  <si>
    <t>Management fees received from associates/ related entities, and interest received</t>
  </si>
  <si>
    <t>Payments to suppliers and employees</t>
  </si>
  <si>
    <t>Income tax paid</t>
  </si>
  <si>
    <t>Interest paid</t>
  </si>
  <si>
    <t>Interest paid - lease liabilities</t>
  </si>
  <si>
    <t>Net cash from operating activities before customer trust account movements</t>
  </si>
  <si>
    <t>Net (decrease)/increase in cash held in customer trust accounts</t>
  </si>
  <si>
    <t>Cash inflows/(outflows) from acquisition of consolidated entities, net of cash acquired</t>
  </si>
  <si>
    <t>Cash inflow from sale/deconsolidation of controlled entities</t>
  </si>
  <si>
    <t>Disposal costs on sale of controlled entities</t>
  </si>
  <si>
    <t>Payment for new associates and increases in holdings in associates</t>
  </si>
  <si>
    <t>Proceeds from disposal of interests in associates</t>
  </si>
  <si>
    <t>Payment for contingent and deferred consideration on prior year acquisitions</t>
  </si>
  <si>
    <t>Payment for new broking portfolios purchased</t>
  </si>
  <si>
    <t>Proceeds from sale of broking portfolios</t>
  </si>
  <si>
    <t>Net repayment of loans to associates/related entities</t>
  </si>
  <si>
    <t>Net payments from purchases/sales of plant and equipment, capitalised projects, and other assets</t>
  </si>
  <si>
    <t>NET CASH FLOWS FROM INVESTING ACTIVITIES</t>
  </si>
  <si>
    <t>Capital raising</t>
  </si>
  <si>
    <t>Dividends paid to shareholders of non-controlling interests</t>
  </si>
  <si>
    <t>Proceeds from borrowings</t>
  </si>
  <si>
    <t>Repayment of borrowings</t>
  </si>
  <si>
    <t>Proceeds from issue of capital to non controlling interest</t>
  </si>
  <si>
    <t>Payments of principal for lease liabilities</t>
  </si>
  <si>
    <t>Proceeds from deferred consideration on prior year disposal</t>
  </si>
  <si>
    <t>Payment for increase in interests in controlled entities</t>
  </si>
  <si>
    <t>Proceeds from partial disposal of interests in controlled entities</t>
  </si>
  <si>
    <t>NET CASH FLOWS (USED IN)/FROM FINANCING ACTIVITIES</t>
  </si>
  <si>
    <t>Health &amp; Rehab</t>
  </si>
  <si>
    <t>NET CASH FLOWS FROM OPERATING ACTIVITIES</t>
  </si>
  <si>
    <t>Investment in associates</t>
  </si>
  <si>
    <t>Property, plant and equipment</t>
  </si>
  <si>
    <t>Intangible assets and goodwill</t>
  </si>
  <si>
    <t>Right of Use Asset and Lease Net Investment</t>
  </si>
  <si>
    <t>Trade and other payables</t>
  </si>
  <si>
    <t>Deferred revenue from contracts with customers</t>
  </si>
  <si>
    <t>Income tax payable</t>
  </si>
  <si>
    <t>Provision for employee entitlements</t>
  </si>
  <si>
    <t>Lease liabilities</t>
  </si>
  <si>
    <t>Interest-bearing loans and borrowings</t>
  </si>
  <si>
    <t>Provisions</t>
  </si>
  <si>
    <t>Deferred tax liabilities</t>
  </si>
  <si>
    <t>Issued Capital</t>
  </si>
  <si>
    <t>Retained earnings</t>
  </si>
  <si>
    <t>Foreign currency translation reserve</t>
  </si>
  <si>
    <t>Other reserves</t>
  </si>
  <si>
    <t>Put option reserve</t>
  </si>
  <si>
    <t>Share based payments reserve</t>
  </si>
  <si>
    <t>Equity attributable to equity holders of the parent</t>
  </si>
  <si>
    <t>Non-controlling interests</t>
  </si>
  <si>
    <t>Total Equity</t>
  </si>
  <si>
    <t>- Underlying EBIT Margin</t>
  </si>
  <si>
    <t>- Cost to income ratio</t>
  </si>
  <si>
    <t>- Underlying revenue growth vs pcp</t>
  </si>
  <si>
    <t xml:space="preserve">Total adjustments </t>
  </si>
  <si>
    <t>Group KPIs</t>
  </si>
  <si>
    <t xml:space="preserve"> - DPS (AUD cps)</t>
  </si>
  <si>
    <t xml:space="preserve">Equity </t>
  </si>
  <si>
    <t>EPS (cps) - AUD</t>
  </si>
  <si>
    <t>AUB.AX</t>
  </si>
  <si>
    <t>All</t>
  </si>
  <si>
    <t>Ausbrokers P&amp;L</t>
  </si>
  <si>
    <t>GWP</t>
  </si>
  <si>
    <t>- NPBT growth %</t>
  </si>
  <si>
    <t>- Profit share %</t>
  </si>
  <si>
    <t>- pcp growth %</t>
  </si>
  <si>
    <t>Interest expense</t>
  </si>
  <si>
    <t>- Effective tax rate %</t>
  </si>
  <si>
    <t xml:space="preserve"> - acquisition of associates</t>
  </si>
  <si>
    <t xml:space="preserve"> - dilution of associates</t>
  </si>
  <si>
    <t xml:space="preserve"> - reclassification of investment in associates to controlled entities</t>
  </si>
  <si>
    <t xml:space="preserve"> - reclassification on losing control </t>
  </si>
  <si>
    <t>Opening carrying value</t>
  </si>
  <si>
    <t xml:space="preserve"> - dividends / trust distributions received</t>
  </si>
  <si>
    <t xml:space="preserve"> - other</t>
  </si>
  <si>
    <t>Closing carrying value</t>
  </si>
  <si>
    <t xml:space="preserve"> - share of associates NPAT</t>
  </si>
  <si>
    <t xml:space="preserve"> - deconsolidation / disposals</t>
  </si>
  <si>
    <t xml:space="preserve"> - net additions</t>
  </si>
  <si>
    <t xml:space="preserve"> - FX</t>
  </si>
  <si>
    <t>Exited - Sold on April 2021</t>
  </si>
  <si>
    <t>Underlying EBIT Check</t>
  </si>
  <si>
    <t>NPAT Check</t>
  </si>
  <si>
    <t>Movements in number of shares on issue</t>
  </si>
  <si>
    <t>Beginning of financial year</t>
  </si>
  <si>
    <t>DRP shares issued</t>
  </si>
  <si>
    <t xml:space="preserve"> - average underlying</t>
  </si>
  <si>
    <t xml:space="preserve"> - average diluted underlying </t>
  </si>
  <si>
    <t xml:space="preserve">Australian Broking </t>
  </si>
  <si>
    <t xml:space="preserve">Australian Agencies </t>
  </si>
  <si>
    <t xml:space="preserve">Choose scenario </t>
  </si>
  <si>
    <t xml:space="preserve">Bull </t>
  </si>
  <si>
    <t>Commission and fee income growth %</t>
  </si>
  <si>
    <t>Profit share %</t>
  </si>
  <si>
    <t xml:space="preserve">Scenario Assumptions </t>
  </si>
  <si>
    <t>EBITDA check</t>
  </si>
  <si>
    <t>Tysers completed on 30 September 2022</t>
  </si>
  <si>
    <t>Dividend</t>
  </si>
  <si>
    <t xml:space="preserve"> - dividend payment (A$'m)</t>
  </si>
  <si>
    <t>- premium funding revenue</t>
  </si>
  <si>
    <t>- % growth vs pcp</t>
  </si>
  <si>
    <t>Opening balance</t>
  </si>
  <si>
    <t xml:space="preserve"> - Add: NPAT for equity holders</t>
  </si>
  <si>
    <t xml:space="preserve"> - Less: dividends &amp; distributions paid</t>
  </si>
  <si>
    <t>Closing balance</t>
  </si>
  <si>
    <t xml:space="preserve"> - Other: Ownership changes, transfer of put options</t>
  </si>
  <si>
    <t>Rec check</t>
  </si>
  <si>
    <t xml:space="preserve"> - weighted average basic</t>
  </si>
  <si>
    <t xml:space="preserve"> - weighted average diluted</t>
  </si>
  <si>
    <t>- DRP Price (A$)</t>
  </si>
  <si>
    <t>- DRP Participation  %</t>
  </si>
  <si>
    <t>- DRP Discount %</t>
  </si>
  <si>
    <t>Capital raisings</t>
  </si>
  <si>
    <t>Number of shares issued (million)</t>
  </si>
  <si>
    <t>Share issue price (A$)</t>
  </si>
  <si>
    <t>Capital raised (million)</t>
  </si>
  <si>
    <t>Tysers reports on CY basis</t>
  </si>
  <si>
    <t>- Profit share to AUB</t>
  </si>
  <si>
    <t>Corporate</t>
  </si>
  <si>
    <t>1H18</t>
  </si>
  <si>
    <t>2H18</t>
  </si>
  <si>
    <t>FY18</t>
  </si>
  <si>
    <t>1H17</t>
  </si>
  <si>
    <t>2H17</t>
  </si>
  <si>
    <t>FY17</t>
  </si>
  <si>
    <t>1H16</t>
  </si>
  <si>
    <t>2H16</t>
  </si>
  <si>
    <t>FY16</t>
  </si>
  <si>
    <t>with BizCover</t>
  </si>
  <si>
    <t>GWP - last 12months</t>
  </si>
  <si>
    <t>Breaking this down</t>
  </si>
  <si>
    <t>Less contingent/deferred consideration</t>
  </si>
  <si>
    <t>Less shares issues by the Company</t>
  </si>
  <si>
    <t>Less shares issued by a subsidiary of the Group</t>
  </si>
  <si>
    <t>Less cash acquired</t>
  </si>
  <si>
    <t>Less trust cash acquired</t>
  </si>
  <si>
    <t>Via Cashflows</t>
  </si>
  <si>
    <t>Via note 7a</t>
  </si>
  <si>
    <t>Via note 7b</t>
  </si>
  <si>
    <t>Payments for acquisition of consolidated entities, gross of cash acquired</t>
  </si>
  <si>
    <t>Cash Payments for acquisition of consolidated entities, gross of cash acquired</t>
  </si>
  <si>
    <t>add back AUB shares issued</t>
  </si>
  <si>
    <t>Total Upfront Payments for acquisition of consolidated entities, gross of cash acquired</t>
  </si>
  <si>
    <t>add back contingent consideration</t>
  </si>
  <si>
    <t>Total consideration receipted to all additional interests disposed</t>
  </si>
  <si>
    <t>Less cash disposed</t>
  </si>
  <si>
    <t>Less contingent consideration</t>
  </si>
  <si>
    <t>Less non-cash settled (share swap)</t>
  </si>
  <si>
    <t>Receipts for disposal of consolidated entities, net of cash acquired</t>
  </si>
  <si>
    <t>Less other - estimated</t>
  </si>
  <si>
    <t>Cash Receipts from disposal of consolidated entities, gross of cash acquired</t>
  </si>
  <si>
    <t>Total Cash Payments for Business Combinations - ex Contingent</t>
  </si>
  <si>
    <t>Summary of Gross Cash Payments for Business Combinations</t>
  </si>
  <si>
    <t>Payments for businesses - Total consideration attributed to all additional interests acquired</t>
  </si>
  <si>
    <t>Cash Payments for acquisition of consolidated entities, net of cash acquired</t>
  </si>
  <si>
    <t>Total Over Time Payments for acquisition of consolidated entities, gross of cash acquired</t>
  </si>
  <si>
    <t>adjusted</t>
  </si>
  <si>
    <t>Summary of Net Cash Payments for Business Combinations</t>
  </si>
  <si>
    <t>Cash Receipts from disposal of consolidated entities, net of cash acquired</t>
  </si>
  <si>
    <t>% of Operating Cash Flows</t>
  </si>
  <si>
    <t>Australian Active Clients</t>
  </si>
  <si>
    <t>Run rate of synergies - Costs</t>
  </si>
  <si>
    <t>Run rate of synergies - Revenue</t>
  </si>
  <si>
    <t>Total A$25m pre-tax annual synergies, net of costs to implement</t>
  </si>
  <si>
    <t>Management medium-term target EBIT margin %</t>
  </si>
  <si>
    <t>AUB's share of PBT through organic growth</t>
  </si>
  <si>
    <t>AUB's share of PBT through acquisitions (net of divestments)</t>
  </si>
  <si>
    <t>Total</t>
  </si>
  <si>
    <t>PBT Continuous Operations</t>
  </si>
  <si>
    <t>Adjustments (JobKeeper, technology investment etc.)</t>
  </si>
  <si>
    <t>- Organic growth % vs pcp</t>
  </si>
  <si>
    <t>- Acquisition growth %</t>
  </si>
  <si>
    <t>One-offs</t>
  </si>
  <si>
    <t>3M Since Acquisition</t>
  </si>
  <si>
    <t>Adjustments</t>
  </si>
  <si>
    <t>Average Premium Rate Increases</t>
  </si>
  <si>
    <t>Average premium growth</t>
  </si>
  <si>
    <t>Total including one-offs</t>
  </si>
  <si>
    <t>One-offs (FX, other)</t>
  </si>
  <si>
    <t xml:space="preserve">Staff Costs </t>
  </si>
  <si>
    <t>Bonus Expense</t>
  </si>
  <si>
    <t>Non-staff costs</t>
  </si>
  <si>
    <t xml:space="preserve">Total opreating costs </t>
  </si>
  <si>
    <t>Normalised EBITDA</t>
  </si>
  <si>
    <t xml:space="preserve">Historical Tysers on CY basis </t>
  </si>
  <si>
    <t>Corporate expenses</t>
  </si>
  <si>
    <t>Acquisition expenses</t>
  </si>
  <si>
    <t>Corporate finance costs</t>
  </si>
  <si>
    <t>Net corporate result</t>
  </si>
  <si>
    <t>- % of revenues</t>
  </si>
  <si>
    <t>Other curent assets</t>
  </si>
  <si>
    <t>Other shares issued (acquisition, options exercised, etc.)</t>
  </si>
  <si>
    <t>EPS Check - average basic</t>
  </si>
  <si>
    <t>EPS Check - average underlying</t>
  </si>
  <si>
    <t>EPS Check - average diluted</t>
  </si>
  <si>
    <t>EPS Check - average diluted underlying</t>
  </si>
  <si>
    <t>Total number of shares on issued - end spot (# millions)</t>
  </si>
  <si>
    <t>Spot shares check</t>
  </si>
  <si>
    <t>Uncommitted cash and cash equivalents</t>
  </si>
  <si>
    <t>Total net debt</t>
  </si>
  <si>
    <t>HYs not disclosed</t>
  </si>
  <si>
    <t>AUB Group Ltd</t>
  </si>
  <si>
    <t>AUB Group</t>
  </si>
  <si>
    <t>Check2</t>
  </si>
  <si>
    <t>Interest cost - operating entities</t>
  </si>
  <si>
    <t>Interest cost - corporate</t>
  </si>
  <si>
    <t>Total Revenue</t>
  </si>
  <si>
    <t>Acquisition Spend</t>
  </si>
  <si>
    <t>Reconciliation of Acquisition Spend</t>
  </si>
  <si>
    <t>Net proceeds from borrowings</t>
  </si>
  <si>
    <t>A$m</t>
  </si>
  <si>
    <t>Net cash proceeds from issue of shares</t>
  </si>
  <si>
    <t>Proceeds from issue of shares directly to acquire a company</t>
  </si>
  <si>
    <t>Total acquisition spend</t>
  </si>
  <si>
    <t>- % growth</t>
  </si>
  <si>
    <t>Net change in corporate debt</t>
  </si>
  <si>
    <t>P&amp;L Implications</t>
  </si>
  <si>
    <t>Implied EBITDA multiple</t>
  </si>
  <si>
    <t>- Distribution acquisition growth</t>
  </si>
  <si>
    <t>- UK acquisition growth</t>
  </si>
  <si>
    <t>- Agency acquisition growth</t>
  </si>
  <si>
    <t>Balance Sheet Implications:</t>
  </si>
  <si>
    <t>Associates vs Consolidated</t>
  </si>
  <si>
    <t>Approximate net investment in associates</t>
  </si>
  <si>
    <t>- % of total acquisition spend</t>
  </si>
  <si>
    <t>Allocation to associates</t>
  </si>
  <si>
    <t>Consolidated spend</t>
  </si>
  <si>
    <t>- allocation to NTA</t>
  </si>
  <si>
    <t>- allocation to intangibles</t>
  </si>
  <si>
    <t>- allocation to goodwill</t>
  </si>
  <si>
    <t>Acquisition funded by</t>
  </si>
  <si>
    <t>Debt</t>
  </si>
  <si>
    <t>Incremental debt drawn/(repaid)</t>
  </si>
  <si>
    <t>AUB acquisition spend - Management preso</t>
  </si>
  <si>
    <t>Acquisition Spend: Allocation between AUB Broking &amp; Agencies</t>
  </si>
  <si>
    <t>Australian Broking EBITDA Purchased</t>
  </si>
  <si>
    <t>Agencies EBITDA Purchased</t>
  </si>
  <si>
    <t>New Zealand Broking EBITDA Purchased</t>
  </si>
  <si>
    <t>NTA per share (A$)</t>
  </si>
  <si>
    <t>BV per share (A$)</t>
  </si>
  <si>
    <t>Capital issued</t>
  </si>
  <si>
    <t>Dividend reinvestment</t>
  </si>
  <si>
    <t xml:space="preserve"> - amortisation</t>
  </si>
  <si>
    <t xml:space="preserve"> - impairment</t>
  </si>
  <si>
    <t>Payment of financial liabilities resulting from acquisition of controlled entity</t>
  </si>
  <si>
    <t>Cash Flow Forecasting</t>
  </si>
  <si>
    <t>Decrease in current assets - receivables</t>
  </si>
  <si>
    <t>Decrease in current assets - other</t>
  </si>
  <si>
    <t>Increase in current liabilities - payables</t>
  </si>
  <si>
    <t>Increase in current liabilities - current tax liabilities</t>
  </si>
  <si>
    <t>Increase in current liabilities - provisions</t>
  </si>
  <si>
    <t>Increase in current liabilities - other</t>
  </si>
  <si>
    <t>Estimated cash flows from operating activities</t>
  </si>
  <si>
    <t>Actual a hist check</t>
  </si>
  <si>
    <t>Decrease in non-current assets - investments</t>
  </si>
  <si>
    <t>Decrease in non-current assets - PPE</t>
  </si>
  <si>
    <t>Decrease in non-current assets - receivables</t>
  </si>
  <si>
    <t>Increase in non-current liabilities - net deferred tax</t>
  </si>
  <si>
    <t>Increase in non-current liabilities - provisions</t>
  </si>
  <si>
    <t>Increase in non-current liabilities - other</t>
  </si>
  <si>
    <t>Estimated cash flows from investing activities</t>
  </si>
  <si>
    <t>Increase in non-current liabilities - borrowings</t>
  </si>
  <si>
    <t>Increase in equity - issued capital</t>
  </si>
  <si>
    <t>Estimated cash flows from financing activities</t>
  </si>
  <si>
    <t>Decrease in non-current assets - other</t>
  </si>
  <si>
    <t>BS check</t>
  </si>
  <si>
    <t>Operating segment revenues, ex corporate</t>
  </si>
  <si>
    <t>- % growth vs pcp or HoH Forecast</t>
  </si>
  <si>
    <t>Total Trade and other payables Check</t>
  </si>
  <si>
    <t xml:space="preserve"> - associate NPAT growth </t>
  </si>
  <si>
    <t xml:space="preserve"> - dividends received as a % of NPAT</t>
  </si>
  <si>
    <t>Goodwill</t>
  </si>
  <si>
    <t>1H not disclosed</t>
  </si>
  <si>
    <t>Intangible assets &amp; Goodwill</t>
  </si>
  <si>
    <t>Intangible assets - backed out</t>
  </si>
  <si>
    <t>- Amortisation rate</t>
  </si>
  <si>
    <t>Increase in cash held on trust</t>
  </si>
  <si>
    <t>Dividends paid to shareholders of the Group - ex DRP</t>
  </si>
  <si>
    <t>Dividend &amp; Dividend Reinvestment Plan (DRP)</t>
  </si>
  <si>
    <t>Dividends &amp; Capital Raising</t>
  </si>
  <si>
    <t>Issue of shares</t>
  </si>
  <si>
    <t>- Ordinary Equity DRP issued (A$m)</t>
  </si>
  <si>
    <t>- Ordinary shares DRP issued  (# million)</t>
  </si>
  <si>
    <t>Free Cash Flows post Dividend - total generated</t>
  </si>
  <si>
    <t>Free cash flows</t>
  </si>
  <si>
    <t>Free Cash Flows used in M&amp;A</t>
  </si>
  <si>
    <t>OK on cash to fund M&amp;A?</t>
  </si>
  <si>
    <t>Free Cash Flows post Dividend  used in M&amp;A</t>
  </si>
  <si>
    <t>M&amp;A Cross Check - OLD</t>
  </si>
  <si>
    <t>- Total Dividend paid (A$million) - prior half</t>
  </si>
  <si>
    <t>Cash inflows/(outflows) from acquisition of consolidated entities, ex NCA Investments</t>
  </si>
  <si>
    <t>Payments for intangible assets</t>
  </si>
  <si>
    <t>Total Cashflow Forecasting</t>
  </si>
  <si>
    <t>Non-controlling interest - Underlyling Earnings</t>
  </si>
  <si>
    <t>dividend payout</t>
  </si>
  <si>
    <t>NET CASH FLOWS FROM OPERATING ACTIVITIES - ex Trust Cash movements</t>
  </si>
  <si>
    <t>BALANCE SHEET</t>
  </si>
  <si>
    <t>Assumed EBITDA Margin - Australian Broking</t>
  </si>
  <si>
    <t>Assumed EBITDA Margin - Agencies</t>
  </si>
  <si>
    <t>Assumed EBITDA Margin - New Zealand Broking</t>
  </si>
  <si>
    <t>Backsolved: Australian Broking Revenue</t>
  </si>
  <si>
    <t>Backsolved: Agencies Revenue</t>
  </si>
  <si>
    <t>Backsolved: New Zealand Revenue</t>
  </si>
  <si>
    <t>- Acquisition revenue growth</t>
  </si>
  <si>
    <t>Operating segment revenues (f'cast incl. acquisitions)</t>
  </si>
  <si>
    <t>Total EBIT</t>
  </si>
  <si>
    <t>- Acquisition EBIT growth</t>
  </si>
  <si>
    <t>Total Expenses</t>
  </si>
  <si>
    <t>- Underlying cost to income ratio</t>
  </si>
  <si>
    <t>Acquisition check</t>
  </si>
  <si>
    <t>Tysers</t>
  </si>
  <si>
    <t>Interest cost</t>
  </si>
  <si>
    <t>DPS</t>
  </si>
  <si>
    <t xml:space="preserve"> - average statutory basic EPS</t>
  </si>
  <si>
    <t xml:space="preserve"> - average underlying EPS</t>
  </si>
  <si>
    <t xml:space="preserve"> - average statutory diluted EPS</t>
  </si>
  <si>
    <t xml:space="preserve"> - average diluted underlying  EPS</t>
  </si>
  <si>
    <t xml:space="preserve"> - modelware EPS</t>
  </si>
  <si>
    <t>Total net debt - AUB definition</t>
  </si>
  <si>
    <t>Other debt &amp; contingent cons</t>
  </si>
  <si>
    <t>Interest bearing loans &amp; others - Associates (AUB share)</t>
  </si>
  <si>
    <t>Uncommited cash</t>
  </si>
  <si>
    <t>Trade and other payables + Financial Liabilities</t>
  </si>
  <si>
    <t>Depreciatiation</t>
  </si>
  <si>
    <t xml:space="preserve"> - depreciation</t>
  </si>
  <si>
    <t xml:space="preserve"> - depreciation % of PPE</t>
  </si>
  <si>
    <t>Underlying Diluted EPS growth</t>
  </si>
  <si>
    <t>Total interest expense</t>
  </si>
  <si>
    <t>Maximum gearing ratio - Corporate Debt / Capital or EV</t>
  </si>
  <si>
    <t>Implied debt headroom</t>
  </si>
  <si>
    <t>ROE (statutory)</t>
  </si>
  <si>
    <t>Total Debt - AUB definition</t>
  </si>
  <si>
    <t>Leverage ratio EBITDA - AUB definition</t>
  </si>
  <si>
    <t>Total Cash</t>
  </si>
  <si>
    <t>Gross Debt / Equity</t>
  </si>
  <si>
    <t>Gross Debt / Capital</t>
  </si>
  <si>
    <t>Other current assets</t>
  </si>
  <si>
    <t>Other non-current assets</t>
  </si>
  <si>
    <t>Underlying rev chec</t>
  </si>
  <si>
    <t>Group Underlying EBIT - before NCI</t>
  </si>
  <si>
    <t>Underlying Net Profit before tax</t>
  </si>
  <si>
    <t>Post NCI Figures - ie figures to shareholders</t>
  </si>
  <si>
    <t>AUB ownership level</t>
  </si>
  <si>
    <t>adjust back interest cost - corporate</t>
  </si>
  <si>
    <t>EBITDA - Underlying - post NCI</t>
  </si>
  <si>
    <t>EBITDA - post NCI</t>
  </si>
  <si>
    <t>adjust back interest cost - operating entities - AUB share</t>
  </si>
  <si>
    <t>EBITDA (trailing 12M) - post NCI</t>
  </si>
  <si>
    <t>EBITDA post NCI - AUB definition - fwd looking with annls EBITDA &amp; pro-forma cost synergies</t>
  </si>
  <si>
    <t>Adjustments for EBITDA</t>
  </si>
  <si>
    <t>EBITDA Trailing 12M - post NCI</t>
  </si>
  <si>
    <t>Debt to Equity - gross - AUB definition</t>
  </si>
  <si>
    <t>AUB Adjustments</t>
  </si>
  <si>
    <t>Gearing ratios</t>
  </si>
  <si>
    <t>Net debt / Capital or EV - AUB definition</t>
  </si>
  <si>
    <t>Net debt / Equity- AUB definition</t>
  </si>
  <si>
    <t>MAX Leverage ratio EBITDA - AUB definition - MAX at that time</t>
  </si>
  <si>
    <t>Gross Debt to Capital - gross - AUB definition</t>
  </si>
  <si>
    <t>UNPAT check</t>
  </si>
  <si>
    <t>Stat NPAT check</t>
  </si>
  <si>
    <t>large</t>
  </si>
  <si>
    <t>BS Check</t>
  </si>
  <si>
    <t>ROE (UNPAT)</t>
  </si>
  <si>
    <t>ROE (UNPATA)</t>
  </si>
  <si>
    <t>ROA (Statutory)</t>
  </si>
  <si>
    <t>ROA (statutory)</t>
  </si>
  <si>
    <t>EBITDA - Underlying - pre NCI (fully consolidated)</t>
  </si>
  <si>
    <t>EBITDA margin - Underlying - pre NCI (fully consolidated)</t>
  </si>
  <si>
    <t>Cross-checks</t>
  </si>
  <si>
    <t>NCI % - ie how much AUB does NOT own</t>
  </si>
  <si>
    <t>Totaal Underlying Revenues</t>
  </si>
  <si>
    <t>- margin %</t>
  </si>
  <si>
    <t>Sum of the Parts Valuation</t>
  </si>
  <si>
    <t>Divisions</t>
  </si>
  <si>
    <t>Revenue Mix</t>
  </si>
  <si>
    <t>Comments</t>
  </si>
  <si>
    <t>To be allocated:</t>
  </si>
  <si>
    <t>EBITDA with corporate costs allocated</t>
  </si>
  <si>
    <t>Total group</t>
  </si>
  <si>
    <t>Total check</t>
  </si>
  <si>
    <t>EBITDA post NCI
(corp. exp. allocated)</t>
  </si>
  <si>
    <t>EBITDA Mix</t>
  </si>
  <si>
    <t>Multiple</t>
  </si>
  <si>
    <t>SOTP Valuation</t>
  </si>
  <si>
    <t>2023-25e</t>
  </si>
  <si>
    <t>Group</t>
  </si>
  <si>
    <t>Less: Gross Debt</t>
  </si>
  <si>
    <t>Add: Cash</t>
  </si>
  <si>
    <t>Net (Debt) / Cash</t>
  </si>
  <si>
    <t>Share count</t>
  </si>
  <si>
    <t>Valuaton per share</t>
  </si>
  <si>
    <t xml:space="preserve">Weighting </t>
  </si>
  <si>
    <t>Revenue 
(pre NCI)</t>
  </si>
  <si>
    <t>(-) Corporate EBIT Consolidated</t>
  </si>
  <si>
    <t>Corporate EBIT Consolidated</t>
  </si>
  <si>
    <t>NCI assumption at AUB ownership level</t>
  </si>
  <si>
    <t>(+) Depreciation &amp; Amortisation</t>
  </si>
  <si>
    <t>Corporate Expenses</t>
  </si>
  <si>
    <t>D&amp;A</t>
  </si>
  <si>
    <t>Allocation:</t>
  </si>
  <si>
    <t>Assuming all D&amp;A belongs to the Group</t>
  </si>
  <si>
    <t>PBT CAGR</t>
  </si>
  <si>
    <t>EV/PBT/G</t>
  </si>
  <si>
    <t>SOTP PT</t>
  </si>
  <si>
    <t>6m to Mar23</t>
  </si>
  <si>
    <t>3m to Mar23</t>
  </si>
  <si>
    <t>- pcp growth % - Organic in FORECAST YEARS</t>
  </si>
  <si>
    <t>TOTAL pcp growth %</t>
  </si>
  <si>
    <t>DEBT - Leverage Ratio AUB definition</t>
  </si>
  <si>
    <t>TOTAL</t>
  </si>
  <si>
    <t>Total PBT</t>
  </si>
  <si>
    <t>Total Underlying PBT</t>
  </si>
  <si>
    <t>Total Revenue - Pre Acquisition in Forecast Years</t>
  </si>
  <si>
    <t>EBIT</t>
  </si>
  <si>
    <t>Acquisitions - included in Total EBIT</t>
  </si>
  <si>
    <t>PBT Check</t>
  </si>
  <si>
    <t>TOTAL Revenue pcp growth %</t>
  </si>
  <si>
    <t>Implied net interest rate</t>
  </si>
  <si>
    <t>- increase in net interest rate HoH</t>
  </si>
  <si>
    <t>Share of Legal, Due Diligence and debt costs</t>
  </si>
  <si>
    <t>Share of amortisation of broking registers (non cash item)</t>
  </si>
  <si>
    <t>EBIT Pre NCI</t>
  </si>
  <si>
    <t>AUB's Profit Share</t>
  </si>
  <si>
    <t>EBIT Post NCI</t>
  </si>
  <si>
    <t>Total EBITDA</t>
  </si>
  <si>
    <t>Depreciatiation - AUB's share</t>
  </si>
  <si>
    <t>WACC</t>
  </si>
  <si>
    <t>WACC Assumption</t>
  </si>
  <si>
    <t>Cost of debt (pre-tax)</t>
  </si>
  <si>
    <t>Debt / Value</t>
  </si>
  <si>
    <t>Equity / Value</t>
  </si>
  <si>
    <t>Specific risk premium</t>
  </si>
  <si>
    <t>Current price</t>
  </si>
  <si>
    <t>Current case:</t>
  </si>
  <si>
    <t>Segment fees &amp; commission revenue</t>
  </si>
  <si>
    <t>Organic vs Acquisition split PBT</t>
  </si>
  <si>
    <t>Orgavic vs Acquisition split for PBT and Revenue</t>
  </si>
  <si>
    <t>Tysers in M&amp;A in FY23</t>
  </si>
  <si>
    <t>Heatlh &amp; Risk in M&amp;A in FY22</t>
  </si>
  <si>
    <t>Organic growth</t>
  </si>
  <si>
    <t>PBT post NCI</t>
  </si>
  <si>
    <t>Acquisition growth (net of divestments)</t>
  </si>
  <si>
    <t>- Acquisition growth % vs pcp</t>
  </si>
  <si>
    <t>Total PBT post NCI</t>
  </si>
  <si>
    <t>Acquisitions Revenue</t>
  </si>
  <si>
    <t>Revenue - forecast only</t>
  </si>
  <si>
    <t>ORGANIC Forecast Commission and fee income growth %</t>
  </si>
  <si>
    <t>Cash ex Trust - ie True Cash</t>
  </si>
  <si>
    <t>EV/EBITDA Multiple</t>
  </si>
  <si>
    <t>Equity Value</t>
  </si>
  <si>
    <t>Updside / Downside to Current Price</t>
  </si>
  <si>
    <t>Valuation Summary</t>
  </si>
  <si>
    <t>purchased at 12x - needs to prove itself</t>
  </si>
  <si>
    <t>not for show</t>
  </si>
  <si>
    <t>Payout ratio (utilising DTA amort. benefit)</t>
  </si>
  <si>
    <t>Und. EBITDA Margin incl NCI cons.</t>
  </si>
  <si>
    <t>Lvg. ratio: EBITDA post NCI / Net Debt</t>
  </si>
  <si>
    <t>EBIT Mix</t>
  </si>
  <si>
    <t>Basic EPS</t>
  </si>
  <si>
    <t>Sensitivity</t>
  </si>
  <si>
    <t>Acquisition Multiple (x)</t>
  </si>
  <si>
    <t>% change</t>
  </si>
  <si>
    <t>UNPATA - FY24E</t>
  </si>
  <si>
    <t>$ change</t>
  </si>
  <si>
    <t>Diluted EPS cps (UNPAT) - FY24E</t>
  </si>
  <si>
    <t>Diluted EPS cps (UNPATA) - FY24E</t>
  </si>
  <si>
    <t>SOTP</t>
  </si>
  <si>
    <t>Scenarios</t>
  </si>
  <si>
    <t>Prior valuation</t>
  </si>
  <si>
    <t>changes</t>
  </si>
  <si>
    <t>Total interest income</t>
  </si>
  <si>
    <t>Effective interest rate</t>
  </si>
  <si>
    <t>Average cash balance</t>
  </si>
  <si>
    <t>BS Errors - CHECK</t>
  </si>
  <si>
    <t>Underlying NPATA EPS (cps)</t>
  </si>
  <si>
    <t>Group Underlying EBITA - pre NCI (fully consolidated)</t>
  </si>
  <si>
    <t>Group Underlying EBITA - post NCI</t>
  </si>
  <si>
    <t>Group Underlying EBITA pre NCI</t>
  </si>
  <si>
    <t>Und. EBITA Margin incl NCI cons.</t>
  </si>
  <si>
    <t>Operating segment EBITA</t>
  </si>
  <si>
    <t>Corporate EBITA</t>
  </si>
  <si>
    <t>Group Underlying EBITA - before NCI</t>
  </si>
  <si>
    <t>EBITA PRE NCI MARGINS (%)</t>
  </si>
  <si>
    <t>EBITA Check</t>
  </si>
  <si>
    <t>EBITA Margin Ex Corporate</t>
  </si>
  <si>
    <t>EBITA Margin - Group - before NCI</t>
  </si>
  <si>
    <t>% of EBITA pre NCI</t>
  </si>
  <si>
    <t>- Underlying EBITA Margin</t>
  </si>
  <si>
    <t>Underlying EBITA margin %</t>
  </si>
  <si>
    <t>Other</t>
  </si>
  <si>
    <t>Distributions paid outside of group to unitholders of controlled trudt</t>
  </si>
  <si>
    <t>H/H split</t>
  </si>
  <si>
    <t>1H/2H Split</t>
  </si>
  <si>
    <t xml:space="preserve"> </t>
  </si>
  <si>
    <t>EBITA purchased (at 100% ownership)</t>
  </si>
  <si>
    <t>Upside/(Downside)</t>
  </si>
  <si>
    <t>FY26E NPAT EPS</t>
  </si>
  <si>
    <t>Implied FY26E NPAT P/E</t>
  </si>
  <si>
    <t>FY25E Guidance</t>
  </si>
  <si>
    <t>International (Inc. Tysers)</t>
  </si>
  <si>
    <t>190-200</t>
  </si>
  <si>
    <t>Prior Multiples</t>
  </si>
  <si>
    <t>International</t>
  </si>
  <si>
    <t>International (Incl. Tysers)</t>
  </si>
  <si>
    <t>International (incl. Tysers)</t>
  </si>
  <si>
    <t>Updside / (Downside) % to current share price</t>
  </si>
  <si>
    <t>FY26</t>
  </si>
  <si>
    <t>- growth vs pcp</t>
  </si>
  <si>
    <t>- Revenue per customer</t>
  </si>
  <si>
    <t>Skew</t>
  </si>
  <si>
    <t>3 YR EPS CAGR%</t>
  </si>
  <si>
    <t>Payments for Contingent Consideration - large events only</t>
  </si>
  <si>
    <t>still used by MW</t>
  </si>
  <si>
    <t>EBITDA - FY26E</t>
  </si>
  <si>
    <t>Excluding trust cash</t>
  </si>
  <si>
    <t>split 1H 2H</t>
  </si>
  <si>
    <t>3 YR Und NPAT CAGR%</t>
  </si>
  <si>
    <t>FY25</t>
  </si>
  <si>
    <t>1H25</t>
  </si>
  <si>
    <t>FY26E UNPATA EPS</t>
  </si>
  <si>
    <t>Implied FY26E UNPATA P/E</t>
  </si>
  <si>
    <t>Retail uplift is</t>
  </si>
  <si>
    <t>Non repeat of A$13m Tysers bonus realignment</t>
  </si>
  <si>
    <t>Statutory PE</t>
  </si>
  <si>
    <t>Underlying Diluted PE</t>
  </si>
  <si>
    <t>EV / EBITDA - underlying (x)</t>
  </si>
  <si>
    <t>Underlying NPATA EPS</t>
  </si>
  <si>
    <t>2H25</t>
  </si>
  <si>
    <t>1H33E</t>
  </si>
  <si>
    <t>2H33E</t>
  </si>
  <si>
    <t>FY33E</t>
  </si>
  <si>
    <t>1H34E</t>
  </si>
  <si>
    <t>2H34E</t>
  </si>
  <si>
    <t>FY34E</t>
  </si>
  <si>
    <t>EBIT margin ex Tyser Bonus</t>
  </si>
  <si>
    <t>n/m</t>
  </si>
  <si>
    <t>+30% premium</t>
  </si>
  <si>
    <t>+40.2% premium</t>
  </si>
  <si>
    <t>Underlying diluted EPS</t>
  </si>
  <si>
    <t>Underlying diluted PE</t>
  </si>
  <si>
    <t xml:space="preserve">1 Austin Road West </t>
  </si>
  <si>
    <t xml:space="preserve">Kowloon </t>
  </si>
  <si>
    <t xml:space="preserve">Hong Kong </t>
  </si>
  <si>
    <t>Tel: +852 2848 5200</t>
  </si>
  <si>
    <t>Authors: Andrei Stadnik</t>
  </si>
  <si>
    <t>Date: 30 Oct 2025</t>
  </si>
  <si>
    <t>Ticker: AUB.AX</t>
  </si>
  <si>
    <t>Stock Rating: Overweight</t>
  </si>
  <si>
    <t>Industry: Australia Financials</t>
  </si>
  <si>
    <t>Industry View: In-Line</t>
  </si>
  <si>
    <t>Price as of 30 Oct 2025: 37.35</t>
  </si>
  <si>
    <t>Target Price: 45.00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</si>
  <si>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</si>
  <si>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</si>
  <si>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</si>
  <si>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</si>
  <si>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</si>
  <si>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</si>
  <si>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</si>
  <si>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</si>
  <si>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</si>
  <si>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</si>
  <si>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</si>
  <si>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</si>
  <si>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</si>
  <si>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</si>
  <si>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</si>
  <si>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</si>
  <si>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</si>
  <si>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having Corporate Identification No (CIN)</t>
  </si>
  <si>
    <t>U22990MH1998PTC115305, regulated by the Securities and Exchange Board of India (“SEBI”) and holder of</t>
  </si>
  <si>
    <t>licenses as a Research Analyst (SEBI Registration No. INH000001105); Stock Broker (SEBI Stock Broker</t>
  </si>
  <si>
    <t>Registration No. INZ000244438), Merchant Banker (SEBI Registration No. INM000011203), and depository</t>
  </si>
  <si>
    <t>participant with National Securities Depository Limited (SEBI Registration No. IN-DP-NSDL-567-2021)</t>
  </si>
  <si>
    <t>having registered office at Altimus, Level 39 &amp; 40, Pandurang Budhkar Marg, Worli, Mumbai 400018, India;</t>
  </si>
  <si>
    <t>Telephone no. +91-22-61181000; Compliance Officer Details: Mr. Tejarshi Hardas, Tel. No.:</t>
  </si>
  <si>
    <t>+91-22-61181000 or Email: tejarshi.hardas@morganstanley.com; Grievance officer details: Mr. Tejarshi</t>
  </si>
  <si>
    <t>Hardas, Tel. No.: +91-22-61181000 or Email: msic-compliance@morganstanley.com which accepts the</t>
  </si>
  <si>
    <t>responsibility for its contents and should be contacted with respect to any matters arising from, or in</t>
  </si>
  <si>
    <t>connection with, Morgan Stanley Research, and their affiliates (collectively, "Morgan Stanley"). Morgan</t>
  </si>
  <si>
    <t>Stanley India Company Private Limited (MSICPL) may use AI tools in providing research services. All</t>
  </si>
  <si>
    <t>recommendations contained herein are made by the duly qualified research analysts.</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</si>
  <si>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</si>
  <si>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</si>
  <si>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</si>
  <si>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</si>
  <si>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</si>
  <si>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</si>
  <si>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</si>
  <si>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</si>
  <si>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</si>
  <si>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</si>
  <si>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</si>
  <si>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</si>
  <si>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</si>
  <si>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</si>
  <si>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Andrei Stadnik, FIAA.</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</si>
  <si>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</si>
  <si>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</si>
  <si>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</si>
  <si>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</si>
  <si>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</si>
  <si>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</si>
  <si>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</si>
  <si>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</si>
  <si>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</si>
  <si>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</si>
  <si>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</si>
  <si>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</si>
  <si>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</si>
  <si>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</si>
  <si>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</si>
  <si>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</si>
  <si>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</si>
  <si>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</si>
  <si>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</si>
  <si>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</si>
  <si>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</si>
  <si>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</si>
  <si>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</si>
  <si>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</si>
  <si>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</si>
  <si>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</si>
  <si>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</si>
  <si>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</si>
  <si>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</si>
  <si>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</si>
  <si>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</si>
  <si>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</si>
  <si>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September 30, 2025)</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</si>
  <si>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</si>
  <si>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</si>
  <si>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</si>
  <si>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</si>
  <si>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</si>
  <si>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</si>
  <si>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</si>
  <si>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</si>
  <si>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</si>
  <si>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</si>
  <si>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</si>
  <si>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</si>
  <si>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</si>
  <si>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</si>
  <si>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</si>
  <si>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</si>
  <si>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</si>
  <si>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</si>
  <si>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</si>
  <si>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</si>
  <si>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</si>
  <si>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</si>
  <si>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</si>
  <si>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</si>
  <si>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</si>
  <si>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</si>
  <si>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</si>
  <si>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</si>
  <si>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</si>
  <si>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</si>
  <si>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</si>
  <si>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</si>
  <si>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</si>
  <si>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</si>
  <si>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</si>
  <si>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</si>
  <si>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</si>
  <si>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</si>
  <si>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</si>
  <si>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</si>
  <si>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</si>
  <si>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</si>
  <si>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</si>
  <si>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</si>
  <si>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</si>
  <si>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</si>
  <si>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</si>
  <si>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</si>
  <si>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</si>
  <si>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</si>
  <si>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</si>
  <si>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</si>
  <si>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</si>
  <si>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</si>
  <si>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</si>
  <si>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</si>
  <si>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</si>
  <si>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</si>
  <si>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</si>
  <si>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</si>
  <si>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</si>
  <si>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</si>
  <si>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</si>
  <si>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</si>
  <si>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</si>
  <si>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</si>
  <si>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</si>
  <si>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</si>
  <si>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</si>
  <si>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</si>
  <si>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</si>
  <si>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</si>
  <si>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</si>
  <si>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</si>
  <si>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</si>
  <si>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</si>
  <si>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</si>
  <si>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</si>
  <si>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</si>
  <si>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</si>
  <si>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</si>
  <si>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</si>
  <si>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</si>
  <si>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</si>
  <si>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</si>
  <si>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</si>
  <si>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</si>
  <si>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</si>
  <si>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</si>
  <si>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</si>
  <si>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</si>
  <si>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</si>
  <si>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</si>
  <si>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</si>
  <si>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</si>
  <si>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(https://www.morganstanley.com/assets/pdfs/about-us-global-offices/india/Research_Audit_Report.pdf).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</si>
  <si>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</si>
  <si>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</si>
  <si>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</si>
  <si>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</si>
  <si>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</si>
  <si>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</si>
  <si>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</si>
  <si>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</si>
  <si>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</si>
  <si>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</si>
  <si>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</si>
  <si>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</si>
  <si>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</si>
  <si>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</si>
  <si>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</si>
  <si>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</si>
  <si>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</si>
  <si>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</si>
  <si>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</si>
  <si>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</si>
  <si>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</si>
  <si>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</si>
  <si>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</si>
  <si>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</si>
  <si>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</si>
  <si>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</si>
  <si>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</si>
  <si>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</si>
  <si>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</si>
  <si>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</si>
  <si>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</si>
  <si>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</si>
  <si>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</si>
  <si>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</si>
  <si>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</si>
  <si>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</si>
  <si>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</si>
  <si>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</si>
  <si>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</si>
  <si>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</si>
  <si>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</si>
  <si>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</si>
  <si>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</si>
  <si>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</si>
  <si>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</si>
  <si>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</si>
  <si>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</si>
  <si>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</si>
  <si>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</si>
  <si>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</si>
  <si>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</si>
  <si>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</si>
  <si>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</si>
  <si>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</si>
  <si>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</si>
  <si>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</si>
  <si>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</si>
  <si>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</si>
  <si>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Certain information in Morgan Stanley Research was sourced by employees of the Shanghai Representative</t>
  </si>
  <si>
    <t>Office of Morgan Stanley Asia Limited for the use of Morgan Stanley Asia Limited.</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</si>
  <si>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</si>
  <si>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</si>
  <si>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</si>
  <si>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</si>
  <si>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</si>
  <si>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</si>
  <si>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</si>
  <si>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</si>
  <si>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</si>
  <si>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</si>
  <si>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</si>
  <si>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</si>
  <si>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</si>
  <si>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</si>
  <si>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</si>
  <si>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</si>
  <si>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</si>
  <si>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</si>
  <si>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</si>
  <si>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</si>
  <si>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</si>
  <si>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</si>
  <si>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</si>
  <si>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</si>
  <si>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</si>
  <si>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</si>
  <si>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</si>
  <si>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</si>
  <si>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</si>
  <si>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</si>
  <si>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</si>
  <si>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</si>
  <si>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</si>
  <si>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</si>
  <si>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</si>
  <si>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</si>
  <si>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</si>
  <si>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</si>
  <si>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</si>
  <si>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</si>
  <si>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</si>
  <si>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</si>
  <si>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</si>
  <si>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</si>
  <si>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</si>
  <si>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</si>
  <si>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</si>
  <si>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</si>
  <si>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</si>
  <si>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</si>
  <si>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</si>
  <si>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</si>
  <si>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</si>
  <si>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</si>
  <si>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</si>
  <si>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</si>
  <si>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</si>
  <si>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</si>
  <si>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</si>
  <si>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</si>
  <si>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</si>
  <si>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</si>
  <si>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</si>
  <si>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</si>
  <si>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</si>
  <si>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</si>
  <si>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</si>
  <si>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</si>
  <si>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</si>
  <si>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</si>
  <si>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</si>
  <si>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</si>
  <si>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</si>
  <si>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</si>
  <si>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</si>
  <si>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</si>
  <si>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</si>
  <si>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</si>
  <si>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</si>
  <si>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</si>
  <si>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</si>
  <si>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</si>
  <si>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</si>
  <si>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</si>
  <si>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</si>
  <si>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</si>
  <si>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</si>
  <si>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</si>
  <si>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</si>
  <si>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</si>
  <si>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2025 Morgan Stanley</t>
  </si>
  <si>
    <t>MacroVersion</t>
  </si>
  <si>
    <t>6.10</t>
  </si>
  <si>
    <t>PublishDate</t>
  </si>
  <si>
    <t>10/30/25 08:35</t>
  </si>
  <si>
    <t>Discipline</t>
  </si>
  <si>
    <t>Research</t>
  </si>
  <si>
    <t>ResearchTopic</t>
  </si>
  <si>
    <t>Company</t>
  </si>
  <si>
    <t>DocType</t>
  </si>
  <si>
    <t>Model</t>
  </si>
  <si>
    <t>SubjectCode</t>
  </si>
  <si>
    <t>Description</t>
  </si>
  <si>
    <t>KeepVersions</t>
  </si>
  <si>
    <t>Rating</t>
  </si>
  <si>
    <t>Overweight / In-Line</t>
  </si>
  <si>
    <t>CurrYearTotalRevenue*</t>
  </si>
  <si>
    <t>CurrYearEPS*</t>
  </si>
  <si>
    <t>NextYearTotalRevenue*</t>
  </si>
  <si>
    <t>NextYearEPS*</t>
  </si>
  <si>
    <t>FollowingYearTotalRevenue*</t>
  </si>
  <si>
    <t>FollowingYearEPS*</t>
  </si>
  <si>
    <t>5YearGrowthRate</t>
  </si>
  <si>
    <t>UpdateReason</t>
  </si>
  <si>
    <t>Regular Update</t>
  </si>
  <si>
    <t>Authors</t>
  </si>
  <si>
    <t>MSA13022</t>
  </si>
  <si>
    <t>Tickers</t>
  </si>
  <si>
    <t>CUSIP</t>
  </si>
  <si>
    <t>RIC</t>
  </si>
  <si>
    <t>SEDOL</t>
  </si>
  <si>
    <t>B0MBNC3</t>
  </si>
  <si>
    <t>Current Stock Price</t>
  </si>
  <si>
    <t>37.35</t>
  </si>
  <si>
    <t>Currency</t>
  </si>
  <si>
    <t>PathName</t>
  </si>
  <si>
    <t>L:\USERS\Insurance\Company\AUB\Published Model\AUB MODEL 2025OCT30 What Is Proper Value For Multiple Growth Drivers.xlsm</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</si>
  <si>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</si>
  <si>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</si>
  <si>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</si>
  <si>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</si>
  <si>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</si>
  <si>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</si>
  <si>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</si>
  <si>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</si>
  <si>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</si>
  <si>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</si>
  <si>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</si>
  <si>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</si>
  <si>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</si>
  <si>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</si>
  <si>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AsiaPacific</t>
  </si>
  <si>
    <t>ObjectType</t>
  </si>
  <si>
    <t>excel</t>
  </si>
  <si>
    <t>LanguageCode</t>
  </si>
  <si>
    <t>en-US</t>
  </si>
  <si>
    <t>SubmitterUserId</t>
  </si>
  <si>
    <t>bounpras</t>
  </si>
  <si>
    <t>IndustryId</t>
  </si>
  <si>
    <t>1900000850</t>
  </si>
  <si>
    <t>TickerRegion</t>
  </si>
  <si>
    <t>5</t>
  </si>
  <si>
    <t>AdditionalInstructions</t>
  </si>
  <si>
    <t>*Estimated</t>
  </si>
  <si>
    <t>OwnerTeam</t>
  </si>
  <si>
    <t>I888888909</t>
  </si>
  <si>
    <t>[BRO MSA]</t>
  </si>
  <si>
    <t>[DOCDAT 2025-10-30]</t>
  </si>
  <si>
    <t>[DOCTIME 08:35]</t>
  </si>
  <si>
    <t>[PSYM AUB.AX(Reuters) (None)]</t>
  </si>
  <si>
    <t>[COU Australia]</t>
  </si>
  <si>
    <t>[PRODUCT MODEL]</t>
  </si>
  <si>
    <t>[ANA ]</t>
  </si>
  <si>
    <t>[HL AUB.AX Model]</t>
  </si>
  <si>
    <t>[IND Financial Services]</t>
  </si>
  <si>
    <t>[EMAIL_ALERT YES]</t>
  </si>
  <si>
    <t>[PANA  MSA13022]</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</si>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</sst>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8" formatCode="&quot;$&quot;#,##0.00_);[Red]\(&quot;$&quot;#,##0.00\)"/>
    <numFmt numFmtId="164" formatCode="&quot;$&quot;#,##0.00_);[Red]\(&quot;$&quot;#,##0.00\)"/>
    <numFmt numFmtId="165" formatCode="_(&quot;$&quot;* #,##0.00_);_(&quot;$&quot;* \(#,##0.00\);_(&quot;$&quot;* &quot;-&quot;??_);_(@_)"/>
    <numFmt numFmtId="166" formatCode="_(* #,##0.00_);_(* \(#,##0.00\);_(* &quot;-&quot;??_);_(@_)"/>
    <numFmt numFmtId="167" formatCode="_ * #,##0_ ;_ * \-#,##0_ ;_ * &quot;-&quot;_ ;_ @_ "/>
    <numFmt numFmtId="168" formatCode="_ * #,##0.00_ ;_ * \-#,##0.00_ ;_ * &quot;-&quot;??_ ;_ @_ "/>
    <numFmt numFmtId="169" formatCode="0.0%"/>
    <numFmt numFmtId="170" formatCode="0.000"/>
    <numFmt numFmtId="171" formatCode="#,##0.0"/>
    <numFmt numFmtId="172" formatCode="0.0"/>
    <numFmt numFmtId="173" formatCode="#,##0.000"/>
    <numFmt numFmtId="174" formatCode="0.000%"/>
    <numFmt numFmtId="175" formatCode="0;\(0\)"/>
    <numFmt numFmtId="176" formatCode="#,##0;\(#,##0\)"/>
    <numFmt numFmtId="177" formatCode="[$$-C09]#,##0.00"/>
    <numFmt numFmtId="178" formatCode="0.00;\(0.00\)"/>
    <numFmt numFmtId="179" formatCode="0.0;\(0.0\)"/>
    <numFmt numFmtId="180" formatCode="_(* #,##0_);_(* \(#,##0\);_(* &quot;-&quot;??_);_(@_)"/>
    <numFmt numFmtId="181" formatCode="0_)"/>
    <numFmt numFmtId="182" formatCode="_(* #,##0.0_);_(* \(#,##0.0\);_(* &quot;-&quot;??_);_(@_)"/>
    <numFmt numFmtId="183" formatCode="&quot;$&quot;#,##0.0;\(&quot;$&quot;#,##0.0\)"/>
    <numFmt numFmtId="184" formatCode="#,##0.0;\(###0.0\)"/>
    <numFmt numFmtId="185" formatCode="#,##0.0;\(#,##0.0\)"/>
    <numFmt numFmtId="186" formatCode="_-[$€-2]* #,##0.00_-;\-[$€-2]* #,##0.00_-;_-[$€-2]* &quot;-&quot;??_-"/>
    <numFmt numFmtId="191" formatCode="#,##0.0000"/>
    <numFmt numFmtId="192" formatCode="0.0\x;\-0.0\x;\-\ \x"/>
    <numFmt numFmtId="193" formatCode="0.0\x"/>
    <numFmt numFmtId="194" formatCode="#,##0.00\x"/>
    <numFmt numFmtId="195" formatCode="#,##0;\-#,##0;0"/>
  </numFmts>
  <fonts count="175">
    <font>
      <sz val="11"/>
      <color rgb="FF000000"/>
      <name val="Calibri"/>
      <family val="2"/>
      <scheme val="minor"/>
    </font>
    <font>
      <sz val="11"/>
      <color indexed="8"/>
      <name val="Calibri"/>
      <family val="2"/>
    </font>
    <font>
      <sz val="9"/>
      <color indexed="81"/>
      <name val="Tahoma"/>
      <family val="2"/>
    </font>
    <font>
      <b/>
      <sz val="9"/>
      <color indexed="81"/>
      <name val="Tahoma"/>
      <family val="2"/>
    </font>
    <font>
      <sz val="10"/>
      <name val="Arial narrow"/>
      <family val="2"/>
    </font>
    <font>
      <sz val="11"/>
      <color indexed="8"/>
      <name val="Calibri"/>
      <family val="2"/>
    </font>
    <font>
      <sz val="8"/>
      <name val="Calibri"/>
      <family val="2"/>
    </font>
    <font>
      <sz val="10"/>
      <name val="Arial"/>
      <family val="2"/>
    </font>
    <font>
      <sz val="10"/>
      <name val="Arial"/>
      <family val="2"/>
    </font>
    <font>
      <sz val="10"/>
      <name val="MS Sans Serif"/>
      <family val="2"/>
    </font>
    <font>
      <sz val="10"/>
      <name val="MS Sans Serif"/>
      <family val="2"/>
    </font>
    <font>
      <b/>
      <sz val="10"/>
      <color indexed="8"/>
      <name val="Times New Roman"/>
      <family val="1"/>
    </font>
    <font>
      <u/>
      <sz val="10"/>
      <color indexed="12"/>
      <name val="Arial"/>
      <family val="2"/>
    </font>
    <font>
      <sz val="9"/>
      <name val="Times New Roman"/>
      <family val="1"/>
    </font>
    <font>
      <sz val="10"/>
      <color indexed="8"/>
      <name val="Times New Roman"/>
      <family val="1"/>
    </font>
    <font>
      <i/>
      <sz val="8"/>
      <name val="Times New Roman"/>
      <family val="1"/>
    </font>
    <font>
      <sz val="8"/>
      <name val="Arial"/>
      <family val="2"/>
    </font>
    <font>
      <sz val="10"/>
      <name val="Arial"/>
      <family val="2"/>
    </font>
    <font>
      <sz val="12"/>
      <name val="바탕체"/>
      <family val="1"/>
      <charset val="129"/>
    </font>
    <font>
      <sz val="10"/>
      <name val="Arial"/>
      <family val="2"/>
    </font>
    <font>
      <sz val="10"/>
      <name val="Arial"/>
      <family val="2"/>
    </font>
    <font>
      <sz val="10"/>
      <name val="Arial"/>
      <family val="2"/>
    </font>
    <font>
      <sz val="10"/>
      <name val="Helv"/>
      <charset val="204"/>
    </font>
    <font>
      <sz val="12"/>
      <name val="바탕체"/>
      <family val="3"/>
    </font>
    <font>
      <sz val="11"/>
      <color theme="1"/>
      <name val="Calibri"/>
      <family val="2"/>
      <scheme val="minor"/>
    </font>
    <font>
      <sz val="11"/>
      <color theme="0"/>
      <name val="Calibri"/>
      <family val="2"/>
      <scheme val="minor"/>
    </font>
    <font>
      <b/>
      <sz val="11"/>
      <color theme="0"/>
      <name val="Calibri"/>
      <family val="2"/>
      <scheme val="minor"/>
    </font>
    <font>
      <u/>
      <sz val="10"/>
      <color theme="10"/>
      <name val="Arial"/>
      <family val="2"/>
    </font>
    <font>
      <u/>
      <sz val="11"/>
      <color theme="10"/>
      <name val="Calibri"/>
      <family val="2"/>
      <scheme val="minor"/>
    </font>
    <font>
      <b/>
      <sz val="11"/>
      <color theme="1"/>
      <name val="Calibri"/>
      <family val="2"/>
      <scheme val="minor"/>
    </font>
    <font>
      <b/>
      <sz val="10"/>
      <color indexed="17"/>
      <name val="Calibri"/>
      <family val="2"/>
      <scheme val="minor"/>
    </font>
    <font>
      <b/>
      <sz val="10"/>
      <name val="Calibri"/>
      <family val="2"/>
      <scheme val="minor"/>
    </font>
    <font>
      <sz val="10"/>
      <name val="Calibri"/>
      <family val="2"/>
      <scheme val="minor"/>
    </font>
    <font>
      <sz val="10"/>
      <color indexed="20"/>
      <name val="Calibri"/>
      <family val="2"/>
      <scheme val="minor"/>
    </font>
    <font>
      <b/>
      <sz val="14"/>
      <name val="Calibri"/>
      <family val="2"/>
      <scheme val="minor"/>
    </font>
    <font>
      <sz val="10"/>
      <color indexed="10"/>
      <name val="Calibri"/>
      <family val="2"/>
      <scheme val="minor"/>
    </font>
    <font>
      <b/>
      <sz val="10"/>
      <color indexed="12"/>
      <name val="Calibri"/>
      <family val="2"/>
      <scheme val="minor"/>
    </font>
    <font>
      <b/>
      <sz val="12"/>
      <name val="Calibri"/>
      <family val="2"/>
      <scheme val="minor"/>
    </font>
    <font>
      <sz val="9"/>
      <name val="Calibri"/>
      <family val="2"/>
      <scheme val="minor"/>
    </font>
    <font>
      <u/>
      <sz val="10"/>
      <color indexed="12"/>
      <name val="Calibri"/>
      <family val="2"/>
      <scheme val="minor"/>
    </font>
    <font>
      <b/>
      <sz val="10"/>
      <color indexed="20"/>
      <name val="Calibri"/>
      <family val="2"/>
      <scheme val="minor"/>
    </font>
    <font>
      <b/>
      <sz val="12"/>
      <color indexed="9"/>
      <name val="Calibri"/>
      <family val="2"/>
      <scheme val="minor"/>
    </font>
    <font>
      <sz val="11"/>
      <color indexed="12"/>
      <name val="Calibri"/>
      <family val="2"/>
      <scheme val="minor"/>
    </font>
    <font>
      <b/>
      <sz val="11"/>
      <color indexed="20"/>
      <name val="Calibri"/>
      <family val="2"/>
      <scheme val="minor"/>
    </font>
    <font>
      <b/>
      <sz val="11"/>
      <color indexed="8"/>
      <name val="Calibri"/>
      <family val="2"/>
      <scheme val="minor"/>
    </font>
    <font>
      <b/>
      <sz val="11"/>
      <color indexed="12"/>
      <name val="Calibri"/>
      <family val="2"/>
      <scheme val="minor"/>
    </font>
    <font>
      <b/>
      <sz val="11"/>
      <name val="Calibri"/>
      <family val="2"/>
      <scheme val="minor"/>
    </font>
    <font>
      <sz val="11"/>
      <name val="Calibri"/>
      <family val="2"/>
      <scheme val="minor"/>
    </font>
    <font>
      <sz val="11"/>
      <color indexed="8"/>
      <name val="Calibri"/>
      <family val="2"/>
      <scheme val="minor"/>
    </font>
    <font>
      <b/>
      <sz val="11"/>
      <color indexed="9"/>
      <name val="Calibri"/>
      <family val="2"/>
      <scheme val="minor"/>
    </font>
    <font>
      <sz val="11"/>
      <color indexed="9"/>
      <name val="Calibri"/>
      <family val="2"/>
      <scheme val="minor"/>
    </font>
    <font>
      <sz val="11"/>
      <color indexed="10"/>
      <name val="Calibri"/>
      <family val="2"/>
      <scheme val="minor"/>
    </font>
    <font>
      <sz val="10"/>
      <color theme="1"/>
      <name val="Calibri"/>
      <family val="2"/>
      <scheme val="minor"/>
    </font>
    <font>
      <b/>
      <sz val="10"/>
      <color theme="0"/>
      <name val="Calibri"/>
      <family val="2"/>
      <scheme val="minor"/>
    </font>
    <font>
      <b/>
      <u/>
      <sz val="10"/>
      <color theme="1"/>
      <name val="Calibri"/>
      <family val="2"/>
      <scheme val="minor"/>
    </font>
    <font>
      <b/>
      <sz val="10"/>
      <color theme="1"/>
      <name val="Calibri"/>
      <family val="2"/>
      <scheme val="minor"/>
    </font>
    <font>
      <b/>
      <sz val="9"/>
      <color rgb="FF0000FF"/>
      <name val="Calibri"/>
      <family val="2"/>
      <scheme val="minor"/>
    </font>
    <font>
      <sz val="10"/>
      <color theme="1"/>
      <name val="Arial"/>
      <family val="2"/>
    </font>
    <font>
      <b/>
      <u/>
      <sz val="11"/>
      <color indexed="12"/>
      <name val="Calibri"/>
      <family val="2"/>
      <scheme val="minor"/>
    </font>
    <font>
      <sz val="8"/>
      <name val="Calibri"/>
      <family val="2"/>
      <scheme val="minor"/>
    </font>
    <font>
      <b/>
      <sz val="8"/>
      <name val="Calibri"/>
      <family val="2"/>
      <scheme val="minor"/>
    </font>
    <font>
      <sz val="10"/>
      <color indexed="8"/>
      <name val="Calibri"/>
      <family val="2"/>
      <scheme val="minor"/>
    </font>
    <font>
      <b/>
      <sz val="10"/>
      <color indexed="8"/>
      <name val="Calibri"/>
      <family val="2"/>
      <scheme val="minor"/>
    </font>
    <font>
      <b/>
      <sz val="9"/>
      <color indexed="8"/>
      <name val="Calibri"/>
      <family val="2"/>
      <scheme val="minor"/>
    </font>
    <font>
      <b/>
      <sz val="10"/>
      <color rgb="FFFF0000"/>
      <name val="Calibri"/>
      <family val="2"/>
      <scheme val="minor"/>
    </font>
    <font>
      <sz val="10"/>
      <color rgb="FFFF0000"/>
      <name val="Calibri"/>
      <family val="2"/>
      <scheme val="minor"/>
    </font>
    <font>
      <b/>
      <sz val="10"/>
      <color indexed="10"/>
      <name val="Calibri"/>
      <family val="2"/>
      <scheme val="minor"/>
    </font>
    <font>
      <sz val="10"/>
      <color indexed="17"/>
      <name val="Calibri"/>
      <family val="2"/>
      <scheme val="minor"/>
    </font>
    <font>
      <b/>
      <i/>
      <sz val="10"/>
      <color indexed="8"/>
      <name val="Calibri"/>
      <family val="2"/>
      <scheme val="minor"/>
    </font>
    <font>
      <b/>
      <u/>
      <sz val="10"/>
      <color indexed="8"/>
      <name val="Calibri"/>
      <family val="2"/>
      <scheme val="minor"/>
    </font>
    <font>
      <sz val="10"/>
      <color indexed="12"/>
      <name val="Calibri"/>
      <family val="2"/>
      <scheme val="minor"/>
    </font>
    <font>
      <b/>
      <sz val="10"/>
      <color rgb="FF0000FF"/>
      <name val="Calibri"/>
      <family val="2"/>
      <scheme val="minor"/>
    </font>
    <font>
      <sz val="10"/>
      <color indexed="62"/>
      <name val="Calibri"/>
      <family val="2"/>
      <scheme val="minor"/>
    </font>
    <font>
      <sz val="10"/>
      <color rgb="FF0000FF"/>
      <name val="Calibri"/>
      <family val="2"/>
      <scheme val="minor"/>
    </font>
    <font>
      <i/>
      <sz val="10"/>
      <color indexed="8"/>
      <name val="Calibri"/>
      <family val="2"/>
      <scheme val="minor"/>
    </font>
    <font>
      <i/>
      <sz val="10"/>
      <color rgb="FFFF0000"/>
      <name val="Calibri"/>
      <family val="2"/>
      <scheme val="minor"/>
    </font>
    <font>
      <i/>
      <sz val="10"/>
      <color indexed="17"/>
      <name val="Calibri"/>
      <family val="2"/>
      <scheme val="minor"/>
    </font>
    <font>
      <sz val="10"/>
      <color theme="0"/>
      <name val="Calibri"/>
      <family val="2"/>
      <scheme val="minor"/>
    </font>
    <font>
      <sz val="9"/>
      <color indexed="17"/>
      <name val="Calibri"/>
      <family val="2"/>
      <scheme val="minor"/>
    </font>
    <font>
      <b/>
      <sz val="9"/>
      <color indexed="17"/>
      <name val="Calibri"/>
      <family val="2"/>
      <scheme val="minor"/>
    </font>
    <font>
      <sz val="9"/>
      <color indexed="12"/>
      <name val="Calibri"/>
      <family val="2"/>
      <scheme val="minor"/>
    </font>
    <font>
      <i/>
      <sz val="10"/>
      <name val="Calibri"/>
      <family val="2"/>
      <scheme val="minor"/>
    </font>
    <font>
      <b/>
      <sz val="12"/>
      <color rgb="FFFF0000"/>
      <name val="Calibri"/>
      <family val="2"/>
      <scheme val="minor"/>
    </font>
    <font>
      <b/>
      <u/>
      <sz val="10"/>
      <color theme="0"/>
      <name val="Calibri"/>
      <family val="2"/>
      <scheme val="minor"/>
    </font>
    <font>
      <sz val="10"/>
      <name val="Arial"/>
      <family val="2"/>
    </font>
    <font>
      <sz val="8"/>
      <name val="Tms Rmn"/>
    </font>
    <font>
      <u/>
      <sz val="8"/>
      <name val="Tms Rmn"/>
    </font>
    <font>
      <sz val="10"/>
      <name val="Times New Roman"/>
      <family val="1"/>
    </font>
    <font>
      <sz val="8"/>
      <color indexed="8"/>
      <name val="Arial"/>
      <family val="2"/>
    </font>
    <font>
      <sz val="12"/>
      <name val="Times New Roman"/>
      <family val="1"/>
    </font>
    <font>
      <sz val="10"/>
      <name val="Helvetica"/>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12"/>
      <name val="Times New Roman"/>
      <family val="1"/>
    </font>
    <font>
      <sz val="10"/>
      <name val="Segoe UI"/>
      <family val="2"/>
    </font>
    <font>
      <sz val="10"/>
      <color indexed="4"/>
      <name val="Segoe UI"/>
      <family val="2"/>
    </font>
    <font>
      <b/>
      <sz val="10"/>
      <color indexed="0"/>
      <name val="Segoe UI"/>
      <family val="2"/>
    </font>
    <font>
      <sz val="10"/>
      <color indexed="2"/>
      <name val="Segoe UI"/>
      <family val="2"/>
    </font>
    <font>
      <b/>
      <i/>
      <sz val="10"/>
      <color indexed="4"/>
      <name val="Segoe UI"/>
      <family val="2"/>
    </font>
    <font>
      <u/>
      <sz val="10"/>
      <color indexed="12"/>
      <name val="Times New Roman"/>
      <family val="1"/>
    </font>
    <font>
      <sz val="10"/>
      <color theme="1"/>
      <name val="Calibri"/>
      <family val="2"/>
    </font>
    <font>
      <b/>
      <sz val="16"/>
      <color indexed="8"/>
      <name val="Calibri"/>
      <family val="2"/>
      <scheme val="minor"/>
    </font>
    <font>
      <sz val="10"/>
      <name val="Arial"/>
      <family val="2"/>
    </font>
    <font>
      <b/>
      <sz val="12"/>
      <color indexed="12"/>
      <name val="Calibri"/>
      <family val="2"/>
      <scheme val="minor"/>
    </font>
    <font>
      <b/>
      <u/>
      <sz val="11"/>
      <name val="Calibri"/>
      <family val="2"/>
      <scheme val="minor"/>
    </font>
    <font>
      <b/>
      <sz val="18"/>
      <name val="Calibri"/>
      <family val="2"/>
      <scheme val="minor"/>
    </font>
    <font>
      <u/>
      <sz val="12"/>
      <color indexed="12"/>
      <name val="Calibri"/>
      <family val="2"/>
      <scheme val="minor"/>
    </font>
    <font>
      <sz val="11"/>
      <color theme="1"/>
      <name val="Arial"/>
      <family val="2"/>
    </font>
    <font>
      <sz val="10"/>
      <color rgb="FF000000"/>
      <name val="Arial"/>
      <family val="2"/>
    </font>
    <font>
      <b/>
      <sz val="10"/>
      <color indexed="8"/>
      <name val="Arial"/>
      <family val="2"/>
    </font>
    <font>
      <u/>
      <sz val="10"/>
      <color theme="1"/>
      <name val="Calibri"/>
      <family val="2"/>
      <scheme val="minor"/>
    </font>
    <font>
      <b/>
      <sz val="16"/>
      <color theme="0"/>
      <name val="Calibri"/>
      <family val="2"/>
      <scheme val="minor"/>
    </font>
    <font>
      <u/>
      <sz val="10"/>
      <color indexed="8"/>
      <name val="Calibri"/>
      <family val="2"/>
      <scheme val="minor"/>
    </font>
    <font>
      <i/>
      <sz val="10"/>
      <color indexed="12"/>
      <name val="Calibri"/>
      <family val="2"/>
      <scheme val="minor"/>
    </font>
    <font>
      <sz val="11"/>
      <color rgb="FF000000"/>
      <name val="Calibri"/>
      <family val="2"/>
    </font>
    <font>
      <b/>
      <u/>
      <sz val="11"/>
      <color theme="1"/>
      <name val="Calibri"/>
      <family val="2"/>
      <scheme val="minor"/>
    </font>
    <font>
      <b/>
      <sz val="14"/>
      <color theme="0"/>
      <name val="Calibri"/>
      <family val="2"/>
      <scheme val="minor"/>
    </font>
    <font>
      <b/>
      <sz val="12"/>
      <color indexed="8"/>
      <name val="Calibri"/>
      <family val="2"/>
      <scheme val="minor"/>
    </font>
    <font>
      <b/>
      <i/>
      <sz val="10"/>
      <color rgb="FFFF0000"/>
      <name val="Calibri"/>
      <family val="2"/>
      <scheme val="minor"/>
    </font>
    <font>
      <b/>
      <sz val="9"/>
      <color rgb="FFFF0000"/>
      <name val="Calibri"/>
      <family val="2"/>
      <scheme val="minor"/>
    </font>
    <font>
      <b/>
      <u/>
      <sz val="12"/>
      <color indexed="8"/>
      <name val="Calibri"/>
      <family val="2"/>
      <scheme val="minor"/>
    </font>
    <font>
      <b/>
      <i/>
      <sz val="10"/>
      <name val="Calibri"/>
      <family val="2"/>
      <scheme val="minor"/>
    </font>
    <font>
      <sz val="10"/>
      <color rgb="FF7030A0"/>
      <name val="Calibri"/>
      <family val="2"/>
      <scheme val="minor"/>
    </font>
    <font>
      <b/>
      <i/>
      <sz val="10"/>
      <color indexed="10"/>
      <name val="Calibri"/>
      <family val="2"/>
      <scheme val="minor"/>
    </font>
    <font>
      <b/>
      <i/>
      <sz val="10"/>
      <color indexed="20"/>
      <name val="Calibri"/>
      <family val="2"/>
      <scheme val="minor"/>
    </font>
    <font>
      <i/>
      <sz val="10"/>
      <color rgb="FF7030A0"/>
      <name val="Calibri"/>
      <family val="2"/>
      <scheme val="minor"/>
    </font>
    <font>
      <b/>
      <i/>
      <sz val="10"/>
      <color rgb="FF7030A0"/>
      <name val="Calibri"/>
      <family val="2"/>
      <scheme val="minor"/>
    </font>
    <font>
      <b/>
      <sz val="10"/>
      <color indexed="62"/>
      <name val="Calibri"/>
      <family val="2"/>
      <scheme val="minor"/>
    </font>
    <font>
      <i/>
      <sz val="10"/>
      <color indexed="20"/>
      <name val="Calibri"/>
      <family val="2"/>
      <scheme val="minor"/>
    </font>
    <font>
      <b/>
      <u/>
      <sz val="11"/>
      <color indexed="8"/>
      <name val="Calibri"/>
      <family val="2"/>
      <scheme val="minor"/>
    </font>
    <font>
      <i/>
      <sz val="10"/>
      <color indexed="10"/>
      <name val="Calibri"/>
      <family val="2"/>
      <scheme val="minor"/>
    </font>
    <font>
      <i/>
      <sz val="10"/>
      <color rgb="FF0000FF"/>
      <name val="Calibri"/>
      <family val="2"/>
      <scheme val="minor"/>
    </font>
    <font>
      <sz val="8"/>
      <color indexed="8"/>
      <name val="Calibri"/>
      <family val="2"/>
      <scheme val="minor"/>
    </font>
    <font>
      <b/>
      <sz val="8"/>
      <color indexed="17"/>
      <name val="Calibri"/>
      <family val="2"/>
      <scheme val="minor"/>
    </font>
    <font>
      <sz val="8"/>
      <color indexed="17"/>
      <name val="Calibri"/>
      <family val="2"/>
      <scheme val="minor"/>
    </font>
    <font>
      <b/>
      <sz val="8"/>
      <color indexed="8"/>
      <name val="Calibri"/>
      <family val="2"/>
      <scheme val="minor"/>
    </font>
    <font>
      <b/>
      <sz val="12"/>
      <color theme="0"/>
      <name val="Calibri"/>
      <family val="2"/>
      <scheme val="minor"/>
    </font>
    <font>
      <sz val="11"/>
      <color rgb="FF0000FF"/>
      <name val="Calibri"/>
      <family val="2"/>
      <scheme val="minor"/>
    </font>
    <font>
      <sz val="11"/>
      <color indexed="17"/>
      <name val="Calibri"/>
      <family val="2"/>
      <scheme val="minor"/>
    </font>
    <font>
      <i/>
      <sz val="11"/>
      <color theme="1"/>
      <name val="Calibri"/>
      <family val="2"/>
      <scheme val="minor"/>
    </font>
    <font>
      <b/>
      <sz val="12"/>
      <color indexed="17"/>
      <name val="Calibri"/>
      <family val="2"/>
      <scheme val="minor"/>
    </font>
    <font>
      <b/>
      <i/>
      <sz val="10"/>
      <color indexed="17"/>
      <name val="Calibri"/>
      <family val="2"/>
      <scheme val="minor"/>
    </font>
    <font>
      <b/>
      <sz val="11"/>
      <color rgb="FF7030A0"/>
      <name val="Calibri"/>
      <family val="2"/>
      <scheme val="minor"/>
    </font>
    <font>
      <sz val="11"/>
      <color rgb="FFFF0000"/>
      <name val="Calibri"/>
      <family val="2"/>
      <scheme val="minor"/>
    </font>
    <font>
      <i/>
      <sz val="12"/>
      <color indexed="17"/>
      <name val="Calibri"/>
      <family val="2"/>
      <scheme val="minor"/>
    </font>
    <font>
      <b/>
      <sz val="11"/>
      <color theme="7"/>
      <name val="Calibri"/>
      <family val="2"/>
      <scheme val="minor"/>
    </font>
    <font>
      <b/>
      <sz val="11"/>
      <color indexed="17"/>
      <name val="Calibri"/>
      <family val="2"/>
      <scheme val="minor"/>
    </font>
    <font>
      <b/>
      <i/>
      <sz val="11"/>
      <color theme="1"/>
      <name val="Calibri"/>
      <family val="2"/>
      <scheme val="minor"/>
    </font>
    <font>
      <sz val="11"/>
      <color theme="3"/>
      <name val="Calibri"/>
      <family val="2"/>
      <scheme val="minor"/>
    </font>
    <font>
      <sz val="10"/>
      <color theme="3"/>
      <name val="Calibri"/>
      <family val="2"/>
      <scheme val="minor"/>
    </font>
    <font>
      <b/>
      <sz val="11"/>
      <color rgb="FFFF0000"/>
      <name val="Arial"/>
      <family val="2"/>
    </font>
    <font>
      <b/>
      <sz val="12"/>
      <color theme="1"/>
      <name val="Calibri"/>
      <family val="2"/>
      <scheme val="minor"/>
    </font>
    <font>
      <b/>
      <i/>
      <sz val="12"/>
      <color theme="1"/>
      <name val="Calibri"/>
      <family val="2"/>
      <scheme val="minor"/>
    </font>
    <font>
      <b/>
      <sz val="10"/>
      <color rgb="FF00B050"/>
      <name val="Calibri"/>
      <family val="2"/>
      <scheme val="minor"/>
    </font>
    <font>
      <b/>
      <u/>
      <sz val="10"/>
      <color rgb="FF00B050"/>
      <name val="Calibri"/>
      <family val="2"/>
      <scheme val="minor"/>
    </font>
    <font>
      <b/>
      <i/>
      <sz val="10"/>
      <color indexed="12"/>
      <name val="Calibri"/>
      <family val="2"/>
      <scheme val="minor"/>
    </font>
    <font>
      <b/>
      <sz val="10"/>
      <color rgb="FF660066"/>
      <name val="Calibri"/>
      <family val="2"/>
      <scheme val="minor"/>
    </font>
    <font>
      <i/>
      <sz val="10"/>
      <color rgb="FF000000"/>
      <name val="Arial"/>
      <family val="2"/>
    </font>
    <font>
      <b/>
      <sz val="12"/>
      <color rgb="FF000080"/>
      <name val="Arial"/>
      <family val="2"/>
    </font>
    <font>
      <sz val="14"/>
      <color rgb="FF000000"/>
      <name val="Arial"/>
      <family val="2"/>
    </font>
    <font>
      <b/>
      <u/>
      <sz val="14"/>
      <color rgb="FFFF0000"/>
      <name val="Arial"/>
      <family val="2"/>
    </font>
  </fonts>
  <fills count="45">
    <fill>
      <patternFill patternType="none"/>
    </fill>
    <fill>
      <patternFill patternType="gray125"/>
    </fill>
    <fill>
      <patternFill patternType="solid">
        <fgColor indexed="43"/>
        <bgColor indexed="64"/>
      </patternFill>
    </fill>
    <fill>
      <patternFill patternType="solid">
        <fgColor indexed="18"/>
        <bgColor indexed="64"/>
      </patternFill>
    </fill>
    <fill>
      <patternFill patternType="solid">
        <fgColor indexed="45"/>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002060"/>
        <bgColor indexed="64"/>
      </patternFill>
    </fill>
    <fill>
      <patternFill patternType="solid">
        <fgColor rgb="FF005AA4"/>
        <bgColor indexed="64"/>
      </patternFill>
    </fill>
    <fill>
      <patternFill patternType="solid">
        <fgColor theme="4"/>
        <bgColor indexed="64"/>
      </patternFill>
    </fill>
    <fill>
      <patternFill patternType="solid">
        <fgColor rgb="FF00A1E2"/>
        <bgColor indexed="64"/>
      </patternFill>
    </fill>
    <fill>
      <patternFill patternType="solid">
        <fgColor rgb="FFFFCCFF"/>
        <bgColor indexed="64"/>
      </patternFill>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8"/>
      </patternFill>
    </fill>
    <fill>
      <patternFill patternType="solid">
        <fgColor indexed="42"/>
      </patternFill>
    </fill>
    <fill>
      <patternFill patternType="solid">
        <fgColor indexed="26"/>
        <bgColor indexed="64"/>
      </patternFill>
    </fill>
    <fill>
      <patternFill patternType="solid">
        <fgColor rgb="FFFFFFCC"/>
        <bgColor indexed="64"/>
      </patternFill>
    </fill>
    <fill>
      <patternFill patternType="solid">
        <fgColor rgb="FFCCFFFF"/>
        <bgColor indexed="64"/>
      </patternFill>
    </fill>
    <fill>
      <patternFill patternType="solid">
        <fgColor theme="0" tint="-4.9989318521683403E-2"/>
        <bgColor indexed="64"/>
      </patternFill>
    </fill>
    <fill>
      <patternFill patternType="solid">
        <fgColor rgb="FF226B5A"/>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E2F6F1"/>
        <bgColor indexed="64"/>
      </patternFill>
    </fill>
    <fill>
      <patternFill patternType="solid">
        <fgColor theme="1"/>
        <bgColor indexed="64"/>
      </patternFill>
    </fill>
    <fill>
      <patternFill patternType="solid">
        <fgColor theme="3"/>
        <bgColor indexed="64"/>
      </patternFill>
    </fill>
    <fill>
      <patternFill patternType="solid">
        <fgColor theme="7" tint="0.79998168889431442"/>
        <bgColor indexed="64"/>
      </patternFill>
    </fill>
    <fill>
      <patternFill patternType="solid">
        <fgColor rgb="FFFFFF99"/>
        <bgColor indexed="64"/>
      </patternFill>
    </fill>
    <fill>
      <patternFill patternType="solid">
        <fgColor rgb="FF92D050"/>
        <bgColor indexed="64"/>
      </patternFill>
    </fill>
    <fill>
      <patternFill patternType="solid">
        <fgColor indexed="65"/>
        <bgColor indexed="64"/>
      </patternFill>
    </fill>
  </fills>
  <borders count="35">
    <border>
      <left/>
      <right/>
      <top/>
      <bottom/>
      <diagonal/>
    </border>
    <border>
      <left/>
      <right style="medium">
        <color indexed="64"/>
      </right>
      <top/>
      <bottom/>
      <diagonal/>
    </border>
    <border>
      <left/>
      <right/>
      <top/>
      <bottom style="thin">
        <color indexed="8"/>
      </bottom>
      <diagonal/>
    </border>
    <border>
      <left style="medium">
        <color indexed="64"/>
      </left>
      <right/>
      <top style="medium">
        <color indexed="64"/>
      </top>
      <bottom/>
      <diagonal/>
    </border>
    <border>
      <left/>
      <right/>
      <top style="thin">
        <color indexed="8"/>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style="thin">
        <color indexed="64"/>
      </top>
      <bottom/>
      <diagonal/>
    </border>
    <border>
      <left style="thin">
        <color indexed="64"/>
      </left>
      <right/>
      <top/>
      <bottom style="medium">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dotted">
        <color indexed="64"/>
      </right>
      <top/>
      <bottom/>
      <diagonal/>
    </border>
  </borders>
  <cellStyleXfs count="250">
    <xf numFmtId="0" fontId="0" fillId="0" borderId="0"/>
    <xf numFmtId="0" fontId="7" fillId="0" borderId="0"/>
    <xf numFmtId="0" fontId="7" fillId="0" borderId="0" applyNumberFormat="0" applyFill="0" applyBorder="0" applyAlignment="0" applyProtection="0"/>
    <xf numFmtId="0" fontId="7" fillId="0" borderId="0" applyNumberFormat="0" applyFill="0" applyBorder="0" applyAlignment="0" applyProtection="0"/>
    <xf numFmtId="0" fontId="22" fillId="0" borderId="0"/>
    <xf numFmtId="0" fontId="7" fillId="0" borderId="0"/>
    <xf numFmtId="0" fontId="7" fillId="0" borderId="0"/>
    <xf numFmtId="0" fontId="8" fillId="0" borderId="0"/>
    <xf numFmtId="0" fontId="7" fillId="0" borderId="0"/>
    <xf numFmtId="0" fontId="7" fillId="0" borderId="0"/>
    <xf numFmtId="0" fontId="9" fillId="0" borderId="0"/>
    <xf numFmtId="0" fontId="9" fillId="0" borderId="0"/>
    <xf numFmtId="0" fontId="9" fillId="0" borderId="0"/>
    <xf numFmtId="0" fontId="9" fillId="0" borderId="0"/>
    <xf numFmtId="0" fontId="11" fillId="0" borderId="0"/>
    <xf numFmtId="0" fontId="11" fillId="0" borderId="0"/>
    <xf numFmtId="166" fontId="7" fillId="0" borderId="0" applyFont="0" applyFill="0" applyBorder="0" applyAlignment="0" applyProtection="0"/>
    <xf numFmtId="3" fontId="9" fillId="0" borderId="0" applyFont="0" applyFill="0" applyBorder="0" applyAlignment="0" applyProtection="0"/>
    <xf numFmtId="166" fontId="7" fillId="0" borderId="0" applyFont="0" applyFill="0" applyBorder="0" applyAlignment="0" applyProtection="0"/>
    <xf numFmtId="40" fontId="9" fillId="0" borderId="0" applyFont="0" applyFill="0" applyBorder="0" applyAlignment="0" applyProtection="0"/>
    <xf numFmtId="165" fontId="20" fillId="0" borderId="0" applyFont="0" applyFill="0" applyBorder="0" applyAlignment="0" applyProtection="0"/>
    <xf numFmtId="165" fontId="2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12" fillId="0" borderId="0" applyNumberFormat="0" applyFill="0" applyBorder="0" applyAlignment="0" applyProtection="0">
      <alignment vertical="top"/>
      <protection locked="0"/>
    </xf>
    <xf numFmtId="0" fontId="27" fillId="0" borderId="0" applyNumberFormat="0" applyFill="0" applyBorder="0" applyAlignment="0" applyProtection="0"/>
    <xf numFmtId="0" fontId="28" fillId="0" borderId="0" applyNumberFormat="0" applyFill="0" applyBorder="0" applyAlignment="0" applyProtection="0"/>
    <xf numFmtId="168" fontId="7" fillId="0" borderId="0" applyFont="0" applyFill="0" applyBorder="0" applyAlignment="0" applyProtection="0"/>
    <xf numFmtId="0" fontId="7" fillId="0" borderId="0" applyFont="0" applyFill="0" applyBorder="0" applyAlignment="0" applyProtection="0"/>
    <xf numFmtId="0" fontId="20" fillId="0" borderId="0"/>
    <xf numFmtId="0" fontId="7" fillId="0" borderId="0"/>
    <xf numFmtId="0" fontId="21" fillId="0" borderId="0"/>
    <xf numFmtId="0" fontId="17" fillId="0" borderId="0"/>
    <xf numFmtId="0" fontId="7" fillId="0" borderId="0"/>
    <xf numFmtId="0" fontId="19" fillId="0" borderId="0"/>
    <xf numFmtId="0" fontId="7" fillId="0" borderId="0"/>
    <xf numFmtId="0" fontId="7" fillId="0" borderId="0"/>
    <xf numFmtId="0" fontId="7" fillId="0" borderId="0"/>
    <xf numFmtId="2" fontId="13" fillId="0" borderId="1"/>
    <xf numFmtId="2" fontId="13" fillId="0" borderId="1"/>
    <xf numFmtId="0" fontId="10" fillId="0" borderId="0"/>
    <xf numFmtId="0" fontId="13" fillId="0" borderId="0">
      <alignment vertical="center"/>
    </xf>
    <xf numFmtId="9" fontId="5" fillId="0" borderId="0" applyFont="0" applyFill="0" applyBorder="0" applyAlignment="0" applyProtection="0"/>
    <xf numFmtId="9" fontId="7" fillId="0" borderId="0" applyFont="0" applyFill="0" applyBorder="0" applyAlignment="0" applyProtection="0"/>
    <xf numFmtId="9" fontId="24" fillId="0" borderId="0" applyFont="0" applyFill="0" applyBorder="0" applyAlignment="0" applyProtection="0"/>
    <xf numFmtId="9" fontId="10" fillId="0" borderId="1" applyFont="0" applyFill="0" applyAlignment="0" applyProtection="0"/>
    <xf numFmtId="0" fontId="7" fillId="2" borderId="0" applyNumberFormat="0" applyFont="0" applyBorder="0" applyAlignment="0" applyProtection="0"/>
    <xf numFmtId="0" fontId="7" fillId="2" borderId="0" applyNumberFormat="0" applyFont="0" applyBorder="0" applyAlignment="0" applyProtection="0"/>
    <xf numFmtId="0" fontId="14" fillId="0" borderId="0"/>
    <xf numFmtId="0" fontId="14" fillId="0" borderId="0"/>
    <xf numFmtId="0" fontId="14" fillId="0" borderId="2">
      <alignment horizontal="centerContinuous"/>
    </xf>
    <xf numFmtId="0" fontId="14" fillId="0" borderId="2">
      <alignment horizontal="centerContinuous"/>
    </xf>
    <xf numFmtId="0" fontId="15" fillId="0" borderId="2"/>
    <xf numFmtId="167" fontId="18" fillId="0" borderId="0" applyFont="0" applyFill="0" applyBorder="0" applyAlignment="0" applyProtection="0"/>
    <xf numFmtId="0" fontId="18" fillId="0" borderId="0" applyFont="0" applyFill="0" applyBorder="0" applyAlignment="0" applyProtection="0"/>
    <xf numFmtId="0" fontId="23" fillId="0" borderId="0"/>
    <xf numFmtId="166" fontId="24" fillId="0" borderId="0" applyFont="0" applyFill="0" applyBorder="0" applyAlignment="0" applyProtection="0"/>
    <xf numFmtId="0" fontId="84" fillId="0" borderId="0"/>
    <xf numFmtId="0" fontId="7" fillId="0" borderId="0" applyFont="0" applyFill="0" applyBorder="0" applyAlignment="0" applyProtection="0"/>
    <xf numFmtId="0" fontId="87" fillId="0" borderId="0"/>
    <xf numFmtId="0" fontId="89" fillId="0" borderId="0"/>
    <xf numFmtId="0" fontId="87" fillId="0" borderId="0"/>
    <xf numFmtId="0" fontId="87" fillId="0" borderId="0"/>
    <xf numFmtId="183" fontId="85" fillId="0" borderId="0">
      <alignment horizontal="right"/>
    </xf>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18" borderId="0" applyNumberFormat="0" applyBorder="0" applyAlignment="0" applyProtection="0"/>
    <xf numFmtId="0" fontId="1" fillId="20"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18" borderId="0" applyNumberFormat="0" applyBorder="0" applyAlignment="0" applyProtection="0"/>
    <xf numFmtId="0" fontId="91" fillId="22" borderId="0" applyNumberFormat="0" applyBorder="0" applyAlignment="0" applyProtection="0"/>
    <xf numFmtId="0" fontId="91" fillId="17" borderId="0" applyNumberFormat="0" applyBorder="0" applyAlignment="0" applyProtection="0"/>
    <xf numFmtId="0" fontId="91" fillId="23" borderId="0" applyNumberFormat="0" applyBorder="0" applyAlignment="0" applyProtection="0"/>
    <xf numFmtId="0" fontId="91" fillId="20" borderId="0" applyNumberFormat="0" applyBorder="0" applyAlignment="0" applyProtection="0"/>
    <xf numFmtId="0" fontId="91" fillId="22" borderId="0" applyNumberFormat="0" applyBorder="0" applyAlignment="0" applyProtection="0"/>
    <xf numFmtId="0" fontId="91" fillId="18" borderId="0" applyNumberFormat="0" applyBorder="0" applyAlignment="0" applyProtection="0"/>
    <xf numFmtId="0" fontId="91" fillId="22" borderId="0" applyNumberFormat="0" applyBorder="0" applyAlignment="0" applyProtection="0"/>
    <xf numFmtId="0" fontId="91" fillId="17" borderId="0" applyNumberFormat="0" applyBorder="0" applyAlignment="0" applyProtection="0"/>
    <xf numFmtId="0" fontId="91" fillId="23" borderId="0" applyNumberFormat="0" applyBorder="0" applyAlignment="0" applyProtection="0"/>
    <xf numFmtId="0" fontId="91" fillId="24" borderId="0" applyNumberFormat="0" applyBorder="0" applyAlignment="0" applyProtection="0"/>
    <xf numFmtId="0" fontId="91" fillId="22" borderId="0" applyNumberFormat="0" applyBorder="0" applyAlignment="0" applyProtection="0"/>
    <xf numFmtId="0" fontId="91" fillId="17" borderId="0" applyNumberFormat="0" applyBorder="0" applyAlignment="0" applyProtection="0"/>
    <xf numFmtId="0" fontId="92" fillId="25" borderId="0" applyNumberFormat="0" applyBorder="0" applyAlignment="0" applyProtection="0"/>
    <xf numFmtId="0" fontId="93" fillId="26" borderId="18" applyNumberFormat="0" applyAlignment="0" applyProtection="0"/>
    <xf numFmtId="0" fontId="94" fillId="27" borderId="19" applyNumberFormat="0" applyAlignment="0" applyProtection="0"/>
    <xf numFmtId="166" fontId="88"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87" fillId="0" borderId="0" applyFont="0" applyFill="0" applyBorder="0" applyAlignment="0" applyProtection="0"/>
    <xf numFmtId="0" fontId="85" fillId="0" borderId="0">
      <alignment horizontal="right"/>
    </xf>
    <xf numFmtId="184" fontId="85" fillId="0" borderId="0">
      <alignment horizontal="right"/>
    </xf>
    <xf numFmtId="0" fontId="95" fillId="0" borderId="0" applyNumberFormat="0" applyFill="0" applyBorder="0" applyAlignment="0" applyProtection="0"/>
    <xf numFmtId="0" fontId="111" fillId="0" borderId="0"/>
    <xf numFmtId="0" fontId="110" fillId="28" borderId="0"/>
    <xf numFmtId="0" fontId="96" fillId="29" borderId="0" applyNumberFormat="0" applyBorder="0" applyAlignment="0" applyProtection="0"/>
    <xf numFmtId="0" fontId="97" fillId="0" borderId="20" applyNumberFormat="0" applyFill="0" applyAlignment="0" applyProtection="0"/>
    <xf numFmtId="0" fontId="98" fillId="0" borderId="21" applyNumberFormat="0" applyFill="0" applyAlignment="0" applyProtection="0"/>
    <xf numFmtId="0" fontId="99" fillId="0" borderId="22" applyNumberFormat="0" applyFill="0" applyAlignment="0" applyProtection="0"/>
    <xf numFmtId="0" fontId="99" fillId="0" borderId="0" applyNumberFormat="0" applyFill="0" applyBorder="0" applyAlignment="0" applyProtection="0"/>
    <xf numFmtId="0" fontId="108" fillId="0" borderId="0">
      <alignment wrapText="1"/>
    </xf>
    <xf numFmtId="0" fontId="7" fillId="0" borderId="0" applyNumberFormat="0" applyFill="0" applyBorder="0" applyAlignment="0" applyProtection="0">
      <alignment vertical="top"/>
      <protection locked="0"/>
    </xf>
    <xf numFmtId="0" fontId="100" fillId="18" borderId="18" applyNumberFormat="0" applyAlignment="0" applyProtection="0"/>
    <xf numFmtId="0" fontId="101" fillId="0" borderId="23" applyNumberFormat="0" applyFill="0" applyAlignment="0" applyProtection="0"/>
    <xf numFmtId="0" fontId="110" fillId="0" borderId="0"/>
    <xf numFmtId="0" fontId="112" fillId="0" borderId="0"/>
    <xf numFmtId="0" fontId="109" fillId="0" borderId="0"/>
    <xf numFmtId="0" fontId="102" fillId="18" borderId="0" applyNumberFormat="0" applyBorder="0" applyAlignment="0" applyProtection="0"/>
    <xf numFmtId="0" fontId="90" fillId="0" borderId="0" applyFill="0" applyBorder="0" applyProtection="0"/>
    <xf numFmtId="38" fontId="7" fillId="0" borderId="0" applyFont="0" applyFill="0" applyBorder="0" applyAlignment="0" applyProtection="0"/>
    <xf numFmtId="0" fontId="108" fillId="0" borderId="0"/>
    <xf numFmtId="0" fontId="7" fillId="0" borderId="0"/>
    <xf numFmtId="0" fontId="87" fillId="0" borderId="0"/>
    <xf numFmtId="0" fontId="89" fillId="0" borderId="0"/>
    <xf numFmtId="0" fontId="7" fillId="0" borderId="0"/>
    <xf numFmtId="0" fontId="87" fillId="0" borderId="0"/>
    <xf numFmtId="0" fontId="7" fillId="18" borderId="24" applyNumberFormat="0" applyFont="0" applyAlignment="0" applyProtection="0"/>
    <xf numFmtId="0" fontId="103" fillId="26" borderId="25" applyNumberFormat="0" applyAlignment="0" applyProtection="0"/>
    <xf numFmtId="0" fontId="109" fillId="0" borderId="0"/>
    <xf numFmtId="9" fontId="87" fillId="0" borderId="0" applyFont="0" applyFill="0" applyBorder="0" applyAlignment="0" applyProtection="0"/>
    <xf numFmtId="9" fontId="87" fillId="0" borderId="0" applyFont="0" applyFill="0" applyBorder="0" applyAlignment="0" applyProtection="0"/>
    <xf numFmtId="9" fontId="88"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87" fillId="0" borderId="0" applyFont="0" applyFill="0" applyBorder="0" applyAlignment="0" applyProtection="0"/>
    <xf numFmtId="9" fontId="87" fillId="0" borderId="0" applyFont="0" applyFill="0" applyBorder="0" applyAlignment="0" applyProtection="0"/>
    <xf numFmtId="0" fontId="104" fillId="0" borderId="0" applyNumberFormat="0" applyFill="0" applyBorder="0" applyAlignment="0" applyProtection="0"/>
    <xf numFmtId="0" fontId="105" fillId="0" borderId="26" applyNumberFormat="0" applyFill="0" applyAlignment="0" applyProtection="0"/>
    <xf numFmtId="0" fontId="86" fillId="0" borderId="0">
      <alignment horizontal="right"/>
    </xf>
    <xf numFmtId="185" fontId="86" fillId="0" borderId="0">
      <alignment horizontal="right"/>
    </xf>
    <xf numFmtId="0" fontId="106" fillId="0" borderId="0" applyNumberFormat="0" applyFill="0" applyBorder="0" applyAlignment="0" applyProtection="0"/>
    <xf numFmtId="166" fontId="7" fillId="0" borderId="0" applyFont="0" applyFill="0" applyBorder="0" applyAlignment="0" applyProtection="0"/>
    <xf numFmtId="0" fontId="7" fillId="0" borderId="0"/>
    <xf numFmtId="0" fontId="7" fillId="0" borderId="0"/>
    <xf numFmtId="0" fontId="7" fillId="0" borderId="0"/>
    <xf numFmtId="171" fontId="107" fillId="30" borderId="13" applyNumberFormat="0" applyProtection="0"/>
    <xf numFmtId="0" fontId="7" fillId="0" borderId="0"/>
    <xf numFmtId="0" fontId="7" fillId="0" borderId="0">
      <alignment vertical="top"/>
    </xf>
    <xf numFmtId="0" fontId="7" fillId="0" borderId="0">
      <alignment vertical="top"/>
    </xf>
    <xf numFmtId="0" fontId="7" fillId="0" borderId="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87" fillId="0" borderId="0"/>
    <xf numFmtId="0" fontId="7" fillId="18" borderId="24" applyNumberFormat="0" applyFont="0" applyAlignment="0" applyProtection="0"/>
    <xf numFmtId="0" fontId="7" fillId="0" borderId="0"/>
    <xf numFmtId="0" fontId="24" fillId="0" borderId="0"/>
    <xf numFmtId="0" fontId="24" fillId="0" borderId="0"/>
    <xf numFmtId="165" fontId="7" fillId="0" borderId="0" applyFont="0" applyFill="0" applyBorder="0" applyAlignment="0" applyProtection="0"/>
    <xf numFmtId="0" fontId="87" fillId="0" borderId="0"/>
    <xf numFmtId="0" fontId="7" fillId="0" borderId="0" applyFont="0" applyFill="0" applyBorder="0" applyAlignment="0" applyProtection="0"/>
    <xf numFmtId="166" fontId="87" fillId="0" borderId="0" applyFont="0" applyFill="0" applyBorder="0" applyAlignment="0" applyProtection="0"/>
    <xf numFmtId="166" fontId="8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84" fontId="85" fillId="0" borderId="0">
      <alignment horizontal="right"/>
    </xf>
    <xf numFmtId="0" fontId="113" fillId="0" borderId="0" applyNumberFormat="0" applyFill="0" applyBorder="0" applyAlignment="0" applyProtection="0">
      <alignment vertical="top"/>
      <protection locked="0"/>
    </xf>
    <xf numFmtId="0" fontId="12" fillId="0" borderId="0" applyNumberFormat="0" applyFill="0" applyBorder="0" applyAlignment="0" applyProtection="0">
      <alignment vertical="top"/>
      <protection locked="0"/>
    </xf>
    <xf numFmtId="0" fontId="7" fillId="0" borderId="0"/>
    <xf numFmtId="0" fontId="7" fillId="0" borderId="0"/>
    <xf numFmtId="0" fontId="7" fillId="0" borderId="0"/>
    <xf numFmtId="38" fontId="7" fillId="0" borderId="0" applyFont="0" applyFill="0" applyBorder="0" applyAlignment="0" applyProtection="0"/>
    <xf numFmtId="0" fontId="87" fillId="0" borderId="0"/>
    <xf numFmtId="0" fontId="87" fillId="0" borderId="0"/>
    <xf numFmtId="0" fontId="7" fillId="0" borderId="0"/>
    <xf numFmtId="0" fontId="7" fillId="0" borderId="0"/>
    <xf numFmtId="0" fontId="87" fillId="0" borderId="0"/>
    <xf numFmtId="0" fontId="7" fillId="0" borderId="0"/>
    <xf numFmtId="0" fontId="89" fillId="0" borderId="0"/>
    <xf numFmtId="0" fontId="87" fillId="0" borderId="0"/>
    <xf numFmtId="0" fontId="7" fillId="0" borderId="0"/>
    <xf numFmtId="0" fontId="15" fillId="0" borderId="2"/>
    <xf numFmtId="185" fontId="86" fillId="0" borderId="0">
      <alignment horizontal="right"/>
    </xf>
    <xf numFmtId="0" fontId="87" fillId="0" borderId="0"/>
    <xf numFmtId="0" fontId="87" fillId="0" borderId="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xf numFmtId="0" fontId="24" fillId="0" borderId="0"/>
    <xf numFmtId="0" fontId="28" fillId="0" borderId="0" applyNumberFormat="0" applyFill="0" applyBorder="0" applyAlignment="0" applyProtection="0"/>
    <xf numFmtId="9" fontId="24" fillId="0" borderId="0" applyFont="0" applyFill="0" applyBorder="0" applyAlignment="0" applyProtection="0"/>
    <xf numFmtId="0" fontId="24" fillId="0" borderId="0"/>
    <xf numFmtId="0" fontId="114" fillId="0" borderId="0"/>
    <xf numFmtId="9" fontId="24"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applyFont="0" applyFill="0" applyBorder="0" applyAlignment="0" applyProtection="0"/>
    <xf numFmtId="0"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11" fillId="0" borderId="0"/>
    <xf numFmtId="0" fontId="11" fillId="0" borderId="0"/>
    <xf numFmtId="166" fontId="1" fillId="0" borderId="0" applyFont="0" applyFill="0" applyBorder="0" applyAlignment="0" applyProtection="0"/>
    <xf numFmtId="166" fontId="7" fillId="0" borderId="0" applyFont="0" applyFill="0" applyBorder="0" applyAlignment="0" applyProtection="0"/>
    <xf numFmtId="166" fontId="4"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86" fontId="7" fillId="0" borderId="0" applyFont="0" applyFill="0" applyBorder="0" applyAlignment="0" applyProtection="0"/>
    <xf numFmtId="0" fontId="4" fillId="0" borderId="0"/>
    <xf numFmtId="9" fontId="1" fillId="0" borderId="0" applyFont="0" applyFill="0" applyBorder="0" applyAlignment="0" applyProtection="0"/>
    <xf numFmtId="0" fontId="14" fillId="0" borderId="0"/>
    <xf numFmtId="0" fontId="14" fillId="0" borderId="0"/>
    <xf numFmtId="0" fontId="14" fillId="0" borderId="0"/>
    <xf numFmtId="0" fontId="14" fillId="0" borderId="2">
      <alignment horizontal="centerContinuous"/>
    </xf>
    <xf numFmtId="0" fontId="14" fillId="0" borderId="2">
      <alignment horizontal="centerContinuous"/>
    </xf>
    <xf numFmtId="0" fontId="14" fillId="0" borderId="2">
      <alignment horizontal="centerContinuous"/>
    </xf>
    <xf numFmtId="0" fontId="7" fillId="0" borderId="0"/>
    <xf numFmtId="0" fontId="116" fillId="0" borderId="0"/>
    <xf numFmtId="0" fontId="57" fillId="0" borderId="0"/>
    <xf numFmtId="0" fontId="24" fillId="0" borderId="0"/>
    <xf numFmtId="0" fontId="123" fillId="0" borderId="0" applyNumberFormat="0" applyAlignment="0" applyProtection="0"/>
    <xf numFmtId="166" fontId="57" fillId="0" borderId="0" applyFont="0" applyFill="0" applyBorder="0" applyAlignment="0" applyProtection="0"/>
    <xf numFmtId="9" fontId="57" fillId="0" borderId="0" applyFont="0" applyFill="0" applyBorder="0" applyAlignment="0" applyProtection="0"/>
    <xf numFmtId="0" fontId="7" fillId="0" borderId="0"/>
  </cellStyleXfs>
  <cellXfs count="953">
    <xf numFmtId="0" fontId="0" fillId="0" borderId="0" xfId="0"/>
    <xf numFmtId="0" fontId="31" fillId="0" borderId="0" xfId="37" applyFont="1"/>
    <xf numFmtId="171" fontId="31" fillId="0" borderId="0" xfId="17" applyNumberFormat="1" applyFont="1" applyBorder="1" applyAlignment="1">
      <alignment horizontal="right"/>
    </xf>
    <xf numFmtId="0" fontId="32" fillId="0" borderId="0" xfId="37" applyFont="1"/>
    <xf numFmtId="9" fontId="33" fillId="0" borderId="0" xfId="37" applyNumberFormat="1" applyFont="1" applyAlignment="1">
      <alignment horizontal="center" vertical="center" wrapText="1"/>
    </xf>
    <xf numFmtId="0" fontId="31" fillId="0" borderId="3" xfId="37" applyFont="1" applyBorder="1"/>
    <xf numFmtId="0" fontId="32" fillId="0" borderId="4" xfId="37" applyFont="1" applyBorder="1"/>
    <xf numFmtId="9" fontId="32" fillId="0" borderId="4" xfId="42" applyFont="1" applyBorder="1"/>
    <xf numFmtId="2" fontId="34" fillId="0" borderId="0" xfId="39" applyFont="1" applyBorder="1" applyAlignment="1">
      <alignment horizontal="right"/>
    </xf>
    <xf numFmtId="0" fontId="31" fillId="0" borderId="5" xfId="37" applyFont="1" applyBorder="1"/>
    <xf numFmtId="17" fontId="36" fillId="0" borderId="6" xfId="37" applyNumberFormat="1" applyFont="1" applyBorder="1" applyAlignment="1">
      <alignment horizontal="center" vertical="center" wrapText="1"/>
    </xf>
    <xf numFmtId="2" fontId="34" fillId="0" borderId="0" xfId="39" applyFont="1" applyBorder="1"/>
    <xf numFmtId="2" fontId="32" fillId="0" borderId="0" xfId="39" applyFont="1" applyBorder="1"/>
    <xf numFmtId="175" fontId="32" fillId="0" borderId="0" xfId="36" applyNumberFormat="1" applyFont="1"/>
    <xf numFmtId="2" fontId="37" fillId="0" borderId="0" xfId="39" applyFont="1" applyBorder="1"/>
    <xf numFmtId="2" fontId="39" fillId="0" borderId="0" xfId="0" applyNumberFormat="1" applyFont="1" applyAlignment="1">
      <alignment horizontal="right"/>
    </xf>
    <xf numFmtId="2" fontId="39" fillId="0" borderId="0" xfId="24" applyNumberFormat="1" applyFont="1" applyBorder="1" applyAlignment="1" applyProtection="1">
      <alignment horizontal="right"/>
    </xf>
    <xf numFmtId="0" fontId="40" fillId="0" borderId="0" xfId="37" applyFont="1" applyAlignment="1">
      <alignment horizontal="center" vertical="center" wrapText="1"/>
    </xf>
    <xf numFmtId="169" fontId="40" fillId="0" borderId="0" xfId="37" applyNumberFormat="1" applyFont="1" applyAlignment="1">
      <alignment horizontal="center" vertical="center" wrapText="1"/>
    </xf>
    <xf numFmtId="175" fontId="41" fillId="3" borderId="4" xfId="36" applyNumberFormat="1" applyFont="1" applyFill="1" applyBorder="1" applyAlignment="1">
      <alignment horizontal="left"/>
    </xf>
    <xf numFmtId="175" fontId="31" fillId="3" borderId="4" xfId="36" applyNumberFormat="1" applyFont="1" applyFill="1" applyBorder="1" applyAlignment="1">
      <alignment horizontal="right"/>
    </xf>
    <xf numFmtId="175" fontId="32" fillId="0" borderId="4" xfId="36" applyNumberFormat="1" applyFont="1" applyBorder="1" applyAlignment="1">
      <alignment horizontal="right"/>
    </xf>
    <xf numFmtId="175" fontId="41" fillId="3" borderId="7" xfId="36" applyNumberFormat="1" applyFont="1" applyFill="1" applyBorder="1" applyAlignment="1">
      <alignment horizontal="left"/>
    </xf>
    <xf numFmtId="175" fontId="31" fillId="3" borderId="0" xfId="36" applyNumberFormat="1" applyFont="1" applyFill="1"/>
    <xf numFmtId="171" fontId="32" fillId="0" borderId="0" xfId="17" applyNumberFormat="1" applyFont="1" applyBorder="1" applyAlignment="1">
      <alignment horizontal="center"/>
    </xf>
    <xf numFmtId="9" fontId="32" fillId="0" borderId="0" xfId="37" applyNumberFormat="1" applyFont="1" applyAlignment="1">
      <alignment horizontal="center"/>
    </xf>
    <xf numFmtId="171" fontId="31" fillId="0" borderId="0" xfId="17" applyNumberFormat="1" applyFont="1" applyBorder="1" applyAlignment="1">
      <alignment horizontal="center"/>
    </xf>
    <xf numFmtId="171" fontId="32" fillId="0" borderId="0" xfId="37" applyNumberFormat="1" applyFont="1"/>
    <xf numFmtId="171" fontId="31" fillId="0" borderId="0" xfId="37" applyNumberFormat="1" applyFont="1" applyAlignment="1">
      <alignment horizontal="center"/>
    </xf>
    <xf numFmtId="171" fontId="32" fillId="0" borderId="0" xfId="17" applyNumberFormat="1" applyFont="1" applyFill="1" applyBorder="1" applyAlignment="1">
      <alignment horizontal="center"/>
    </xf>
    <xf numFmtId="169" fontId="32" fillId="0" borderId="0" xfId="42" applyNumberFormat="1" applyFont="1"/>
    <xf numFmtId="171" fontId="31" fillId="0" borderId="0" xfId="36" applyNumberFormat="1" applyFont="1" applyAlignment="1">
      <alignment horizontal="center"/>
    </xf>
    <xf numFmtId="171" fontId="31" fillId="0" borderId="0" xfId="17" applyNumberFormat="1" applyFont="1" applyFill="1" applyBorder="1" applyAlignment="1">
      <alignment horizontal="center"/>
    </xf>
    <xf numFmtId="3" fontId="31" fillId="0" borderId="0" xfId="17" applyFont="1" applyFill="1" applyBorder="1" applyAlignment="1">
      <alignment horizontal="center"/>
    </xf>
    <xf numFmtId="171" fontId="32" fillId="0" borderId="0" xfId="17" applyNumberFormat="1" applyFont="1" applyBorder="1" applyAlignment="1" applyProtection="1">
      <alignment horizontal="center"/>
    </xf>
    <xf numFmtId="169" fontId="32" fillId="0" borderId="0" xfId="37" applyNumberFormat="1" applyFont="1"/>
    <xf numFmtId="175" fontId="32" fillId="0" borderId="0" xfId="40" applyNumberFormat="1" applyFont="1" applyAlignment="1">
      <alignment horizontal="left"/>
    </xf>
    <xf numFmtId="171" fontId="32" fillId="0" borderId="0" xfId="37" applyNumberFormat="1" applyFont="1" applyAlignment="1">
      <alignment horizontal="right"/>
    </xf>
    <xf numFmtId="171" fontId="32" fillId="0" borderId="0" xfId="37" applyNumberFormat="1" applyFont="1" applyAlignment="1">
      <alignment horizontal="center"/>
    </xf>
    <xf numFmtId="0" fontId="29" fillId="0" borderId="0" xfId="0" applyFont="1"/>
    <xf numFmtId="175" fontId="44" fillId="0" borderId="8" xfId="36" applyNumberFormat="1" applyFont="1" applyBorder="1" applyAlignment="1">
      <alignment horizontal="left"/>
    </xf>
    <xf numFmtId="175" fontId="44" fillId="0" borderId="8" xfId="36" applyNumberFormat="1" applyFont="1" applyBorder="1" applyAlignment="1">
      <alignment horizontal="center"/>
    </xf>
    <xf numFmtId="175" fontId="45" fillId="0" borderId="8" xfId="36" applyNumberFormat="1" applyFont="1" applyBorder="1" applyAlignment="1">
      <alignment horizontal="center"/>
    </xf>
    <xf numFmtId="175" fontId="44" fillId="0" borderId="0" xfId="36" applyNumberFormat="1" applyFont="1" applyAlignment="1">
      <alignment horizontal="center"/>
    </xf>
    <xf numFmtId="176" fontId="46" fillId="0" borderId="0" xfId="17" applyNumberFormat="1" applyFont="1" applyFill="1" applyBorder="1" applyAlignment="1">
      <alignment horizontal="right"/>
    </xf>
    <xf numFmtId="175" fontId="44" fillId="0" borderId="9" xfId="36" applyNumberFormat="1" applyFont="1" applyBorder="1" applyAlignment="1">
      <alignment horizontal="left"/>
    </xf>
    <xf numFmtId="0" fontId="47" fillId="0" borderId="0" xfId="37" applyFont="1"/>
    <xf numFmtId="2" fontId="46" fillId="0" borderId="0" xfId="39" applyFont="1" applyBorder="1"/>
    <xf numFmtId="0" fontId="47" fillId="0" borderId="0" xfId="37" applyFont="1" applyAlignment="1">
      <alignment horizontal="center"/>
    </xf>
    <xf numFmtId="175" fontId="47" fillId="0" borderId="0" xfId="36" applyNumberFormat="1" applyFont="1" applyAlignment="1">
      <alignment horizontal="right"/>
    </xf>
    <xf numFmtId="175" fontId="45" fillId="0" borderId="7" xfId="35" quotePrefix="1" applyNumberFormat="1" applyFont="1" applyBorder="1" applyAlignment="1">
      <alignment horizontal="left"/>
    </xf>
    <xf numFmtId="177" fontId="47" fillId="0" borderId="0" xfId="17" applyNumberFormat="1" applyFont="1" applyFill="1" applyAlignment="1">
      <alignment horizontal="right"/>
    </xf>
    <xf numFmtId="2" fontId="47" fillId="0" borderId="0" xfId="39" applyFont="1" applyBorder="1"/>
    <xf numFmtId="171" fontId="47" fillId="0" borderId="0" xfId="17" applyNumberFormat="1" applyFont="1" applyBorder="1" applyAlignment="1">
      <alignment horizontal="center"/>
    </xf>
    <xf numFmtId="171" fontId="47" fillId="0" borderId="0" xfId="17" applyNumberFormat="1" applyFont="1" applyBorder="1" applyAlignment="1">
      <alignment horizontal="right" indent="1"/>
    </xf>
    <xf numFmtId="172" fontId="46" fillId="0" borderId="0" xfId="36" applyNumberFormat="1" applyFont="1" applyAlignment="1">
      <alignment horizontal="center"/>
    </xf>
    <xf numFmtId="171" fontId="46" fillId="0" borderId="0" xfId="17" applyNumberFormat="1" applyFont="1" applyFill="1" applyBorder="1" applyAlignment="1">
      <alignment horizontal="right" vertical="center"/>
    </xf>
    <xf numFmtId="0" fontId="47" fillId="0" borderId="7" xfId="37" applyFont="1" applyBorder="1"/>
    <xf numFmtId="0" fontId="46" fillId="0" borderId="7" xfId="37" applyFont="1" applyBorder="1"/>
    <xf numFmtId="171" fontId="46" fillId="0" borderId="0" xfId="17" applyNumberFormat="1" applyFont="1" applyBorder="1" applyAlignment="1">
      <alignment horizontal="center"/>
    </xf>
    <xf numFmtId="175" fontId="46" fillId="0" borderId="0" xfId="36" applyNumberFormat="1" applyFont="1" applyAlignment="1">
      <alignment horizontal="right"/>
    </xf>
    <xf numFmtId="175" fontId="47" fillId="0" borderId="7" xfId="36" applyNumberFormat="1" applyFont="1" applyBorder="1" applyAlignment="1">
      <alignment horizontal="left"/>
    </xf>
    <xf numFmtId="2" fontId="47" fillId="0" borderId="0" xfId="36" applyNumberFormat="1" applyFont="1" applyAlignment="1">
      <alignment horizontal="center"/>
    </xf>
    <xf numFmtId="178" fontId="47" fillId="0" borderId="0" xfId="36" applyNumberFormat="1" applyFont="1" applyAlignment="1">
      <alignment horizontal="right"/>
    </xf>
    <xf numFmtId="171" fontId="47" fillId="0" borderId="0" xfId="17" applyNumberFormat="1" applyFont="1" applyBorder="1" applyAlignment="1">
      <alignment horizontal="right"/>
    </xf>
    <xf numFmtId="2" fontId="47" fillId="0" borderId="7" xfId="39" applyFont="1" applyBorder="1"/>
    <xf numFmtId="172" fontId="47" fillId="0" borderId="0" xfId="39" applyNumberFormat="1" applyFont="1" applyBorder="1" applyAlignment="1">
      <alignment horizontal="center"/>
    </xf>
    <xf numFmtId="179" fontId="47" fillId="0" borderId="0" xfId="36" applyNumberFormat="1" applyFont="1" applyAlignment="1">
      <alignment horizontal="right"/>
    </xf>
    <xf numFmtId="2" fontId="46" fillId="0" borderId="7" xfId="39" applyFont="1" applyBorder="1"/>
    <xf numFmtId="172" fontId="46" fillId="0" borderId="0" xfId="39" applyNumberFormat="1" applyFont="1" applyBorder="1" applyAlignment="1">
      <alignment horizontal="center"/>
    </xf>
    <xf numFmtId="179" fontId="46" fillId="0" borderId="0" xfId="36" applyNumberFormat="1" applyFont="1" applyAlignment="1">
      <alignment horizontal="right"/>
    </xf>
    <xf numFmtId="0" fontId="47" fillId="0" borderId="7" xfId="36" applyFont="1" applyBorder="1" applyAlignment="1">
      <alignment horizontal="left"/>
    </xf>
    <xf numFmtId="169" fontId="47" fillId="0" borderId="0" xfId="36" applyNumberFormat="1" applyFont="1" applyAlignment="1">
      <alignment horizontal="center"/>
    </xf>
    <xf numFmtId="169" fontId="47" fillId="0" borderId="0" xfId="36" applyNumberFormat="1" applyFont="1" applyAlignment="1">
      <alignment horizontal="right"/>
    </xf>
    <xf numFmtId="171" fontId="46" fillId="0" borderId="0" xfId="17" applyNumberFormat="1" applyFont="1" applyBorder="1" applyAlignment="1">
      <alignment horizontal="right" indent="1"/>
    </xf>
    <xf numFmtId="0" fontId="47" fillId="0" borderId="0" xfId="36" applyFont="1" applyAlignment="1">
      <alignment horizontal="center"/>
    </xf>
    <xf numFmtId="4" fontId="46" fillId="0" borderId="0" xfId="17" applyNumberFormat="1" applyFont="1" applyBorder="1" applyAlignment="1">
      <alignment horizontal="right"/>
    </xf>
    <xf numFmtId="171" fontId="48" fillId="0" borderId="0" xfId="38" applyNumberFormat="1" applyFont="1" applyBorder="1" applyAlignment="1">
      <alignment horizontal="center"/>
    </xf>
    <xf numFmtId="2" fontId="48" fillId="0" borderId="7" xfId="38" applyFont="1" applyBorder="1" applyAlignment="1">
      <alignment horizontal="left"/>
    </xf>
    <xf numFmtId="171" fontId="48" fillId="0" borderId="0" xfId="38" applyNumberFormat="1" applyFont="1" applyBorder="1" applyAlignment="1">
      <alignment horizontal="right"/>
    </xf>
    <xf numFmtId="175" fontId="47" fillId="0" borderId="0" xfId="36" applyNumberFormat="1" applyFont="1"/>
    <xf numFmtId="175" fontId="46" fillId="0" borderId="0" xfId="36" applyNumberFormat="1" applyFont="1"/>
    <xf numFmtId="175" fontId="49" fillId="3" borderId="7" xfId="36" applyNumberFormat="1" applyFont="1" applyFill="1" applyBorder="1" applyAlignment="1">
      <alignment horizontal="left"/>
    </xf>
    <xf numFmtId="180" fontId="50" fillId="3" borderId="0" xfId="17" applyNumberFormat="1" applyFont="1" applyFill="1" applyBorder="1"/>
    <xf numFmtId="171" fontId="46" fillId="0" borderId="0" xfId="37" applyNumberFormat="1" applyFont="1" applyAlignment="1">
      <alignment horizontal="center"/>
    </xf>
    <xf numFmtId="171" fontId="45" fillId="0" borderId="0" xfId="37" applyNumberFormat="1" applyFont="1" applyAlignment="1">
      <alignment horizontal="center"/>
    </xf>
    <xf numFmtId="2" fontId="48" fillId="0" borderId="0" xfId="39" applyFont="1" applyBorder="1" applyAlignment="1">
      <alignment horizontal="left"/>
    </xf>
    <xf numFmtId="171" fontId="47" fillId="0" borderId="0" xfId="17" applyNumberFormat="1" applyFont="1" applyFill="1" applyBorder="1" applyAlignment="1">
      <alignment horizontal="center"/>
    </xf>
    <xf numFmtId="171" fontId="47" fillId="0" borderId="0" xfId="17" applyNumberFormat="1" applyFont="1" applyFill="1" applyBorder="1" applyAlignment="1">
      <alignment horizontal="right" indent="1"/>
    </xf>
    <xf numFmtId="0" fontId="47" fillId="0" borderId="7" xfId="36" applyFont="1" applyBorder="1"/>
    <xf numFmtId="169" fontId="47" fillId="0" borderId="0" xfId="42" applyNumberFormat="1" applyFont="1" applyBorder="1"/>
    <xf numFmtId="0" fontId="46" fillId="0" borderId="0" xfId="36" applyFont="1" applyAlignment="1">
      <alignment horizontal="left"/>
    </xf>
    <xf numFmtId="169" fontId="47" fillId="0" borderId="0" xfId="39" applyNumberFormat="1" applyFont="1" applyBorder="1" applyAlignment="1">
      <alignment horizontal="center"/>
    </xf>
    <xf numFmtId="175" fontId="47" fillId="0" borderId="7" xfId="19" applyNumberFormat="1" applyFont="1" applyFill="1" applyBorder="1" applyAlignment="1">
      <alignment horizontal="left"/>
    </xf>
    <xf numFmtId="169" fontId="47" fillId="0" borderId="0" xfId="19" applyNumberFormat="1" applyFont="1" applyFill="1" applyBorder="1" applyAlignment="1">
      <alignment horizontal="center"/>
    </xf>
    <xf numFmtId="171" fontId="47" fillId="3" borderId="0" xfId="17" applyNumberFormat="1" applyFont="1" applyFill="1" applyBorder="1" applyAlignment="1">
      <alignment horizontal="right"/>
    </xf>
    <xf numFmtId="175" fontId="47" fillId="0" borderId="7" xfId="45" applyNumberFormat="1" applyFont="1" applyBorder="1" applyAlignment="1">
      <alignment horizontal="left"/>
    </xf>
    <xf numFmtId="169" fontId="47" fillId="0" borderId="0" xfId="45" applyNumberFormat="1" applyFont="1" applyBorder="1" applyAlignment="1">
      <alignment horizontal="center"/>
    </xf>
    <xf numFmtId="171" fontId="46" fillId="0" borderId="0" xfId="17" applyNumberFormat="1" applyFont="1" applyFill="1" applyBorder="1" applyAlignment="1">
      <alignment horizontal="center"/>
    </xf>
    <xf numFmtId="166" fontId="46" fillId="0" borderId="0" xfId="17" quotePrefix="1" applyNumberFormat="1" applyFont="1" applyBorder="1" applyAlignment="1" applyProtection="1">
      <alignment horizontal="right"/>
    </xf>
    <xf numFmtId="169" fontId="47" fillId="0" borderId="0" xfId="36" applyNumberFormat="1" applyFont="1" applyAlignment="1">
      <alignment horizontal="center" vertical="center"/>
    </xf>
    <xf numFmtId="3" fontId="46" fillId="0" borderId="0" xfId="17" applyFont="1" applyFill="1" applyBorder="1" applyAlignment="1">
      <alignment horizontal="center"/>
    </xf>
    <xf numFmtId="0" fontId="47" fillId="0" borderId="0" xfId="36" applyFont="1"/>
    <xf numFmtId="175" fontId="46" fillId="0" borderId="0" xfId="45" applyNumberFormat="1" applyFont="1" applyBorder="1" applyAlignment="1">
      <alignment horizontal="center"/>
    </xf>
    <xf numFmtId="169" fontId="47" fillId="0" borderId="0" xfId="42" applyNumberFormat="1" applyFont="1" applyBorder="1" applyAlignment="1">
      <alignment horizontal="right"/>
    </xf>
    <xf numFmtId="3" fontId="47" fillId="0" borderId="0" xfId="17" applyFont="1" applyFill="1" applyBorder="1" applyAlignment="1">
      <alignment horizontal="center"/>
    </xf>
    <xf numFmtId="175" fontId="47" fillId="0" borderId="10" xfId="36" applyNumberFormat="1" applyFont="1" applyBorder="1" applyAlignment="1">
      <alignment horizontal="right"/>
    </xf>
    <xf numFmtId="169" fontId="47" fillId="0" borderId="0" xfId="37" applyNumberFormat="1" applyFont="1" applyAlignment="1">
      <alignment horizontal="center"/>
    </xf>
    <xf numFmtId="169" fontId="46" fillId="0" borderId="0" xfId="37" applyNumberFormat="1" applyFont="1" applyAlignment="1">
      <alignment horizontal="center"/>
    </xf>
    <xf numFmtId="169" fontId="47" fillId="0" borderId="0" xfId="42" applyNumberFormat="1" applyFont="1"/>
    <xf numFmtId="171" fontId="46" fillId="0" borderId="0" xfId="17" applyNumberFormat="1" applyFont="1" applyFill="1" applyBorder="1" applyAlignment="1">
      <alignment horizontal="right" indent="1"/>
    </xf>
    <xf numFmtId="0" fontId="46" fillId="0" borderId="0" xfId="37" applyFont="1" applyAlignment="1">
      <alignment horizontal="center"/>
    </xf>
    <xf numFmtId="182" fontId="47" fillId="0" borderId="0" xfId="17" applyNumberFormat="1" applyFont="1" applyBorder="1" applyAlignment="1">
      <alignment horizontal="right"/>
    </xf>
    <xf numFmtId="171" fontId="46" fillId="0" borderId="0" xfId="37" applyNumberFormat="1" applyFont="1" applyAlignment="1">
      <alignment horizontal="right" indent="1"/>
    </xf>
    <xf numFmtId="4" fontId="47" fillId="0" borderId="0" xfId="17" applyNumberFormat="1" applyFont="1" applyFill="1" applyBorder="1"/>
    <xf numFmtId="169" fontId="47" fillId="0" borderId="0" xfId="42" applyNumberFormat="1" applyFont="1" applyFill="1" applyBorder="1"/>
    <xf numFmtId="0" fontId="46" fillId="0" borderId="0" xfId="36" applyFont="1" applyAlignment="1">
      <alignment horizontal="center"/>
    </xf>
    <xf numFmtId="4" fontId="47" fillId="0" borderId="0" xfId="17" applyNumberFormat="1" applyFont="1" applyFill="1" applyBorder="1" applyAlignment="1">
      <alignment horizontal="right"/>
    </xf>
    <xf numFmtId="169" fontId="47" fillId="0" borderId="0" xfId="42" applyNumberFormat="1" applyFont="1" applyFill="1" applyBorder="1" applyAlignment="1">
      <alignment horizontal="right"/>
    </xf>
    <xf numFmtId="176" fontId="46" fillId="0" borderId="0" xfId="36" applyNumberFormat="1" applyFont="1" applyAlignment="1">
      <alignment horizontal="right"/>
    </xf>
    <xf numFmtId="175" fontId="47" fillId="0" borderId="11" xfId="40" applyNumberFormat="1" applyFont="1" applyBorder="1" applyAlignment="1">
      <alignment horizontal="left"/>
    </xf>
    <xf numFmtId="171" fontId="47" fillId="0" borderId="11" xfId="37" applyNumberFormat="1" applyFont="1" applyBorder="1" applyAlignment="1">
      <alignment horizontal="center"/>
    </xf>
    <xf numFmtId="171" fontId="47" fillId="0" borderId="11" xfId="37" applyNumberFormat="1" applyFont="1" applyBorder="1" applyAlignment="1">
      <alignment horizontal="right"/>
    </xf>
    <xf numFmtId="171" fontId="47" fillId="0" borderId="11" xfId="37" applyNumberFormat="1" applyFont="1" applyBorder="1"/>
    <xf numFmtId="0" fontId="32" fillId="0" borderId="12" xfId="37" applyFont="1" applyBorder="1"/>
    <xf numFmtId="2" fontId="34" fillId="0" borderId="12" xfId="39" applyFont="1" applyBorder="1" applyAlignment="1">
      <alignment horizontal="right"/>
    </xf>
    <xf numFmtId="169" fontId="31" fillId="0" borderId="0" xfId="37" applyNumberFormat="1" applyFont="1" applyAlignment="1">
      <alignment horizontal="center" vertical="center" wrapText="1"/>
    </xf>
    <xf numFmtId="171" fontId="51" fillId="0" borderId="0" xfId="37" applyNumberFormat="1" applyFont="1"/>
    <xf numFmtId="0" fontId="52" fillId="0" borderId="0" xfId="0" applyFont="1"/>
    <xf numFmtId="9" fontId="58" fillId="0" borderId="0" xfId="37" applyNumberFormat="1" applyFont="1" applyAlignment="1">
      <alignment horizontal="center"/>
    </xf>
    <xf numFmtId="9" fontId="42" fillId="0" borderId="0" xfId="37" applyNumberFormat="1" applyFont="1" applyAlignment="1">
      <alignment horizontal="center"/>
    </xf>
    <xf numFmtId="173" fontId="59" fillId="4" borderId="0" xfId="0" applyNumberFormat="1" applyFont="1" applyFill="1" applyAlignment="1">
      <alignment horizontal="center"/>
    </xf>
    <xf numFmtId="0" fontId="61" fillId="0" borderId="0" xfId="0" applyFont="1"/>
    <xf numFmtId="0" fontId="61" fillId="0" borderId="0" xfId="0" applyFont="1" applyAlignment="1">
      <alignment horizontal="center"/>
    </xf>
    <xf numFmtId="0" fontId="62" fillId="0" borderId="0" xfId="0" applyFont="1"/>
    <xf numFmtId="0" fontId="62" fillId="0" borderId="0" xfId="0" applyFont="1" applyAlignment="1">
      <alignment horizontal="center"/>
    </xf>
    <xf numFmtId="171" fontId="61" fillId="0" borderId="0" xfId="0" applyNumberFormat="1" applyFont="1" applyAlignment="1">
      <alignment horizontal="center"/>
    </xf>
    <xf numFmtId="10" fontId="61" fillId="0" borderId="0" xfId="0" applyNumberFormat="1" applyFont="1" applyAlignment="1">
      <alignment horizontal="center"/>
    </xf>
    <xf numFmtId="169" fontId="61" fillId="0" borderId="0" xfId="0" applyNumberFormat="1" applyFont="1" applyAlignment="1">
      <alignment horizontal="center"/>
    </xf>
    <xf numFmtId="0" fontId="68" fillId="0" borderId="0" xfId="0" applyFont="1" applyAlignment="1">
      <alignment horizontal="center"/>
    </xf>
    <xf numFmtId="173" fontId="62" fillId="0" borderId="0" xfId="0" applyNumberFormat="1" applyFont="1" applyAlignment="1">
      <alignment horizontal="center"/>
    </xf>
    <xf numFmtId="169" fontId="61" fillId="0" borderId="0" xfId="0" applyNumberFormat="1" applyFont="1"/>
    <xf numFmtId="0" fontId="69" fillId="0" borderId="0" xfId="0" applyFont="1"/>
    <xf numFmtId="169" fontId="35" fillId="0" borderId="0" xfId="0" applyNumberFormat="1" applyFont="1" applyAlignment="1">
      <alignment horizontal="center"/>
    </xf>
    <xf numFmtId="174" fontId="61" fillId="0" borderId="0" xfId="0" applyNumberFormat="1" applyFont="1" applyAlignment="1">
      <alignment horizontal="center"/>
    </xf>
    <xf numFmtId="10" fontId="35" fillId="0" borderId="0" xfId="0" applyNumberFormat="1" applyFont="1" applyAlignment="1">
      <alignment horizontal="center"/>
    </xf>
    <xf numFmtId="10" fontId="61" fillId="0" borderId="0" xfId="0" applyNumberFormat="1" applyFont="1"/>
    <xf numFmtId="169" fontId="32" fillId="0" borderId="0" xfId="0" applyNumberFormat="1" applyFont="1" applyAlignment="1">
      <alignment horizontal="center"/>
    </xf>
    <xf numFmtId="173" fontId="61" fillId="0" borderId="0" xfId="0" applyNumberFormat="1" applyFont="1"/>
    <xf numFmtId="173" fontId="62" fillId="0" borderId="0" xfId="0" applyNumberFormat="1" applyFont="1"/>
    <xf numFmtId="171" fontId="61" fillId="0" borderId="0" xfId="0" applyNumberFormat="1" applyFont="1"/>
    <xf numFmtId="171" fontId="62" fillId="0" borderId="0" xfId="0" applyNumberFormat="1" applyFont="1"/>
    <xf numFmtId="10" fontId="32" fillId="0" borderId="0" xfId="37" applyNumberFormat="1" applyFont="1"/>
    <xf numFmtId="169" fontId="66" fillId="0" borderId="0" xfId="0" applyNumberFormat="1" applyFont="1" applyAlignment="1">
      <alignment horizontal="center"/>
    </xf>
    <xf numFmtId="0" fontId="61" fillId="0" borderId="0" xfId="0" applyFont="1" applyAlignment="1">
      <alignment horizontal="left"/>
    </xf>
    <xf numFmtId="170" fontId="61" fillId="0" borderId="0" xfId="0" applyNumberFormat="1" applyFont="1" applyAlignment="1">
      <alignment horizontal="center"/>
    </xf>
    <xf numFmtId="0" fontId="70" fillId="0" borderId="0" xfId="0" applyFont="1" applyAlignment="1">
      <alignment horizontal="center"/>
    </xf>
    <xf numFmtId="170" fontId="62" fillId="0" borderId="0" xfId="0" applyNumberFormat="1" applyFont="1" applyAlignment="1">
      <alignment horizontal="center"/>
    </xf>
    <xf numFmtId="173" fontId="69" fillId="0" borderId="0" xfId="0" applyNumberFormat="1" applyFont="1"/>
    <xf numFmtId="173" fontId="62" fillId="0" borderId="0" xfId="0" applyNumberFormat="1" applyFont="1" applyAlignment="1">
      <alignment horizontal="left"/>
    </xf>
    <xf numFmtId="173" fontId="61" fillId="0" borderId="0" xfId="0" applyNumberFormat="1" applyFont="1" applyAlignment="1">
      <alignment horizontal="left"/>
    </xf>
    <xf numFmtId="173" fontId="61" fillId="0" borderId="0" xfId="0" applyNumberFormat="1" applyFont="1" applyAlignment="1">
      <alignment horizontal="center"/>
    </xf>
    <xf numFmtId="173" fontId="69" fillId="0" borderId="0" xfId="0" applyNumberFormat="1" applyFont="1" applyAlignment="1">
      <alignment horizontal="left"/>
    </xf>
    <xf numFmtId="170" fontId="61" fillId="0" borderId="0" xfId="0" applyNumberFormat="1" applyFont="1"/>
    <xf numFmtId="9" fontId="61" fillId="0" borderId="0" xfId="0" applyNumberFormat="1" applyFont="1" applyAlignment="1">
      <alignment horizontal="center"/>
    </xf>
    <xf numFmtId="4" fontId="61" fillId="0" borderId="0" xfId="0" applyNumberFormat="1" applyFont="1" applyAlignment="1">
      <alignment horizontal="center"/>
    </xf>
    <xf numFmtId="4" fontId="62" fillId="0" borderId="0" xfId="0" applyNumberFormat="1" applyFont="1" applyAlignment="1">
      <alignment horizontal="center"/>
    </xf>
    <xf numFmtId="169" fontId="33" fillId="0" borderId="0" xfId="0" applyNumberFormat="1" applyFont="1" applyAlignment="1">
      <alignment horizontal="center"/>
    </xf>
    <xf numFmtId="171" fontId="70" fillId="0" borderId="0" xfId="0" applyNumberFormat="1" applyFont="1" applyAlignment="1">
      <alignment horizontal="center"/>
    </xf>
    <xf numFmtId="0" fontId="70" fillId="0" borderId="0" xfId="0" applyFont="1"/>
    <xf numFmtId="173" fontId="67" fillId="0" borderId="0" xfId="0" applyNumberFormat="1" applyFont="1" applyAlignment="1">
      <alignment horizontal="center"/>
    </xf>
    <xf numFmtId="173" fontId="30" fillId="0" borderId="0" xfId="0" applyNumberFormat="1" applyFont="1" applyAlignment="1">
      <alignment horizontal="center"/>
    </xf>
    <xf numFmtId="173" fontId="32" fillId="0" borderId="0" xfId="0" applyNumberFormat="1" applyFont="1" applyAlignment="1">
      <alignment horizontal="center"/>
    </xf>
    <xf numFmtId="169" fontId="74" fillId="0" borderId="0" xfId="0" applyNumberFormat="1" applyFont="1" applyAlignment="1">
      <alignment horizontal="center"/>
    </xf>
    <xf numFmtId="173" fontId="72" fillId="0" borderId="0" xfId="0" applyNumberFormat="1" applyFont="1" applyAlignment="1">
      <alignment horizontal="center"/>
    </xf>
    <xf numFmtId="173" fontId="36" fillId="0" borderId="0" xfId="0" applyNumberFormat="1" applyFont="1" applyAlignment="1">
      <alignment horizontal="center"/>
    </xf>
    <xf numFmtId="172" fontId="61" fillId="0" borderId="0" xfId="0" applyNumberFormat="1" applyFont="1"/>
    <xf numFmtId="9" fontId="70" fillId="0" borderId="0" xfId="0" applyNumberFormat="1" applyFont="1" applyAlignment="1">
      <alignment horizontal="center"/>
    </xf>
    <xf numFmtId="171" fontId="76" fillId="0" borderId="0" xfId="0" applyNumberFormat="1" applyFont="1"/>
    <xf numFmtId="0" fontId="76" fillId="0" borderId="0" xfId="0" applyFont="1"/>
    <xf numFmtId="0" fontId="76" fillId="0" borderId="0" xfId="0" applyFont="1" applyAlignment="1">
      <alignment horizontal="center"/>
    </xf>
    <xf numFmtId="173" fontId="70" fillId="0" borderId="0" xfId="0" applyNumberFormat="1" applyFont="1" applyAlignment="1">
      <alignment horizontal="center"/>
    </xf>
    <xf numFmtId="169" fontId="36" fillId="0" borderId="0" xfId="0" applyNumberFormat="1" applyFont="1" applyAlignment="1">
      <alignment horizontal="center"/>
    </xf>
    <xf numFmtId="3" fontId="36" fillId="0" borderId="0" xfId="0" applyNumberFormat="1" applyFont="1" applyAlignment="1">
      <alignment horizontal="center" vertical="center"/>
    </xf>
    <xf numFmtId="10" fontId="30" fillId="0" borderId="0" xfId="0" applyNumberFormat="1" applyFont="1" applyAlignment="1">
      <alignment horizontal="center"/>
    </xf>
    <xf numFmtId="173" fontId="33" fillId="0" borderId="0" xfId="0" applyNumberFormat="1" applyFont="1" applyAlignment="1">
      <alignment horizontal="center"/>
    </xf>
    <xf numFmtId="173" fontId="35" fillId="0" borderId="0" xfId="0" applyNumberFormat="1" applyFont="1" applyAlignment="1">
      <alignment horizontal="center"/>
    </xf>
    <xf numFmtId="0" fontId="74" fillId="0" borderId="0" xfId="0" applyFont="1"/>
    <xf numFmtId="0" fontId="61" fillId="11" borderId="0" xfId="0" applyFont="1" applyFill="1"/>
    <xf numFmtId="0" fontId="77" fillId="11" borderId="0" xfId="0" applyFont="1" applyFill="1"/>
    <xf numFmtId="169" fontId="77" fillId="11" borderId="0" xfId="0" applyNumberFormat="1" applyFont="1" applyFill="1" applyAlignment="1">
      <alignment horizontal="center"/>
    </xf>
    <xf numFmtId="0" fontId="77" fillId="11" borderId="0" xfId="0" applyFont="1" applyFill="1" applyAlignment="1">
      <alignment horizontal="center"/>
    </xf>
    <xf numFmtId="17" fontId="53" fillId="11" borderId="0" xfId="0" applyNumberFormat="1" applyFont="1" applyFill="1" applyAlignment="1">
      <alignment horizontal="center"/>
    </xf>
    <xf numFmtId="0" fontId="53" fillId="11" borderId="0" xfId="0" applyFont="1" applyFill="1" applyAlignment="1">
      <alignment horizontal="center"/>
    </xf>
    <xf numFmtId="17" fontId="77" fillId="11" borderId="0" xfId="0" applyNumberFormat="1" applyFont="1" applyFill="1" applyAlignment="1">
      <alignment horizontal="center"/>
    </xf>
    <xf numFmtId="173" fontId="61" fillId="0" borderId="0" xfId="0" applyNumberFormat="1" applyFont="1" applyAlignment="1">
      <alignment horizontal="center" vertical="center"/>
    </xf>
    <xf numFmtId="173" fontId="70" fillId="0" borderId="0" xfId="0" applyNumberFormat="1" applyFont="1" applyAlignment="1">
      <alignment horizontal="center" vertical="center"/>
    </xf>
    <xf numFmtId="173" fontId="79" fillId="0" borderId="0" xfId="0" applyNumberFormat="1" applyFont="1" applyAlignment="1">
      <alignment horizontal="left"/>
    </xf>
    <xf numFmtId="173" fontId="78" fillId="0" borderId="0" xfId="0" applyNumberFormat="1" applyFont="1" applyAlignment="1">
      <alignment horizontal="center"/>
    </xf>
    <xf numFmtId="173" fontId="38" fillId="4" borderId="0" xfId="0" applyNumberFormat="1" applyFont="1" applyFill="1" applyAlignment="1">
      <alignment horizontal="center"/>
    </xf>
    <xf numFmtId="173" fontId="80" fillId="0" borderId="0" xfId="0" applyNumberFormat="1" applyFont="1" applyAlignment="1">
      <alignment horizontal="center"/>
    </xf>
    <xf numFmtId="169" fontId="81" fillId="0" borderId="0" xfId="0" applyNumberFormat="1" applyFont="1"/>
    <xf numFmtId="169" fontId="81" fillId="0" borderId="0" xfId="0" applyNumberFormat="1" applyFont="1" applyAlignment="1">
      <alignment horizontal="left"/>
    </xf>
    <xf numFmtId="169" fontId="81" fillId="0" borderId="0" xfId="0" applyNumberFormat="1" applyFont="1" applyAlignment="1">
      <alignment horizontal="center"/>
    </xf>
    <xf numFmtId="0" fontId="76" fillId="0" borderId="0" xfId="0" applyFont="1" applyAlignment="1">
      <alignment horizontal="left"/>
    </xf>
    <xf numFmtId="0" fontId="62" fillId="0" borderId="14" xfId="0" applyFont="1" applyBorder="1" applyAlignment="1">
      <alignment horizontal="center"/>
    </xf>
    <xf numFmtId="4" fontId="36" fillId="6" borderId="0" xfId="0" applyNumberFormat="1" applyFont="1" applyFill="1" applyAlignment="1">
      <alignment horizontal="center"/>
    </xf>
    <xf numFmtId="0" fontId="61" fillId="11" borderId="0" xfId="0" applyFont="1" applyFill="1" applyAlignment="1">
      <alignment horizontal="left"/>
    </xf>
    <xf numFmtId="0" fontId="62" fillId="11" borderId="0" xfId="0" applyFont="1" applyFill="1" applyAlignment="1">
      <alignment horizontal="left"/>
    </xf>
    <xf numFmtId="0" fontId="36" fillId="0" borderId="0" xfId="0" applyFont="1"/>
    <xf numFmtId="9" fontId="0" fillId="0" borderId="0" xfId="0" applyNumberFormat="1"/>
    <xf numFmtId="169" fontId="47" fillId="0" borderId="0" xfId="45" applyNumberFormat="1" applyFont="1" applyFill="1" applyBorder="1" applyAlignment="1">
      <alignment horizontal="center"/>
    </xf>
    <xf numFmtId="169" fontId="32" fillId="7" borderId="0" xfId="0" applyNumberFormat="1" applyFont="1" applyFill="1" applyAlignment="1">
      <alignment horizontal="center"/>
    </xf>
    <xf numFmtId="0" fontId="32" fillId="7" borderId="0" xfId="0" applyFont="1" applyFill="1" applyAlignment="1">
      <alignment horizontal="center"/>
    </xf>
    <xf numFmtId="17" fontId="31" fillId="7" borderId="0" xfId="0" applyNumberFormat="1" applyFont="1" applyFill="1" applyAlignment="1">
      <alignment horizontal="center"/>
    </xf>
    <xf numFmtId="0" fontId="31" fillId="7" borderId="0" xfId="0" applyFont="1" applyFill="1" applyAlignment="1">
      <alignment horizontal="center"/>
    </xf>
    <xf numFmtId="17" fontId="32" fillId="7" borderId="0" xfId="0" applyNumberFormat="1" applyFont="1" applyFill="1" applyAlignment="1">
      <alignment horizontal="center"/>
    </xf>
    <xf numFmtId="169" fontId="31" fillId="7" borderId="0" xfId="0" applyNumberFormat="1" applyFont="1" applyFill="1" applyAlignment="1">
      <alignment horizontal="center"/>
    </xf>
    <xf numFmtId="173" fontId="61" fillId="7" borderId="0" xfId="0" applyNumberFormat="1" applyFont="1" applyFill="1" applyAlignment="1">
      <alignment horizontal="center"/>
    </xf>
    <xf numFmtId="173" fontId="62" fillId="7" borderId="0" xfId="0" applyNumberFormat="1" applyFont="1" applyFill="1" applyAlignment="1">
      <alignment horizontal="center"/>
    </xf>
    <xf numFmtId="169" fontId="62" fillId="0" borderId="0" xfId="0" applyNumberFormat="1" applyFont="1" applyAlignment="1">
      <alignment horizontal="center"/>
    </xf>
    <xf numFmtId="0" fontId="62" fillId="0" borderId="0" xfId="0" applyFont="1" applyAlignment="1">
      <alignment horizontal="left"/>
    </xf>
    <xf numFmtId="171" fontId="61" fillId="10" borderId="0" xfId="0" applyNumberFormat="1" applyFont="1" applyFill="1" applyAlignment="1">
      <alignment horizontal="center"/>
    </xf>
    <xf numFmtId="0" fontId="37" fillId="0" borderId="0" xfId="0" applyFont="1"/>
    <xf numFmtId="0" fontId="70" fillId="13" borderId="0" xfId="0" applyFont="1" applyFill="1"/>
    <xf numFmtId="0" fontId="53" fillId="13" borderId="0" xfId="0" applyFont="1" applyFill="1" applyAlignment="1">
      <alignment horizontal="center"/>
    </xf>
    <xf numFmtId="0" fontId="31" fillId="13" borderId="0" xfId="0" applyFont="1" applyFill="1" applyAlignment="1">
      <alignment horizontal="center"/>
    </xf>
    <xf numFmtId="0" fontId="70" fillId="13" borderId="0" xfId="0" applyFont="1" applyFill="1" applyAlignment="1">
      <alignment horizontal="center"/>
    </xf>
    <xf numFmtId="0" fontId="61" fillId="13" borderId="0" xfId="0" applyFont="1" applyFill="1"/>
    <xf numFmtId="0" fontId="61" fillId="13" borderId="0" xfId="0" applyFont="1" applyFill="1" applyAlignment="1">
      <alignment horizontal="center"/>
    </xf>
    <xf numFmtId="173" fontId="70" fillId="7" borderId="0" xfId="0" applyNumberFormat="1" applyFont="1" applyFill="1" applyAlignment="1">
      <alignment horizontal="center"/>
    </xf>
    <xf numFmtId="173" fontId="36" fillId="7" borderId="0" xfId="0" applyNumberFormat="1" applyFont="1" applyFill="1" applyAlignment="1">
      <alignment horizontal="center"/>
    </xf>
    <xf numFmtId="171" fontId="62" fillId="0" borderId="0" xfId="0" applyNumberFormat="1" applyFont="1" applyAlignment="1">
      <alignment horizontal="center"/>
    </xf>
    <xf numFmtId="173" fontId="53" fillId="14" borderId="0" xfId="0" applyNumberFormat="1" applyFont="1" applyFill="1"/>
    <xf numFmtId="173" fontId="62" fillId="14" borderId="0" xfId="0" applyNumberFormat="1" applyFont="1" applyFill="1"/>
    <xf numFmtId="170" fontId="61" fillId="14" borderId="0" xfId="0" applyNumberFormat="1" applyFont="1" applyFill="1" applyAlignment="1">
      <alignment horizontal="center"/>
    </xf>
    <xf numFmtId="0" fontId="83" fillId="14" borderId="0" xfId="0" applyFont="1" applyFill="1" applyAlignment="1">
      <alignment horizontal="left"/>
    </xf>
    <xf numFmtId="173" fontId="72" fillId="7" borderId="0" xfId="0" applyNumberFormat="1" applyFont="1" applyFill="1" applyAlignment="1">
      <alignment horizontal="center"/>
    </xf>
    <xf numFmtId="169" fontId="61" fillId="7" borderId="0" xfId="0" applyNumberFormat="1" applyFont="1" applyFill="1" applyAlignment="1">
      <alignment horizontal="center"/>
    </xf>
    <xf numFmtId="169" fontId="81" fillId="7" borderId="0" xfId="0" applyNumberFormat="1" applyFont="1" applyFill="1" applyAlignment="1">
      <alignment horizontal="center"/>
    </xf>
    <xf numFmtId="169" fontId="35" fillId="7" borderId="0" xfId="0" applyNumberFormat="1" applyFont="1" applyFill="1" applyAlignment="1">
      <alignment horizontal="center"/>
    </xf>
    <xf numFmtId="170" fontId="61" fillId="7" borderId="0" xfId="0" applyNumberFormat="1" applyFont="1" applyFill="1" applyAlignment="1">
      <alignment horizontal="center"/>
    </xf>
    <xf numFmtId="173" fontId="61" fillId="7" borderId="0" xfId="0" applyNumberFormat="1" applyFont="1" applyFill="1"/>
    <xf numFmtId="173" fontId="61" fillId="15" borderId="0" xfId="0" applyNumberFormat="1" applyFont="1" applyFill="1" applyAlignment="1">
      <alignment horizontal="center"/>
    </xf>
    <xf numFmtId="173" fontId="61" fillId="15" borderId="0" xfId="0" applyNumberFormat="1" applyFont="1" applyFill="1" applyAlignment="1">
      <alignment horizontal="left"/>
    </xf>
    <xf numFmtId="169" fontId="61" fillId="0" borderId="0" xfId="42" applyNumberFormat="1" applyFont="1" applyAlignment="1">
      <alignment horizontal="center"/>
    </xf>
    <xf numFmtId="0" fontId="53" fillId="11" borderId="0" xfId="0" applyFont="1" applyFill="1" applyAlignment="1">
      <alignment horizontal="left"/>
    </xf>
    <xf numFmtId="0" fontId="61" fillId="7" borderId="0" xfId="0" applyFont="1" applyFill="1"/>
    <xf numFmtId="0" fontId="115" fillId="0" borderId="0" xfId="0" applyFont="1"/>
    <xf numFmtId="2" fontId="35" fillId="0" borderId="0" xfId="56" applyNumberFormat="1" applyFont="1" applyAlignment="1">
      <alignment horizontal="center"/>
    </xf>
    <xf numFmtId="173" fontId="65" fillId="7" borderId="0" xfId="0" applyNumberFormat="1" applyFont="1" applyFill="1" applyAlignment="1">
      <alignment horizontal="center"/>
    </xf>
    <xf numFmtId="173" fontId="61" fillId="0" borderId="0" xfId="0" quotePrefix="1" applyNumberFormat="1" applyFont="1" applyAlignment="1">
      <alignment horizontal="left" indent="1"/>
    </xf>
    <xf numFmtId="173" fontId="65" fillId="0" borderId="0" xfId="0" applyNumberFormat="1" applyFont="1" applyAlignment="1">
      <alignment horizontal="center" vertical="center"/>
    </xf>
    <xf numFmtId="0" fontId="65" fillId="0" borderId="0" xfId="0" applyFont="1"/>
    <xf numFmtId="170" fontId="61" fillId="7" borderId="0" xfId="0" applyNumberFormat="1" applyFont="1" applyFill="1"/>
    <xf numFmtId="171" fontId="61" fillId="7" borderId="0" xfId="0" applyNumberFormat="1" applyFont="1" applyFill="1"/>
    <xf numFmtId="0" fontId="61" fillId="7" borderId="0" xfId="0" applyFont="1" applyFill="1" applyAlignment="1">
      <alignment horizontal="center"/>
    </xf>
    <xf numFmtId="172" fontId="61" fillId="7" borderId="0" xfId="0" applyNumberFormat="1" applyFont="1" applyFill="1" applyAlignment="1">
      <alignment horizontal="center"/>
    </xf>
    <xf numFmtId="172" fontId="61" fillId="0" borderId="0" xfId="0" applyNumberFormat="1" applyFont="1" applyAlignment="1">
      <alignment horizontal="center"/>
    </xf>
    <xf numFmtId="2" fontId="61" fillId="0" borderId="0" xfId="0" applyNumberFormat="1" applyFont="1" applyAlignment="1">
      <alignment horizontal="center"/>
    </xf>
    <xf numFmtId="170" fontId="32" fillId="0" borderId="0" xfId="0" applyNumberFormat="1" applyFont="1" applyAlignment="1">
      <alignment horizontal="center"/>
    </xf>
    <xf numFmtId="0" fontId="53" fillId="11" borderId="0" xfId="0" applyFont="1" applyFill="1"/>
    <xf numFmtId="171" fontId="61" fillId="7" borderId="0" xfId="0" applyNumberFormat="1" applyFont="1" applyFill="1" applyAlignment="1">
      <alignment horizontal="center"/>
    </xf>
    <xf numFmtId="173" fontId="32" fillId="7" borderId="0" xfId="0" applyNumberFormat="1" applyFont="1" applyFill="1" applyAlignment="1">
      <alignment horizontal="center"/>
    </xf>
    <xf numFmtId="171" fontId="70" fillId="7" borderId="0" xfId="0" applyNumberFormat="1" applyFont="1" applyFill="1" applyAlignment="1">
      <alignment horizontal="center"/>
    </xf>
    <xf numFmtId="173" fontId="65" fillId="0" borderId="0" xfId="0" applyNumberFormat="1" applyFont="1" applyAlignment="1">
      <alignment horizontal="left"/>
    </xf>
    <xf numFmtId="0" fontId="62" fillId="7" borderId="0" xfId="0" applyFont="1" applyFill="1"/>
    <xf numFmtId="170" fontId="65" fillId="0" borderId="0" xfId="0" applyNumberFormat="1" applyFont="1" applyAlignment="1">
      <alignment horizontal="center"/>
    </xf>
    <xf numFmtId="2" fontId="61" fillId="7" borderId="0" xfId="0" applyNumberFormat="1" applyFont="1" applyFill="1"/>
    <xf numFmtId="2" fontId="61" fillId="7" borderId="0" xfId="0" applyNumberFormat="1" applyFont="1" applyFill="1" applyAlignment="1">
      <alignment horizontal="center"/>
    </xf>
    <xf numFmtId="4" fontId="61" fillId="7" borderId="0" xfId="0" applyNumberFormat="1" applyFont="1" applyFill="1"/>
    <xf numFmtId="4" fontId="61" fillId="7" borderId="0" xfId="0" applyNumberFormat="1" applyFont="1" applyFill="1" applyAlignment="1">
      <alignment horizontal="center"/>
    </xf>
    <xf numFmtId="9" fontId="61" fillId="7" borderId="0" xfId="42" applyFont="1" applyFill="1" applyAlignment="1">
      <alignment horizontal="center"/>
    </xf>
    <xf numFmtId="169" fontId="61" fillId="7" borderId="0" xfId="0" applyNumberFormat="1" applyFont="1" applyFill="1"/>
    <xf numFmtId="172" fontId="46" fillId="0" borderId="7" xfId="37" applyNumberFormat="1" applyFont="1" applyBorder="1"/>
    <xf numFmtId="172" fontId="46" fillId="0" borderId="0" xfId="37" applyNumberFormat="1" applyFont="1" applyAlignment="1">
      <alignment horizontal="center"/>
    </xf>
    <xf numFmtId="172" fontId="46" fillId="0" borderId="0" xfId="42" applyNumberFormat="1" applyFont="1" applyAlignment="1">
      <alignment horizontal="right"/>
    </xf>
    <xf numFmtId="9" fontId="31" fillId="0" borderId="0" xfId="37" applyNumberFormat="1" applyFont="1" applyAlignment="1">
      <alignment horizontal="center"/>
    </xf>
    <xf numFmtId="0" fontId="66" fillId="0" borderId="0" xfId="0" applyFont="1"/>
    <xf numFmtId="166" fontId="61" fillId="0" borderId="0" xfId="0" applyNumberFormat="1" applyFont="1" applyAlignment="1">
      <alignment horizontal="center"/>
    </xf>
    <xf numFmtId="0" fontId="74" fillId="0" borderId="0" xfId="0" applyFont="1" applyAlignment="1">
      <alignment horizontal="left"/>
    </xf>
    <xf numFmtId="171" fontId="56" fillId="7" borderId="0" xfId="18" applyNumberFormat="1" applyFont="1" applyFill="1" applyBorder="1" applyAlignment="1">
      <alignment horizontal="center" vertical="center"/>
    </xf>
    <xf numFmtId="169" fontId="53" fillId="11" borderId="0" xfId="0" applyNumberFormat="1" applyFont="1" applyFill="1" applyAlignment="1">
      <alignment horizontal="center"/>
    </xf>
    <xf numFmtId="2" fontId="117" fillId="31" borderId="17" xfId="37" applyNumberFormat="1" applyFont="1" applyFill="1" applyBorder="1" applyAlignment="1">
      <alignment horizontal="center" vertical="center" wrapText="1"/>
    </xf>
    <xf numFmtId="0" fontId="68" fillId="0" borderId="0" xfId="0" applyFont="1"/>
    <xf numFmtId="175" fontId="46" fillId="32" borderId="7" xfId="36" applyNumberFormat="1" applyFont="1" applyFill="1" applyBorder="1" applyAlignment="1">
      <alignment horizontal="left"/>
    </xf>
    <xf numFmtId="171" fontId="46" fillId="32" borderId="0" xfId="17" applyNumberFormat="1" applyFont="1" applyFill="1" applyBorder="1" applyAlignment="1">
      <alignment horizontal="right" vertical="center"/>
    </xf>
    <xf numFmtId="172" fontId="46" fillId="32" borderId="0" xfId="36" applyNumberFormat="1" applyFont="1" applyFill="1" applyAlignment="1">
      <alignment horizontal="center"/>
    </xf>
    <xf numFmtId="0" fontId="46" fillId="32" borderId="7" xfId="36" quotePrefix="1" applyFont="1" applyFill="1" applyBorder="1" applyAlignment="1" applyProtection="1">
      <alignment horizontal="left"/>
      <protection locked="0"/>
    </xf>
    <xf numFmtId="169" fontId="47" fillId="32" borderId="0" xfId="36" applyNumberFormat="1" applyFont="1" applyFill="1" applyAlignment="1">
      <alignment horizontal="right"/>
    </xf>
    <xf numFmtId="169" fontId="46" fillId="32" borderId="0" xfId="37" applyNumberFormat="1" applyFont="1" applyFill="1" applyAlignment="1">
      <alignment horizontal="center"/>
    </xf>
    <xf numFmtId="175" fontId="118" fillId="0" borderId="7" xfId="40" applyNumberFormat="1" applyFont="1" applyBorder="1" applyAlignment="1">
      <alignment horizontal="left"/>
    </xf>
    <xf numFmtId="175" fontId="118" fillId="0" borderId="7" xfId="45" applyNumberFormat="1" applyFont="1" applyBorder="1" applyAlignment="1">
      <alignment horizontal="left"/>
    </xf>
    <xf numFmtId="3" fontId="48" fillId="0" borderId="0" xfId="38" applyNumberFormat="1" applyFont="1" applyBorder="1" applyAlignment="1">
      <alignment horizontal="center"/>
    </xf>
    <xf numFmtId="2" fontId="119" fillId="0" borderId="4" xfId="39" applyFont="1" applyBorder="1"/>
    <xf numFmtId="0" fontId="0" fillId="0" borderId="0" xfId="0" applyAlignment="1">
      <alignment horizontal="center"/>
    </xf>
    <xf numFmtId="0" fontId="29" fillId="0" borderId="0" xfId="0" applyFont="1" applyAlignment="1">
      <alignment horizontal="center"/>
    </xf>
    <xf numFmtId="170" fontId="62" fillId="0" borderId="0" xfId="0" applyNumberFormat="1" applyFont="1"/>
    <xf numFmtId="171" fontId="31" fillId="0" borderId="0" xfId="0" applyNumberFormat="1" applyFont="1" applyAlignment="1">
      <alignment horizontal="center"/>
    </xf>
    <xf numFmtId="0" fontId="62" fillId="7" borderId="0" xfId="0" applyFont="1" applyFill="1" applyAlignment="1">
      <alignment horizontal="center"/>
    </xf>
    <xf numFmtId="172" fontId="36" fillId="7" borderId="0" xfId="0" applyNumberFormat="1" applyFont="1" applyFill="1" applyAlignment="1">
      <alignment horizontal="center"/>
    </xf>
    <xf numFmtId="2" fontId="44" fillId="32" borderId="0" xfId="39" applyFont="1" applyFill="1" applyBorder="1" applyAlignment="1">
      <alignment horizontal="left"/>
    </xf>
    <xf numFmtId="171" fontId="46" fillId="32" borderId="0" xfId="17" applyNumberFormat="1" applyFont="1" applyFill="1" applyBorder="1" applyAlignment="1">
      <alignment horizontal="center"/>
    </xf>
    <xf numFmtId="4" fontId="61" fillId="0" borderId="0" xfId="0" applyNumberFormat="1" applyFont="1"/>
    <xf numFmtId="169" fontId="62" fillId="7" borderId="0" xfId="0" applyNumberFormat="1" applyFont="1" applyFill="1" applyAlignment="1">
      <alignment horizontal="center"/>
    </xf>
    <xf numFmtId="2" fontId="34" fillId="0" borderId="27" xfId="39" applyFont="1" applyBorder="1" applyAlignment="1">
      <alignment horizontal="right"/>
    </xf>
    <xf numFmtId="2" fontId="120" fillId="0" borderId="0" xfId="24" applyNumberFormat="1" applyFont="1" applyBorder="1" applyAlignment="1" applyProtection="1">
      <alignment horizontal="right"/>
    </xf>
    <xf numFmtId="10" fontId="62" fillId="0" borderId="0" xfId="0" applyNumberFormat="1" applyFont="1"/>
    <xf numFmtId="173" fontId="52" fillId="7" borderId="0" xfId="0" applyNumberFormat="1" applyFont="1" applyFill="1" applyAlignment="1">
      <alignment horizontal="center"/>
    </xf>
    <xf numFmtId="171" fontId="67" fillId="0" borderId="0" xfId="0" applyNumberFormat="1" applyFont="1" applyAlignment="1">
      <alignment horizontal="center"/>
    </xf>
    <xf numFmtId="171" fontId="32" fillId="0" borderId="0" xfId="0" applyNumberFormat="1" applyFont="1" applyAlignment="1">
      <alignment horizontal="center"/>
    </xf>
    <xf numFmtId="171" fontId="52" fillId="7" borderId="0" xfId="0" applyNumberFormat="1" applyFont="1" applyFill="1" applyAlignment="1">
      <alignment horizontal="center"/>
    </xf>
    <xf numFmtId="173" fontId="55" fillId="7" borderId="0" xfId="0" applyNumberFormat="1" applyFont="1" applyFill="1" applyAlignment="1">
      <alignment horizontal="center"/>
    </xf>
    <xf numFmtId="171" fontId="36" fillId="0" borderId="0" xfId="0" applyNumberFormat="1" applyFont="1" applyAlignment="1">
      <alignment horizontal="center"/>
    </xf>
    <xf numFmtId="171" fontId="74" fillId="0" borderId="0" xfId="0" quotePrefix="1" applyNumberFormat="1" applyFont="1"/>
    <xf numFmtId="169" fontId="74" fillId="0" borderId="0" xfId="42" applyNumberFormat="1" applyFont="1" applyFill="1" applyAlignment="1">
      <alignment horizontal="center"/>
    </xf>
    <xf numFmtId="10" fontId="62" fillId="0" borderId="0" xfId="0" applyNumberFormat="1" applyFont="1" applyAlignment="1">
      <alignment horizontal="center"/>
    </xf>
    <xf numFmtId="171" fontId="62" fillId="10" borderId="0" xfId="0" applyNumberFormat="1" applyFont="1" applyFill="1" applyAlignment="1">
      <alignment horizontal="center"/>
    </xf>
    <xf numFmtId="171" fontId="31" fillId="7" borderId="14" xfId="0" applyNumberFormat="1" applyFont="1" applyFill="1" applyBorder="1" applyAlignment="1">
      <alignment horizontal="center"/>
    </xf>
    <xf numFmtId="0" fontId="61" fillId="6" borderId="0" xfId="0" applyFont="1" applyFill="1" applyAlignment="1">
      <alignment horizontal="center"/>
    </xf>
    <xf numFmtId="169" fontId="66" fillId="7" borderId="0" xfId="0" applyNumberFormat="1" applyFont="1" applyFill="1" applyAlignment="1">
      <alignment horizontal="left"/>
    </xf>
    <xf numFmtId="172" fontId="35" fillId="0" borderId="0" xfId="56" applyNumberFormat="1" applyFont="1" applyAlignment="1">
      <alignment horizontal="center"/>
    </xf>
    <xf numFmtId="10" fontId="67" fillId="0" borderId="0" xfId="0" applyNumberFormat="1" applyFont="1" applyAlignment="1">
      <alignment horizontal="center"/>
    </xf>
    <xf numFmtId="171" fontId="62" fillId="7" borderId="0" xfId="0" applyNumberFormat="1" applyFont="1" applyFill="1" applyAlignment="1">
      <alignment horizontal="center"/>
    </xf>
    <xf numFmtId="0" fontId="62" fillId="0" borderId="14" xfId="0" applyFont="1" applyBorder="1"/>
    <xf numFmtId="173" fontId="36" fillId="9" borderId="0" xfId="0" applyNumberFormat="1" applyFont="1" applyFill="1" applyAlignment="1">
      <alignment horizontal="center"/>
    </xf>
    <xf numFmtId="174" fontId="61" fillId="9" borderId="0" xfId="0" applyNumberFormat="1" applyFont="1" applyFill="1" applyAlignment="1">
      <alignment horizontal="center"/>
    </xf>
    <xf numFmtId="10" fontId="61" fillId="9" borderId="0" xfId="0" applyNumberFormat="1" applyFont="1" applyFill="1" applyAlignment="1">
      <alignment horizontal="center"/>
    </xf>
    <xf numFmtId="171" fontId="62" fillId="9" borderId="0" xfId="0" applyNumberFormat="1" applyFont="1" applyFill="1" applyAlignment="1">
      <alignment horizontal="center"/>
    </xf>
    <xf numFmtId="10" fontId="62" fillId="9" borderId="0" xfId="0" applyNumberFormat="1" applyFont="1" applyFill="1" applyAlignment="1">
      <alignment horizontal="center"/>
    </xf>
    <xf numFmtId="0" fontId="62" fillId="9" borderId="0" xfId="0" applyFont="1" applyFill="1" applyAlignment="1">
      <alignment horizontal="center"/>
    </xf>
    <xf numFmtId="173" fontId="61" fillId="6" borderId="0" xfId="0" applyNumberFormat="1" applyFont="1" applyFill="1" applyAlignment="1">
      <alignment horizontal="center"/>
    </xf>
    <xf numFmtId="169" fontId="81" fillId="7" borderId="0" xfId="42" applyNumberFormat="1" applyFont="1" applyFill="1" applyAlignment="1">
      <alignment horizontal="center"/>
    </xf>
    <xf numFmtId="169" fontId="75" fillId="7" borderId="0" xfId="42" applyNumberFormat="1" applyFont="1" applyFill="1" applyAlignment="1">
      <alignment horizontal="center"/>
    </xf>
    <xf numFmtId="171" fontId="65" fillId="7" borderId="0" xfId="0" applyNumberFormat="1" applyFont="1" applyFill="1" applyAlignment="1">
      <alignment horizontal="center"/>
    </xf>
    <xf numFmtId="173" fontId="61" fillId="8" borderId="0" xfId="0" applyNumberFormat="1" applyFont="1" applyFill="1" applyAlignment="1">
      <alignment horizontal="left"/>
    </xf>
    <xf numFmtId="173" fontId="61" fillId="0" borderId="0" xfId="0" applyNumberFormat="1" applyFont="1" applyAlignment="1">
      <alignment horizontal="left" indent="2"/>
    </xf>
    <xf numFmtId="173" fontId="61" fillId="0" borderId="0" xfId="0" applyNumberFormat="1" applyFont="1" applyAlignment="1">
      <alignment horizontal="left" indent="4"/>
    </xf>
    <xf numFmtId="173" fontId="62" fillId="6" borderId="0" xfId="0" applyNumberFormat="1" applyFont="1" applyFill="1" applyAlignment="1">
      <alignment horizontal="center"/>
    </xf>
    <xf numFmtId="173" fontId="82" fillId="7" borderId="0" xfId="0" applyNumberFormat="1" applyFont="1" applyFill="1" applyAlignment="1">
      <alignment horizontal="center"/>
    </xf>
    <xf numFmtId="171" fontId="74" fillId="0" borderId="0" xfId="0" applyNumberFormat="1" applyFont="1" applyAlignment="1">
      <alignment horizontal="center"/>
    </xf>
    <xf numFmtId="171" fontId="61" fillId="15" borderId="0" xfId="0" applyNumberFormat="1" applyFont="1" applyFill="1" applyAlignment="1">
      <alignment horizontal="center"/>
    </xf>
    <xf numFmtId="171" fontId="81" fillId="7" borderId="0" xfId="42" applyNumberFormat="1" applyFont="1" applyFill="1" applyAlignment="1">
      <alignment horizontal="center"/>
    </xf>
    <xf numFmtId="171" fontId="36" fillId="7" borderId="0" xfId="0" applyNumberFormat="1" applyFont="1" applyFill="1" applyAlignment="1">
      <alignment horizontal="center"/>
    </xf>
    <xf numFmtId="171" fontId="62" fillId="0" borderId="14" xfId="0" applyNumberFormat="1" applyFont="1" applyBorder="1" applyAlignment="1">
      <alignment horizontal="center"/>
    </xf>
    <xf numFmtId="173" fontId="59" fillId="15" borderId="0" xfId="0" applyNumberFormat="1" applyFont="1" applyFill="1" applyAlignment="1">
      <alignment horizontal="center"/>
    </xf>
    <xf numFmtId="0" fontId="76" fillId="15" borderId="0" xfId="0" applyFont="1" applyFill="1" applyAlignment="1">
      <alignment horizontal="center"/>
    </xf>
    <xf numFmtId="171" fontId="59" fillId="15" borderId="0" xfId="0" applyNumberFormat="1" applyFont="1" applyFill="1" applyAlignment="1">
      <alignment horizontal="center"/>
    </xf>
    <xf numFmtId="170" fontId="62" fillId="7" borderId="0" xfId="0" applyNumberFormat="1" applyFont="1" applyFill="1"/>
    <xf numFmtId="170" fontId="69" fillId="7" borderId="0" xfId="0" applyNumberFormat="1" applyFont="1" applyFill="1"/>
    <xf numFmtId="170" fontId="62" fillId="7" borderId="0" xfId="0" applyNumberFormat="1" applyFont="1" applyFill="1" applyAlignment="1">
      <alignment horizontal="center"/>
    </xf>
    <xf numFmtId="170" fontId="31" fillId="0" borderId="0" xfId="0" applyNumberFormat="1" applyFont="1" applyAlignment="1">
      <alignment horizontal="center"/>
    </xf>
    <xf numFmtId="0" fontId="75" fillId="7" borderId="0" xfId="0" applyFont="1" applyFill="1"/>
    <xf numFmtId="9" fontId="70" fillId="7" borderId="0" xfId="0" applyNumberFormat="1" applyFont="1" applyFill="1" applyAlignment="1">
      <alignment horizontal="center"/>
    </xf>
    <xf numFmtId="0" fontId="55" fillId="0" borderId="0" xfId="0" applyFont="1"/>
    <xf numFmtId="0" fontId="54" fillId="0" borderId="0" xfId="0" applyFont="1"/>
    <xf numFmtId="0" fontId="124" fillId="0" borderId="0" xfId="0" applyFont="1"/>
    <xf numFmtId="169" fontId="65" fillId="0" borderId="0" xfId="0" applyNumberFormat="1" applyFont="1" applyAlignment="1">
      <alignment horizontal="center"/>
    </xf>
    <xf numFmtId="0" fontId="55" fillId="31" borderId="16" xfId="0" applyFont="1" applyFill="1" applyBorder="1" applyAlignment="1">
      <alignment horizontal="center"/>
    </xf>
    <xf numFmtId="0" fontId="77" fillId="12" borderId="0" xfId="0" applyFont="1" applyFill="1"/>
    <xf numFmtId="0" fontId="83" fillId="12" borderId="0" xfId="0" applyFont="1" applyFill="1"/>
    <xf numFmtId="0" fontId="53" fillId="12" borderId="0" xfId="0" applyFont="1" applyFill="1" applyAlignment="1">
      <alignment horizontal="center"/>
    </xf>
    <xf numFmtId="0" fontId="77" fillId="34" borderId="0" xfId="0" applyFont="1" applyFill="1"/>
    <xf numFmtId="0" fontId="83" fillId="34" borderId="0" xfId="0" applyFont="1" applyFill="1"/>
    <xf numFmtId="0" fontId="53" fillId="34" borderId="0" xfId="0" applyFont="1" applyFill="1" applyAlignment="1">
      <alignment horizontal="center"/>
    </xf>
    <xf numFmtId="0" fontId="61" fillId="15" borderId="0" xfId="0" applyFont="1" applyFill="1"/>
    <xf numFmtId="0" fontId="61" fillId="15" borderId="0" xfId="0" applyFont="1" applyFill="1" applyAlignment="1">
      <alignment horizontal="center"/>
    </xf>
    <xf numFmtId="169" fontId="66" fillId="7" borderId="0" xfId="0" applyNumberFormat="1" applyFont="1" applyFill="1" applyAlignment="1">
      <alignment horizontal="center"/>
    </xf>
    <xf numFmtId="2" fontId="36" fillId="7" borderId="0" xfId="0" applyNumberFormat="1" applyFont="1" applyFill="1" applyAlignment="1">
      <alignment horizontal="center"/>
    </xf>
    <xf numFmtId="173" fontId="61" fillId="0" borderId="0" xfId="0" quotePrefix="1" applyNumberFormat="1" applyFont="1" applyAlignment="1">
      <alignment horizontal="left"/>
    </xf>
    <xf numFmtId="169" fontId="32" fillId="7" borderId="0" xfId="42" applyNumberFormat="1" applyFont="1" applyFill="1" applyAlignment="1">
      <alignment horizontal="center"/>
    </xf>
    <xf numFmtId="0" fontId="61" fillId="7" borderId="0" xfId="0" quotePrefix="1" applyFont="1" applyFill="1"/>
    <xf numFmtId="170" fontId="61" fillId="7" borderId="0" xfId="0" applyNumberFormat="1" applyFont="1" applyFill="1" applyAlignment="1">
      <alignment horizontal="left" indent="1"/>
    </xf>
    <xf numFmtId="0" fontId="69" fillId="7" borderId="0" xfId="0" applyFont="1" applyFill="1"/>
    <xf numFmtId="169" fontId="74" fillId="7" borderId="0" xfId="42" applyNumberFormat="1" applyFont="1" applyFill="1" applyAlignment="1">
      <alignment horizontal="center"/>
    </xf>
    <xf numFmtId="0" fontId="61" fillId="35" borderId="0" xfId="0" applyFont="1" applyFill="1"/>
    <xf numFmtId="0" fontId="61" fillId="35" borderId="0" xfId="0" applyFont="1" applyFill="1" applyAlignment="1">
      <alignment horizontal="center"/>
    </xf>
    <xf numFmtId="0" fontId="36" fillId="0" borderId="0" xfId="0" applyFont="1" applyAlignment="1">
      <alignment horizontal="left"/>
    </xf>
    <xf numFmtId="0" fontId="36" fillId="0" borderId="0" xfId="0" applyFont="1" applyAlignment="1">
      <alignment horizontal="center"/>
    </xf>
    <xf numFmtId="173" fontId="125" fillId="14" borderId="0" xfId="0" applyNumberFormat="1" applyFont="1" applyFill="1"/>
    <xf numFmtId="173" fontId="61" fillId="0" borderId="0" xfId="0" applyNumberFormat="1" applyFont="1" applyAlignment="1">
      <alignment horizontal="center" vertical="center" wrapText="1"/>
    </xf>
    <xf numFmtId="173" fontId="35" fillId="0" borderId="0" xfId="0" applyNumberFormat="1" applyFont="1" applyAlignment="1">
      <alignment horizontal="center" vertical="center"/>
    </xf>
    <xf numFmtId="0" fontId="35" fillId="0" borderId="0" xfId="0" applyFont="1"/>
    <xf numFmtId="3" fontId="36" fillId="7" borderId="0" xfId="0" applyNumberFormat="1" applyFont="1" applyFill="1" applyAlignment="1">
      <alignment horizontal="center"/>
    </xf>
    <xf numFmtId="169" fontId="70" fillId="7" borderId="0" xfId="42" applyNumberFormat="1" applyFont="1" applyFill="1" applyAlignment="1">
      <alignment horizontal="center"/>
    </xf>
    <xf numFmtId="171" fontId="61" fillId="0" borderId="0" xfId="0" quotePrefix="1" applyNumberFormat="1" applyFont="1"/>
    <xf numFmtId="171" fontId="62" fillId="0" borderId="0" xfId="0" quotePrefix="1" applyNumberFormat="1" applyFont="1"/>
    <xf numFmtId="169" fontId="68" fillId="0" borderId="0" xfId="42" applyNumberFormat="1" applyFont="1" applyFill="1" applyAlignment="1">
      <alignment horizontal="center"/>
    </xf>
    <xf numFmtId="169" fontId="68" fillId="7" borderId="0" xfId="42" applyNumberFormat="1" applyFont="1" applyFill="1" applyAlignment="1">
      <alignment horizontal="center"/>
    </xf>
    <xf numFmtId="173" fontId="59" fillId="15" borderId="0" xfId="0" applyNumberFormat="1" applyFont="1" applyFill="1" applyAlignment="1">
      <alignment horizontal="left"/>
    </xf>
    <xf numFmtId="0" fontId="74" fillId="0" borderId="0" xfId="0" applyFont="1" applyAlignment="1">
      <alignment horizontal="center"/>
    </xf>
    <xf numFmtId="169" fontId="127" fillId="7" borderId="0" xfId="42" applyNumberFormat="1" applyFont="1" applyFill="1" applyAlignment="1">
      <alignment horizontal="center"/>
    </xf>
    <xf numFmtId="171" fontId="64" fillId="0" borderId="0" xfId="0" applyNumberFormat="1" applyFont="1" applyAlignment="1">
      <alignment horizontal="center"/>
    </xf>
    <xf numFmtId="169" fontId="70" fillId="0" borderId="0" xfId="42" applyNumberFormat="1" applyFont="1" applyFill="1" applyAlignment="1">
      <alignment horizontal="center"/>
    </xf>
    <xf numFmtId="169" fontId="127" fillId="0" borderId="0" xfId="42" applyNumberFormat="1" applyFont="1" applyFill="1" applyAlignment="1">
      <alignment horizontal="center"/>
    </xf>
    <xf numFmtId="0" fontId="62" fillId="10" borderId="0" xfId="0" applyFont="1" applyFill="1"/>
    <xf numFmtId="0" fontId="62" fillId="10" borderId="0" xfId="0" applyFont="1" applyFill="1" applyAlignment="1">
      <alignment horizontal="center"/>
    </xf>
    <xf numFmtId="171" fontId="62" fillId="7" borderId="0" xfId="0" applyNumberFormat="1" applyFont="1" applyFill="1"/>
    <xf numFmtId="166" fontId="35" fillId="7" borderId="0" xfId="56" applyFont="1" applyFill="1" applyAlignment="1">
      <alignment horizontal="center"/>
    </xf>
    <xf numFmtId="171" fontId="70" fillId="10" borderId="0" xfId="0" applyNumberFormat="1" applyFont="1" applyFill="1" applyAlignment="1">
      <alignment horizontal="center"/>
    </xf>
    <xf numFmtId="0" fontId="61" fillId="10" borderId="0" xfId="0" applyFont="1" applyFill="1" applyAlignment="1">
      <alignment horizontal="center"/>
    </xf>
    <xf numFmtId="169" fontId="35" fillId="10" borderId="0" xfId="0" applyNumberFormat="1" applyFont="1" applyFill="1" applyAlignment="1">
      <alignment horizontal="center"/>
    </xf>
    <xf numFmtId="169" fontId="74" fillId="10" borderId="0" xfId="42" applyNumberFormat="1" applyFont="1" applyFill="1" applyAlignment="1">
      <alignment horizontal="center"/>
    </xf>
    <xf numFmtId="173" fontId="36" fillId="10" borderId="0" xfId="0" applyNumberFormat="1" applyFont="1" applyFill="1" applyAlignment="1">
      <alignment horizontal="center"/>
    </xf>
    <xf numFmtId="173" fontId="30" fillId="10" borderId="0" xfId="0" applyNumberFormat="1" applyFont="1" applyFill="1" applyAlignment="1">
      <alignment horizontal="center"/>
    </xf>
    <xf numFmtId="171" fontId="36" fillId="10" borderId="0" xfId="0" applyNumberFormat="1" applyFont="1" applyFill="1" applyAlignment="1">
      <alignment horizontal="center"/>
    </xf>
    <xf numFmtId="9" fontId="35" fillId="0" borderId="0" xfId="42" applyFont="1" applyAlignment="1">
      <alignment horizontal="center"/>
    </xf>
    <xf numFmtId="170" fontId="32" fillId="7" borderId="0" xfId="0" applyNumberFormat="1" applyFont="1" applyFill="1" applyAlignment="1">
      <alignment horizontal="center"/>
    </xf>
    <xf numFmtId="171" fontId="68" fillId="0" borderId="0" xfId="0" quotePrefix="1" applyNumberFormat="1" applyFont="1"/>
    <xf numFmtId="171" fontId="55" fillId="7" borderId="0" xfId="0" applyNumberFormat="1" applyFont="1" applyFill="1" applyAlignment="1">
      <alignment horizontal="center"/>
    </xf>
    <xf numFmtId="171" fontId="66" fillId="15" borderId="0" xfId="0" applyNumberFormat="1" applyFont="1" applyFill="1" applyAlignment="1">
      <alignment horizontal="center"/>
    </xf>
    <xf numFmtId="171" fontId="62" fillId="15" borderId="0" xfId="0" applyNumberFormat="1" applyFont="1" applyFill="1" applyAlignment="1">
      <alignment horizontal="center"/>
    </xf>
    <xf numFmtId="173" fontId="62" fillId="15" borderId="0" xfId="0" applyNumberFormat="1" applyFont="1" applyFill="1" applyAlignment="1">
      <alignment horizontal="left"/>
    </xf>
    <xf numFmtId="173" fontId="62" fillId="15" borderId="0" xfId="0" applyNumberFormat="1" applyFont="1" applyFill="1" applyAlignment="1">
      <alignment horizontal="center"/>
    </xf>
    <xf numFmtId="173" fontId="130" fillId="14" borderId="0" xfId="0" applyNumberFormat="1" applyFont="1" applyFill="1"/>
    <xf numFmtId="172" fontId="62" fillId="0" borderId="0" xfId="0" applyNumberFormat="1" applyFont="1" applyAlignment="1">
      <alignment horizontal="center"/>
    </xf>
    <xf numFmtId="0" fontId="131" fillId="0" borderId="0" xfId="0" applyFont="1"/>
    <xf numFmtId="172" fontId="65" fillId="0" borderId="0" xfId="0" applyNumberFormat="1" applyFont="1" applyAlignment="1">
      <alignment horizontal="center"/>
    </xf>
    <xf numFmtId="172" fontId="66" fillId="0" borderId="0" xfId="0" applyNumberFormat="1" applyFont="1" applyAlignment="1">
      <alignment horizontal="center"/>
    </xf>
    <xf numFmtId="172" fontId="132" fillId="0" borderId="0" xfId="0" applyNumberFormat="1" applyFont="1" applyAlignment="1">
      <alignment horizontal="center"/>
    </xf>
    <xf numFmtId="171" fontId="40" fillId="7" borderId="0" xfId="0" applyNumberFormat="1" applyFont="1" applyFill="1" applyAlignment="1">
      <alignment horizontal="center"/>
    </xf>
    <xf numFmtId="0" fontId="74" fillId="0" borderId="0" xfId="0" quotePrefix="1" applyFont="1" applyAlignment="1">
      <alignment horizontal="left"/>
    </xf>
    <xf numFmtId="169" fontId="81" fillId="7" borderId="0" xfId="235" applyNumberFormat="1" applyFont="1" applyFill="1" applyAlignment="1">
      <alignment horizontal="center"/>
    </xf>
    <xf numFmtId="9" fontId="65" fillId="0" borderId="0" xfId="0" applyNumberFormat="1" applyFont="1" applyAlignment="1">
      <alignment horizontal="center"/>
    </xf>
    <xf numFmtId="0" fontId="63" fillId="6" borderId="0" xfId="0" applyFont="1" applyFill="1"/>
    <xf numFmtId="0" fontId="63" fillId="6" borderId="0" xfId="0" applyFont="1" applyFill="1" applyAlignment="1">
      <alignment horizontal="center"/>
    </xf>
    <xf numFmtId="172" fontId="133" fillId="6" borderId="0" xfId="0" applyNumberFormat="1" applyFont="1" applyFill="1" applyAlignment="1">
      <alignment horizontal="center"/>
    </xf>
    <xf numFmtId="172" fontId="63" fillId="6" borderId="0" xfId="0" applyNumberFormat="1" applyFont="1" applyFill="1" applyAlignment="1">
      <alignment horizontal="center"/>
    </xf>
    <xf numFmtId="0" fontId="133" fillId="6" borderId="0" xfId="0" applyFont="1" applyFill="1" applyAlignment="1">
      <alignment horizontal="center"/>
    </xf>
    <xf numFmtId="169" fontId="32" fillId="7" borderId="0" xfId="235" applyNumberFormat="1" applyFont="1" applyFill="1" applyAlignment="1">
      <alignment horizontal="center"/>
    </xf>
    <xf numFmtId="164" fontId="36" fillId="7" borderId="0" xfId="235" applyNumberFormat="1" applyFont="1" applyFill="1" applyAlignment="1">
      <alignment horizontal="center"/>
    </xf>
    <xf numFmtId="0" fontId="134" fillId="0" borderId="0" xfId="0" applyFont="1"/>
    <xf numFmtId="9" fontId="81" fillId="7" borderId="0" xfId="235" applyFont="1" applyFill="1" applyAlignment="1">
      <alignment horizontal="center"/>
    </xf>
    <xf numFmtId="9" fontId="73" fillId="0" borderId="0" xfId="0" applyNumberFormat="1" applyFont="1" applyAlignment="1">
      <alignment horizontal="center"/>
    </xf>
    <xf numFmtId="171" fontId="64" fillId="7" borderId="0" xfId="0" applyNumberFormat="1" applyFont="1" applyFill="1" applyAlignment="1">
      <alignment horizontal="center"/>
    </xf>
    <xf numFmtId="0" fontId="64" fillId="0" borderId="0" xfId="0" applyFont="1" applyAlignment="1">
      <alignment horizontal="center"/>
    </xf>
    <xf numFmtId="9" fontId="32" fillId="7" borderId="0" xfId="235" applyFont="1" applyFill="1" applyAlignment="1">
      <alignment horizontal="center"/>
    </xf>
    <xf numFmtId="169" fontId="135" fillId="7" borderId="0" xfId="235" applyNumberFormat="1" applyFont="1" applyFill="1" applyAlignment="1">
      <alignment horizontal="center"/>
    </xf>
    <xf numFmtId="0" fontId="61" fillId="0" borderId="0" xfId="0" quotePrefix="1" applyFont="1" applyAlignment="1">
      <alignment horizontal="left" indent="1"/>
    </xf>
    <xf numFmtId="0" fontId="126" fillId="0" borderId="0" xfId="0" applyFont="1"/>
    <xf numFmtId="0" fontId="61" fillId="0" borderId="0" xfId="0" quotePrefix="1" applyFont="1" applyAlignment="1">
      <alignment horizontal="left"/>
    </xf>
    <xf numFmtId="173" fontId="61" fillId="0" borderId="0" xfId="0" applyNumberFormat="1" applyFont="1" applyAlignment="1">
      <alignment horizontal="left" indent="1"/>
    </xf>
    <xf numFmtId="169" fontId="135" fillId="0" borderId="0" xfId="235" applyNumberFormat="1" applyFont="1" applyFill="1" applyAlignment="1">
      <alignment horizontal="center"/>
    </xf>
    <xf numFmtId="173" fontId="62" fillId="7" borderId="0" xfId="0" quotePrefix="1" applyNumberFormat="1" applyFont="1" applyFill="1" applyAlignment="1">
      <alignment horizontal="center"/>
    </xf>
    <xf numFmtId="2" fontId="136" fillId="0" borderId="0" xfId="56" applyNumberFormat="1" applyFont="1" applyAlignment="1">
      <alignment horizontal="center"/>
    </xf>
    <xf numFmtId="2" fontId="136" fillId="0" borderId="0" xfId="56" applyNumberFormat="1" applyFont="1" applyFill="1" applyAlignment="1">
      <alignment horizontal="center"/>
    </xf>
    <xf numFmtId="173" fontId="52" fillId="0" borderId="0" xfId="0" applyNumberFormat="1" applyFont="1" applyAlignment="1">
      <alignment horizontal="center"/>
    </xf>
    <xf numFmtId="173" fontId="55" fillId="0" borderId="0" xfId="0" applyNumberFormat="1" applyFont="1" applyAlignment="1">
      <alignment horizontal="center"/>
    </xf>
    <xf numFmtId="0" fontId="32" fillId="7" borderId="0" xfId="200" applyFont="1" applyFill="1"/>
    <xf numFmtId="172" fontId="31" fillId="7" borderId="0" xfId="200" applyNumberFormat="1" applyFont="1" applyFill="1"/>
    <xf numFmtId="0" fontId="137" fillId="7" borderId="0" xfId="200" applyFont="1" applyFill="1"/>
    <xf numFmtId="0" fontId="31" fillId="7" borderId="0" xfId="200" applyFont="1" applyFill="1"/>
    <xf numFmtId="172" fontId="138" fillId="0" borderId="0" xfId="0" applyNumberFormat="1" applyFont="1" applyAlignment="1">
      <alignment horizontal="center"/>
    </xf>
    <xf numFmtId="172" fontId="137" fillId="0" borderId="0" xfId="0" applyNumberFormat="1" applyFont="1" applyAlignment="1">
      <alignment horizontal="center"/>
    </xf>
    <xf numFmtId="172" fontId="64" fillId="0" borderId="0" xfId="0" applyNumberFormat="1" applyFont="1" applyAlignment="1">
      <alignment horizontal="center"/>
    </xf>
    <xf numFmtId="170" fontId="139" fillId="0" borderId="0" xfId="0" applyNumberFormat="1" applyFont="1" applyAlignment="1">
      <alignment horizontal="center"/>
    </xf>
    <xf numFmtId="170" fontId="140" fillId="0" borderId="0" xfId="0" applyNumberFormat="1" applyFont="1" applyAlignment="1">
      <alignment horizontal="center"/>
    </xf>
    <xf numFmtId="173" fontId="140" fillId="0" borderId="0" xfId="0" applyNumberFormat="1" applyFont="1" applyAlignment="1">
      <alignment horizontal="center"/>
    </xf>
    <xf numFmtId="173" fontId="139" fillId="0" borderId="0" xfId="0" applyNumberFormat="1" applyFont="1" applyAlignment="1">
      <alignment horizontal="center"/>
    </xf>
    <xf numFmtId="173" fontId="140" fillId="0" borderId="0" xfId="0" applyNumberFormat="1" applyFont="1" applyAlignment="1">
      <alignment horizontal="left"/>
    </xf>
    <xf numFmtId="4" fontId="61" fillId="15" borderId="0" xfId="0" applyNumberFormat="1" applyFont="1" applyFill="1" applyAlignment="1">
      <alignment horizontal="center"/>
    </xf>
    <xf numFmtId="9" fontId="61" fillId="0" borderId="0" xfId="42" applyFont="1" applyAlignment="1">
      <alignment horizontal="center"/>
    </xf>
    <xf numFmtId="2" fontId="32" fillId="0" borderId="0" xfId="56" applyNumberFormat="1" applyFont="1" applyAlignment="1">
      <alignment horizontal="center"/>
    </xf>
    <xf numFmtId="169" fontId="65" fillId="7" borderId="0" xfId="42" applyNumberFormat="1" applyFont="1" applyFill="1" applyAlignment="1">
      <alignment horizontal="center"/>
    </xf>
    <xf numFmtId="173" fontId="141" fillId="0" borderId="0" xfId="0" applyNumberFormat="1" applyFont="1" applyAlignment="1">
      <alignment horizontal="center"/>
    </xf>
    <xf numFmtId="169" fontId="35" fillId="0" borderId="0" xfId="42" applyNumberFormat="1" applyFont="1" applyAlignment="1">
      <alignment horizontal="center"/>
    </xf>
    <xf numFmtId="3" fontId="62" fillId="0" borderId="0" xfId="0" applyNumberFormat="1" applyFont="1" applyAlignment="1">
      <alignment horizontal="center" vertical="center"/>
    </xf>
    <xf numFmtId="171" fontId="62" fillId="0" borderId="0" xfId="0" applyNumberFormat="1" applyFont="1" applyAlignment="1">
      <alignment horizontal="center" vertical="center"/>
    </xf>
    <xf numFmtId="169" fontId="33" fillId="0" borderId="0" xfId="42" applyNumberFormat="1" applyFont="1" applyAlignment="1">
      <alignment horizontal="center"/>
    </xf>
    <xf numFmtId="171" fontId="61" fillId="0" borderId="0" xfId="0" applyNumberFormat="1" applyFont="1" applyAlignment="1">
      <alignment horizontal="center" vertical="center"/>
    </xf>
    <xf numFmtId="4" fontId="36" fillId="7" borderId="0" xfId="0" applyNumberFormat="1" applyFont="1" applyFill="1" applyAlignment="1">
      <alignment horizontal="center"/>
    </xf>
    <xf numFmtId="2" fontId="61" fillId="0" borderId="0" xfId="56" applyNumberFormat="1" applyFont="1" applyAlignment="1">
      <alignment horizontal="center"/>
    </xf>
    <xf numFmtId="173" fontId="33" fillId="7" borderId="0" xfId="0" applyNumberFormat="1" applyFont="1" applyFill="1" applyAlignment="1">
      <alignment horizontal="center"/>
    </xf>
    <xf numFmtId="4" fontId="32" fillId="4" borderId="0" xfId="0" applyNumberFormat="1" applyFont="1" applyFill="1" applyAlignment="1">
      <alignment horizontal="center"/>
    </xf>
    <xf numFmtId="3" fontId="32" fillId="4" borderId="0" xfId="0" applyNumberFormat="1" applyFont="1" applyFill="1" applyAlignment="1">
      <alignment horizontal="center" vertical="center"/>
    </xf>
    <xf numFmtId="2" fontId="70" fillId="0" borderId="0" xfId="56" applyNumberFormat="1" applyFont="1" applyAlignment="1">
      <alignment horizontal="center"/>
    </xf>
    <xf numFmtId="3" fontId="32" fillId="0" borderId="0" xfId="0" applyNumberFormat="1" applyFont="1" applyAlignment="1">
      <alignment horizontal="center" vertical="center"/>
    </xf>
    <xf numFmtId="2" fontId="35" fillId="0" borderId="0" xfId="56" applyNumberFormat="1" applyFont="1" applyFill="1" applyAlignment="1">
      <alignment horizontal="center"/>
    </xf>
    <xf numFmtId="169" fontId="36" fillId="6" borderId="0" xfId="0" applyNumberFormat="1" applyFont="1" applyFill="1" applyAlignment="1">
      <alignment horizontal="center"/>
    </xf>
    <xf numFmtId="173" fontId="62" fillId="0" borderId="0" xfId="0" applyNumberFormat="1" applyFont="1" applyAlignment="1">
      <alignment horizontal="left" indent="2"/>
    </xf>
    <xf numFmtId="173" fontId="40" fillId="0" borderId="0" xfId="0" applyNumberFormat="1" applyFont="1" applyAlignment="1">
      <alignment horizontal="center"/>
    </xf>
    <xf numFmtId="9" fontId="61" fillId="0" borderId="0" xfId="0" quotePrefix="1" applyNumberFormat="1" applyFont="1" applyAlignment="1">
      <alignment horizontal="left"/>
    </xf>
    <xf numFmtId="9" fontId="62" fillId="0" borderId="0" xfId="0" quotePrefix="1" applyNumberFormat="1" applyFont="1" applyAlignment="1">
      <alignment horizontal="left"/>
    </xf>
    <xf numFmtId="4" fontId="61" fillId="0" borderId="0" xfId="56" applyNumberFormat="1" applyFont="1" applyFill="1" applyAlignment="1">
      <alignment horizontal="center"/>
    </xf>
    <xf numFmtId="9" fontId="75" fillId="0" borderId="0" xfId="0" applyNumberFormat="1" applyFont="1" applyAlignment="1">
      <alignment horizontal="center"/>
    </xf>
    <xf numFmtId="171" fontId="68" fillId="0" borderId="0" xfId="0" applyNumberFormat="1" applyFont="1" applyAlignment="1">
      <alignment horizontal="center"/>
    </xf>
    <xf numFmtId="4" fontId="32" fillId="7" borderId="0" xfId="235" applyNumberFormat="1" applyFont="1" applyFill="1" applyAlignment="1">
      <alignment horizontal="center" vertical="center"/>
    </xf>
    <xf numFmtId="4" fontId="66" fillId="0" borderId="0" xfId="56" applyNumberFormat="1" applyFont="1" applyAlignment="1">
      <alignment horizontal="center"/>
    </xf>
    <xf numFmtId="171" fontId="35" fillId="7" borderId="0" xfId="0" applyNumberFormat="1" applyFont="1" applyFill="1" applyAlignment="1">
      <alignment horizontal="center"/>
    </xf>
    <xf numFmtId="171" fontId="32" fillId="4" borderId="0" xfId="0" applyNumberFormat="1" applyFont="1" applyFill="1" applyAlignment="1">
      <alignment horizontal="center"/>
    </xf>
    <xf numFmtId="170" fontId="70" fillId="0" borderId="0" xfId="0" applyNumberFormat="1" applyFont="1" applyAlignment="1">
      <alignment horizontal="center"/>
    </xf>
    <xf numFmtId="170" fontId="35" fillId="0" borderId="0" xfId="0" applyNumberFormat="1" applyFont="1" applyAlignment="1">
      <alignment horizontal="center"/>
    </xf>
    <xf numFmtId="173" fontId="31" fillId="7" borderId="0" xfId="0" applyNumberFormat="1" applyFont="1" applyFill="1" applyAlignment="1">
      <alignment horizontal="center"/>
    </xf>
    <xf numFmtId="4" fontId="138" fillId="0" borderId="0" xfId="0" applyNumberFormat="1" applyFont="1" applyAlignment="1">
      <alignment horizontal="center"/>
    </xf>
    <xf numFmtId="4" fontId="62" fillId="7" borderId="0" xfId="0" applyNumberFormat="1" applyFont="1" applyFill="1" applyAlignment="1">
      <alignment horizontal="center"/>
    </xf>
    <xf numFmtId="0" fontId="61" fillId="0" borderId="0" xfId="0" quotePrefix="1" applyFont="1"/>
    <xf numFmtId="191" fontId="36" fillId="0" borderId="0" xfId="0" applyNumberFormat="1" applyFont="1" applyAlignment="1">
      <alignment horizontal="center"/>
    </xf>
    <xf numFmtId="2" fontId="33" fillId="7" borderId="0" xfId="0" applyNumberFormat="1" applyFont="1" applyFill="1" applyAlignment="1">
      <alignment horizontal="center"/>
    </xf>
    <xf numFmtId="0" fontId="62" fillId="7" borderId="0" xfId="0" quotePrefix="1" applyFont="1" applyFill="1"/>
    <xf numFmtId="171" fontId="33" fillId="7" borderId="0" xfId="0" applyNumberFormat="1" applyFont="1" applyFill="1" applyAlignment="1">
      <alignment horizontal="center"/>
    </xf>
    <xf numFmtId="4" fontId="40" fillId="0" borderId="0" xfId="0" applyNumberFormat="1" applyFont="1" applyAlignment="1">
      <alignment horizontal="center"/>
    </xf>
    <xf numFmtId="173" fontId="66" fillId="0" borderId="0" xfId="0" applyNumberFormat="1" applyFont="1" applyAlignment="1">
      <alignment horizontal="center"/>
    </xf>
    <xf numFmtId="4" fontId="62" fillId="0" borderId="0" xfId="0" applyNumberFormat="1" applyFont="1"/>
    <xf numFmtId="4" fontId="62" fillId="0" borderId="0" xfId="0" applyNumberFormat="1" applyFont="1" applyAlignment="1">
      <alignment horizontal="left" indent="2"/>
    </xf>
    <xf numFmtId="4" fontId="62" fillId="0" borderId="0" xfId="0" applyNumberFormat="1" applyFont="1" applyAlignment="1">
      <alignment horizontal="left"/>
    </xf>
    <xf numFmtId="4" fontId="35" fillId="0" borderId="0" xfId="0" applyNumberFormat="1" applyFont="1" applyAlignment="1">
      <alignment horizontal="center"/>
    </xf>
    <xf numFmtId="4" fontId="70" fillId="0" borderId="0" xfId="0" applyNumberFormat="1" applyFont="1" applyAlignment="1">
      <alignment horizontal="center"/>
    </xf>
    <xf numFmtId="4" fontId="66" fillId="0" borderId="0" xfId="0" applyNumberFormat="1" applyFont="1" applyAlignment="1">
      <alignment horizontal="center"/>
    </xf>
    <xf numFmtId="9" fontId="142" fillId="7" borderId="0" xfId="235" applyFont="1" applyFill="1" applyAlignment="1">
      <alignment horizontal="center"/>
    </xf>
    <xf numFmtId="4" fontId="36" fillId="0" borderId="0" xfId="0" applyNumberFormat="1" applyFont="1" applyAlignment="1">
      <alignment horizontal="center"/>
    </xf>
    <xf numFmtId="0" fontId="143" fillId="0" borderId="0" xfId="0" applyFont="1"/>
    <xf numFmtId="173" fontId="134" fillId="0" borderId="0" xfId="0" applyNumberFormat="1" applyFont="1"/>
    <xf numFmtId="4" fontId="61" fillId="7" borderId="0" xfId="0" quotePrefix="1" applyNumberFormat="1" applyFont="1" applyFill="1"/>
    <xf numFmtId="171" fontId="33" fillId="0" borderId="0" xfId="0" applyNumberFormat="1" applyFont="1" applyAlignment="1">
      <alignment horizontal="center"/>
    </xf>
    <xf numFmtId="173" fontId="61" fillId="36" borderId="0" xfId="0" applyNumberFormat="1" applyFont="1" applyFill="1" applyAlignment="1">
      <alignment horizontal="left"/>
    </xf>
    <xf numFmtId="173" fontId="61" fillId="36" borderId="0" xfId="0" applyNumberFormat="1" applyFont="1" applyFill="1" applyAlignment="1">
      <alignment horizontal="center" vertical="center"/>
    </xf>
    <xf numFmtId="170" fontId="61" fillId="36" borderId="0" xfId="0" applyNumberFormat="1" applyFont="1" applyFill="1" applyAlignment="1">
      <alignment horizontal="center"/>
    </xf>
    <xf numFmtId="169" fontId="74" fillId="36" borderId="0" xfId="0" applyNumberFormat="1" applyFont="1" applyFill="1" applyAlignment="1">
      <alignment horizontal="center"/>
    </xf>
    <xf numFmtId="170" fontId="44" fillId="0" borderId="0" xfId="0" applyNumberFormat="1" applyFont="1" applyAlignment="1">
      <alignment horizontal="center"/>
    </xf>
    <xf numFmtId="172" fontId="70" fillId="0" borderId="0" xfId="0" applyNumberFormat="1" applyFont="1" applyAlignment="1">
      <alignment horizontal="center"/>
    </xf>
    <xf numFmtId="169" fontId="66" fillId="0" borderId="0" xfId="42" applyNumberFormat="1" applyFont="1" applyAlignment="1">
      <alignment horizontal="center"/>
    </xf>
    <xf numFmtId="169" fontId="144" fillId="0" borderId="0" xfId="0" applyNumberFormat="1" applyFont="1" applyAlignment="1">
      <alignment horizontal="center"/>
    </xf>
    <xf numFmtId="2" fontId="66" fillId="0" borderId="0" xfId="0" applyNumberFormat="1" applyFont="1"/>
    <xf numFmtId="2" fontId="62" fillId="0" borderId="0" xfId="0" applyNumberFormat="1" applyFont="1" applyAlignment="1">
      <alignment horizontal="center"/>
    </xf>
    <xf numFmtId="2" fontId="74" fillId="0" borderId="0" xfId="42" applyNumberFormat="1" applyFont="1" applyFill="1" applyAlignment="1">
      <alignment horizontal="center"/>
    </xf>
    <xf numFmtId="2" fontId="74" fillId="7" borderId="0" xfId="42" applyNumberFormat="1" applyFont="1" applyFill="1" applyAlignment="1">
      <alignment horizontal="center"/>
    </xf>
    <xf numFmtId="2" fontId="62" fillId="0" borderId="0" xfId="0" applyNumberFormat="1" applyFont="1"/>
    <xf numFmtId="169" fontId="81" fillId="0" borderId="0" xfId="235" applyNumberFormat="1" applyFont="1" applyFill="1" applyAlignment="1">
      <alignment horizontal="center"/>
    </xf>
    <xf numFmtId="173" fontId="62" fillId="37" borderId="0" xfId="0" applyNumberFormat="1" applyFont="1" applyFill="1"/>
    <xf numFmtId="173" fontId="62" fillId="37" borderId="0" xfId="0" applyNumberFormat="1" applyFont="1" applyFill="1" applyAlignment="1">
      <alignment horizontal="left"/>
    </xf>
    <xf numFmtId="173" fontId="62" fillId="37" borderId="0" xfId="0" applyNumberFormat="1" applyFont="1" applyFill="1" applyAlignment="1">
      <alignment horizontal="center"/>
    </xf>
    <xf numFmtId="173" fontId="141" fillId="37" borderId="0" xfId="0" applyNumberFormat="1" applyFont="1" applyFill="1" applyAlignment="1">
      <alignment horizontal="center"/>
    </xf>
    <xf numFmtId="173" fontId="64" fillId="0" borderId="0" xfId="0" applyNumberFormat="1" applyFont="1" applyAlignment="1">
      <alignment horizontal="center"/>
    </xf>
    <xf numFmtId="0" fontId="62" fillId="37" borderId="0" xfId="0" applyFont="1" applyFill="1"/>
    <xf numFmtId="0" fontId="52" fillId="0" borderId="0" xfId="0" applyFont="1" applyAlignment="1">
      <alignment horizontal="left"/>
    </xf>
    <xf numFmtId="169" fontId="74" fillId="7" borderId="0" xfId="0" applyNumberFormat="1" applyFont="1" applyFill="1" applyAlignment="1">
      <alignment horizontal="center"/>
    </xf>
    <xf numFmtId="169" fontId="47" fillId="0" borderId="0" xfId="42" applyNumberFormat="1" applyFont="1" applyFill="1" applyBorder="1" applyAlignment="1">
      <alignment horizontal="center"/>
    </xf>
    <xf numFmtId="175" fontId="47" fillId="0" borderId="0" xfId="19" applyNumberFormat="1" applyFont="1" applyFill="1" applyBorder="1"/>
    <xf numFmtId="2" fontId="61" fillId="0" borderId="0" xfId="0" applyNumberFormat="1" applyFont="1"/>
    <xf numFmtId="170" fontId="71" fillId="0" borderId="0" xfId="0" applyNumberFormat="1" applyFont="1" applyAlignment="1">
      <alignment horizontal="center"/>
    </xf>
    <xf numFmtId="173" fontId="64" fillId="0" borderId="0" xfId="0" applyNumberFormat="1" applyFont="1"/>
    <xf numFmtId="4" fontId="0" fillId="0" borderId="0" xfId="0" applyNumberFormat="1" applyAlignment="1">
      <alignment horizontal="center"/>
    </xf>
    <xf numFmtId="0" fontId="134" fillId="0" borderId="0" xfId="0" applyFont="1" applyAlignment="1">
      <alignment horizontal="left"/>
    </xf>
    <xf numFmtId="170" fontId="73" fillId="0" borderId="0" xfId="0" applyNumberFormat="1" applyFont="1" applyAlignment="1">
      <alignment horizontal="center"/>
    </xf>
    <xf numFmtId="0" fontId="69" fillId="0" borderId="0" xfId="0" applyFont="1" applyAlignment="1">
      <alignment horizontal="left"/>
    </xf>
    <xf numFmtId="4" fontId="61" fillId="6" borderId="0" xfId="0" applyNumberFormat="1" applyFont="1" applyFill="1" applyAlignment="1">
      <alignment horizontal="center"/>
    </xf>
    <xf numFmtId="175" fontId="118" fillId="0" borderId="7" xfId="36" applyNumberFormat="1" applyFont="1" applyBorder="1" applyAlignment="1">
      <alignment horizontal="left" vertical="center"/>
    </xf>
    <xf numFmtId="170" fontId="40" fillId="0" borderId="0" xfId="0" applyNumberFormat="1" applyFont="1" applyAlignment="1">
      <alignment horizontal="center"/>
    </xf>
    <xf numFmtId="0" fontId="65" fillId="0" borderId="0" xfId="0" applyFont="1" applyAlignment="1">
      <alignment horizontal="left"/>
    </xf>
    <xf numFmtId="2" fontId="44" fillId="0" borderId="7" xfId="39" applyFont="1" applyBorder="1" applyAlignment="1">
      <alignment horizontal="left"/>
    </xf>
    <xf numFmtId="0" fontId="47" fillId="0" borderId="28" xfId="37" applyFont="1" applyBorder="1"/>
    <xf numFmtId="175" fontId="49" fillId="3" borderId="0" xfId="36" applyNumberFormat="1" applyFont="1" applyFill="1" applyAlignment="1">
      <alignment horizontal="left"/>
    </xf>
    <xf numFmtId="169" fontId="61" fillId="7" borderId="0" xfId="42" applyNumberFormat="1" applyFont="1" applyFill="1" applyAlignment="1">
      <alignment horizontal="center"/>
    </xf>
    <xf numFmtId="2" fontId="48" fillId="0" borderId="7" xfId="39" applyFont="1" applyBorder="1" applyAlignment="1">
      <alignment horizontal="left"/>
    </xf>
    <xf numFmtId="0" fontId="32" fillId="0" borderId="0" xfId="37" applyFont="1" applyAlignment="1">
      <alignment horizontal="center"/>
    </xf>
    <xf numFmtId="2" fontId="32" fillId="15" borderId="0" xfId="39" applyFont="1" applyFill="1" applyBorder="1" applyAlignment="1">
      <alignment horizontal="center"/>
    </xf>
    <xf numFmtId="175" fontId="47" fillId="0" borderId="10" xfId="36" applyNumberFormat="1" applyFont="1" applyBorder="1" applyAlignment="1">
      <alignment horizontal="center"/>
    </xf>
    <xf numFmtId="0" fontId="31" fillId="0" borderId="0" xfId="37" applyFont="1" applyAlignment="1">
      <alignment horizontal="center"/>
    </xf>
    <xf numFmtId="3" fontId="32" fillId="0" borderId="0" xfId="42" applyNumberFormat="1" applyFont="1" applyFill="1" applyAlignment="1">
      <alignment horizontal="center"/>
    </xf>
    <xf numFmtId="2" fontId="32" fillId="15" borderId="0" xfId="39" applyFont="1" applyFill="1" applyBorder="1" applyAlignment="1">
      <alignment horizontal="left"/>
    </xf>
    <xf numFmtId="181" fontId="44" fillId="0" borderId="7" xfId="38" applyNumberFormat="1" applyFont="1" applyBorder="1" applyAlignment="1">
      <alignment horizontal="left"/>
    </xf>
    <xf numFmtId="171" fontId="46" fillId="0" borderId="0" xfId="36" applyNumberFormat="1" applyFont="1" applyAlignment="1">
      <alignment horizontal="right"/>
    </xf>
    <xf numFmtId="3" fontId="44" fillId="0" borderId="0" xfId="38" applyNumberFormat="1" applyFont="1" applyBorder="1" applyAlignment="1">
      <alignment horizontal="center"/>
    </xf>
    <xf numFmtId="170" fontId="36" fillId="0" borderId="0" xfId="0" applyNumberFormat="1" applyFont="1" applyAlignment="1">
      <alignment horizontal="center"/>
    </xf>
    <xf numFmtId="4" fontId="62" fillId="7" borderId="0" xfId="0" applyNumberFormat="1" applyFont="1" applyFill="1"/>
    <xf numFmtId="171" fontId="31" fillId="4" borderId="0" xfId="0" applyNumberFormat="1" applyFont="1" applyFill="1" applyAlignment="1">
      <alignment horizontal="center"/>
    </xf>
    <xf numFmtId="171" fontId="59" fillId="4" borderId="0" xfId="0" applyNumberFormat="1" applyFont="1" applyFill="1" applyAlignment="1">
      <alignment horizontal="center"/>
    </xf>
    <xf numFmtId="171" fontId="59" fillId="0" borderId="0" xfId="0" applyNumberFormat="1" applyFont="1" applyAlignment="1">
      <alignment horizontal="center"/>
    </xf>
    <xf numFmtId="173" fontId="147" fillId="0" borderId="0" xfId="0" applyNumberFormat="1" applyFont="1" applyAlignment="1">
      <alignment horizontal="center"/>
    </xf>
    <xf numFmtId="173" fontId="148" fillId="0" borderId="0" xfId="0" applyNumberFormat="1" applyFont="1" applyAlignment="1">
      <alignment horizontal="center"/>
    </xf>
    <xf numFmtId="171" fontId="146" fillId="0" borderId="0" xfId="0" applyNumberFormat="1" applyFont="1" applyAlignment="1">
      <alignment horizontal="center"/>
    </xf>
    <xf numFmtId="173" fontId="146" fillId="0" borderId="0" xfId="0" applyNumberFormat="1" applyFont="1" applyAlignment="1">
      <alignment horizontal="center"/>
    </xf>
    <xf numFmtId="173" fontId="149" fillId="15" borderId="0" xfId="0" applyNumberFormat="1" applyFont="1" applyFill="1" applyAlignment="1">
      <alignment horizontal="center"/>
    </xf>
    <xf numFmtId="0" fontId="146" fillId="0" borderId="0" xfId="0" applyFont="1" applyAlignment="1">
      <alignment horizontal="center"/>
    </xf>
    <xf numFmtId="173" fontId="149" fillId="0" borderId="0" xfId="0" applyNumberFormat="1" applyFont="1" applyAlignment="1">
      <alignment horizontal="center"/>
    </xf>
    <xf numFmtId="0" fontId="149" fillId="0" borderId="0" xfId="0" applyFont="1" applyAlignment="1">
      <alignment horizontal="center"/>
    </xf>
    <xf numFmtId="0" fontId="150" fillId="13" borderId="0" xfId="0" applyFont="1" applyFill="1"/>
    <xf numFmtId="0" fontId="150" fillId="35" borderId="0" xfId="0" applyFont="1" applyFill="1"/>
    <xf numFmtId="173" fontId="74" fillId="0" borderId="0" xfId="0" applyNumberFormat="1" applyFont="1"/>
    <xf numFmtId="4" fontId="74" fillId="0" borderId="0" xfId="0" applyNumberFormat="1" applyFont="1"/>
    <xf numFmtId="4" fontId="46" fillId="32" borderId="0" xfId="36" applyNumberFormat="1" applyFont="1" applyFill="1" applyAlignment="1">
      <alignment horizontal="center"/>
    </xf>
    <xf numFmtId="169" fontId="47" fillId="7" borderId="0" xfId="36" applyNumberFormat="1" applyFont="1" applyFill="1" applyAlignment="1">
      <alignment horizontal="center"/>
    </xf>
    <xf numFmtId="169" fontId="32" fillId="0" borderId="0" xfId="42" applyNumberFormat="1" applyFont="1" applyFill="1" applyAlignment="1">
      <alignment horizontal="center"/>
    </xf>
    <xf numFmtId="0" fontId="52" fillId="0" borderId="0" xfId="0" applyFont="1" applyAlignment="1">
      <alignment horizontal="center" vertical="center"/>
    </xf>
    <xf numFmtId="9" fontId="52" fillId="0" borderId="0" xfId="235" applyFont="1" applyAlignment="1">
      <alignment horizontal="center" vertical="center"/>
    </xf>
    <xf numFmtId="172" fontId="52" fillId="0" borderId="0" xfId="0" applyNumberFormat="1" applyFont="1" applyAlignment="1">
      <alignment horizontal="center" vertical="center"/>
    </xf>
    <xf numFmtId="2" fontId="62" fillId="7" borderId="0" xfId="0" applyNumberFormat="1" applyFont="1" applyFill="1"/>
    <xf numFmtId="169" fontId="36" fillId="31" borderId="0" xfId="0" applyNumberFormat="1" applyFont="1" applyFill="1" applyAlignment="1">
      <alignment horizontal="center"/>
    </xf>
    <xf numFmtId="0" fontId="54" fillId="38" borderId="0" xfId="0" applyFont="1" applyFill="1"/>
    <xf numFmtId="171" fontId="61" fillId="38" borderId="0" xfId="0" applyNumberFormat="1" applyFont="1" applyFill="1"/>
    <xf numFmtId="0" fontId="52" fillId="38" borderId="0" xfId="0" applyFont="1" applyFill="1"/>
    <xf numFmtId="0" fontId="62" fillId="37" borderId="0" xfId="0" applyFont="1" applyFill="1" applyAlignment="1">
      <alignment horizontal="left"/>
    </xf>
    <xf numFmtId="170" fontId="62" fillId="37" borderId="0" xfId="0" applyNumberFormat="1" applyFont="1" applyFill="1" applyAlignment="1">
      <alignment horizontal="center"/>
    </xf>
    <xf numFmtId="4" fontId="36" fillId="37" borderId="0" xfId="0" applyNumberFormat="1" applyFont="1" applyFill="1" applyAlignment="1">
      <alignment horizontal="center"/>
    </xf>
    <xf numFmtId="2" fontId="44" fillId="0" borderId="0" xfId="39" applyFont="1" applyBorder="1" applyAlignment="1">
      <alignment horizontal="left"/>
    </xf>
    <xf numFmtId="169" fontId="46" fillId="0" borderId="0" xfId="42" applyNumberFormat="1" applyFont="1" applyFill="1" applyBorder="1" applyAlignment="1">
      <alignment horizontal="center"/>
    </xf>
    <xf numFmtId="9" fontId="55" fillId="0" borderId="0" xfId="235" applyFont="1" applyAlignment="1">
      <alignment horizontal="center" vertical="center"/>
    </xf>
    <xf numFmtId="0" fontId="55" fillId="0" borderId="0" xfId="0" applyFont="1" applyAlignment="1">
      <alignment horizontal="center" vertical="center"/>
    </xf>
    <xf numFmtId="171" fontId="69" fillId="37" borderId="0" xfId="0" applyNumberFormat="1" applyFont="1" applyFill="1"/>
    <xf numFmtId="0" fontId="55" fillId="37" borderId="0" xfId="0" applyFont="1" applyFill="1" applyAlignment="1">
      <alignment horizontal="center"/>
    </xf>
    <xf numFmtId="0" fontId="52" fillId="0" borderId="0" xfId="0" applyFont="1" applyAlignment="1">
      <alignment horizontal="center"/>
    </xf>
    <xf numFmtId="0" fontId="54" fillId="0" borderId="0" xfId="0" applyFont="1" applyAlignment="1">
      <alignment horizontal="left"/>
    </xf>
    <xf numFmtId="171" fontId="67" fillId="31" borderId="0" xfId="0" applyNumberFormat="1" applyFont="1" applyFill="1" applyAlignment="1">
      <alignment horizontal="center"/>
    </xf>
    <xf numFmtId="9" fontId="52" fillId="0" borderId="0" xfId="235" applyFont="1" applyAlignment="1">
      <alignment horizontal="center"/>
    </xf>
    <xf numFmtId="0" fontId="55" fillId="0" borderId="27" xfId="0" applyFont="1" applyBorder="1"/>
    <xf numFmtId="171" fontId="55" fillId="0" borderId="27" xfId="0" applyNumberFormat="1" applyFont="1" applyBorder="1" applyAlignment="1">
      <alignment horizontal="center"/>
    </xf>
    <xf numFmtId="9" fontId="55" fillId="0" borderId="27" xfId="235" applyFont="1" applyBorder="1" applyAlignment="1">
      <alignment horizontal="center"/>
    </xf>
    <xf numFmtId="171" fontId="52" fillId="0" borderId="0" xfId="0" applyNumberFormat="1" applyFont="1" applyAlignment="1">
      <alignment horizontal="center"/>
    </xf>
    <xf numFmtId="172" fontId="52" fillId="7" borderId="0" xfId="0" applyNumberFormat="1" applyFont="1" applyFill="1" applyAlignment="1">
      <alignment horizontal="center"/>
    </xf>
    <xf numFmtId="171" fontId="69" fillId="0" borderId="0" xfId="0" applyNumberFormat="1" applyFont="1"/>
    <xf numFmtId="172" fontId="52" fillId="0" borderId="0" xfId="0" applyNumberFormat="1" applyFont="1" applyAlignment="1">
      <alignment horizontal="center"/>
    </xf>
    <xf numFmtId="9" fontId="52" fillId="0" borderId="0" xfId="0" applyNumberFormat="1" applyFont="1" applyAlignment="1">
      <alignment horizontal="center"/>
    </xf>
    <xf numFmtId="0" fontId="55" fillId="0" borderId="0" xfId="0" applyFont="1" applyAlignment="1">
      <alignment horizontal="center"/>
    </xf>
    <xf numFmtId="171" fontId="32" fillId="15" borderId="0" xfId="37" applyNumberFormat="1" applyFont="1" applyFill="1" applyAlignment="1">
      <alignment horizontal="right"/>
    </xf>
    <xf numFmtId="169" fontId="32" fillId="15" borderId="0" xfId="235" applyNumberFormat="1" applyFont="1" applyFill="1" applyBorder="1" applyAlignment="1" applyProtection="1">
      <alignment horizontal="center"/>
    </xf>
    <xf numFmtId="0" fontId="25" fillId="12" borderId="0" xfId="0" applyFont="1" applyFill="1"/>
    <xf numFmtId="0" fontId="26" fillId="12" borderId="0" xfId="0" applyFont="1" applyFill="1" applyAlignment="1">
      <alignment horizontal="center" wrapText="1"/>
    </xf>
    <xf numFmtId="0" fontId="26" fillId="12" borderId="0" xfId="0" applyFont="1" applyFill="1" applyAlignment="1">
      <alignment horizontal="center"/>
    </xf>
    <xf numFmtId="0" fontId="26" fillId="12" borderId="0" xfId="0" applyFont="1" applyFill="1"/>
    <xf numFmtId="0" fontId="25" fillId="12" borderId="0" xfId="0" applyFont="1" applyFill="1" applyAlignment="1">
      <alignment horizontal="center"/>
    </xf>
    <xf numFmtId="171" fontId="48" fillId="0" borderId="0" xfId="0" applyNumberFormat="1" applyFont="1"/>
    <xf numFmtId="171" fontId="0" fillId="0" borderId="0" xfId="0" applyNumberFormat="1" applyAlignment="1">
      <alignment horizontal="center"/>
    </xf>
    <xf numFmtId="9" fontId="0" fillId="0" borderId="0" xfId="235" applyFont="1" applyBorder="1" applyAlignment="1">
      <alignment horizontal="center"/>
    </xf>
    <xf numFmtId="192" fontId="151" fillId="31" borderId="0" xfId="0" applyNumberFormat="1" applyFont="1" applyFill="1" applyAlignment="1">
      <alignment horizontal="center" vertical="center" wrapText="1"/>
    </xf>
    <xf numFmtId="193" fontId="0" fillId="7" borderId="0" xfId="0" applyNumberFormat="1" applyFill="1" applyAlignment="1">
      <alignment horizontal="center"/>
    </xf>
    <xf numFmtId="0" fontId="29" fillId="0" borderId="27" xfId="0" applyFont="1" applyBorder="1"/>
    <xf numFmtId="171" fontId="29" fillId="0" borderId="27" xfId="0" applyNumberFormat="1" applyFont="1" applyBorder="1" applyAlignment="1">
      <alignment horizontal="center"/>
    </xf>
    <xf numFmtId="9" fontId="29" fillId="0" borderId="27" xfId="235" applyFont="1" applyBorder="1" applyAlignment="1">
      <alignment horizontal="center"/>
    </xf>
    <xf numFmtId="193" fontId="29" fillId="7" borderId="27" xfId="0" applyNumberFormat="1" applyFont="1" applyFill="1" applyBorder="1" applyAlignment="1">
      <alignment horizontal="center"/>
    </xf>
    <xf numFmtId="171" fontId="152" fillId="31" borderId="0" xfId="0" applyNumberFormat="1" applyFont="1" applyFill="1" applyAlignment="1">
      <alignment horizontal="center"/>
    </xf>
    <xf numFmtId="171" fontId="29" fillId="0" borderId="0" xfId="0" applyNumberFormat="1" applyFont="1" applyAlignment="1">
      <alignment horizontal="center"/>
    </xf>
    <xf numFmtId="0" fontId="29" fillId="8" borderId="0" xfId="0" applyFont="1" applyFill="1"/>
    <xf numFmtId="0" fontId="29" fillId="8" borderId="0" xfId="0" applyFont="1" applyFill="1" applyAlignment="1">
      <alignment horizontal="center"/>
    </xf>
    <xf numFmtId="2" fontId="29" fillId="8" borderId="0" xfId="0" applyNumberFormat="1" applyFont="1" applyFill="1" applyAlignment="1">
      <alignment horizontal="center"/>
    </xf>
    <xf numFmtId="9" fontId="153" fillId="0" borderId="0" xfId="235" applyFont="1" applyAlignment="1">
      <alignment horizontal="center"/>
    </xf>
    <xf numFmtId="4" fontId="152" fillId="31" borderId="0" xfId="0" applyNumberFormat="1" applyFont="1" applyFill="1" applyAlignment="1">
      <alignment horizontal="center"/>
    </xf>
    <xf numFmtId="192" fontId="29" fillId="7" borderId="0" xfId="0" applyNumberFormat="1" applyFont="1" applyFill="1" applyAlignment="1">
      <alignment horizontal="center" vertical="center" wrapText="1"/>
    </xf>
    <xf numFmtId="9" fontId="151" fillId="0" borderId="0" xfId="0" applyNumberFormat="1" applyFont="1" applyAlignment="1">
      <alignment horizontal="center"/>
    </xf>
    <xf numFmtId="171" fontId="69" fillId="37" borderId="0" xfId="0" applyNumberFormat="1" applyFont="1" applyFill="1" applyAlignment="1">
      <alignment vertical="center"/>
    </xf>
    <xf numFmtId="0" fontId="55" fillId="37" borderId="0" xfId="0" applyFont="1" applyFill="1" applyAlignment="1">
      <alignment horizontal="center" vertical="center" wrapText="1"/>
    </xf>
    <xf numFmtId="0" fontId="55" fillId="0" borderId="27" xfId="0" applyFont="1" applyBorder="1" applyAlignment="1">
      <alignment horizontal="left"/>
    </xf>
    <xf numFmtId="0" fontId="0" fillId="0" borderId="27" xfId="0" applyBorder="1"/>
    <xf numFmtId="9" fontId="52" fillId="0" borderId="27" xfId="0" applyNumberFormat="1" applyFont="1" applyBorder="1" applyAlignment="1">
      <alignment horizontal="center"/>
    </xf>
    <xf numFmtId="172" fontId="55" fillId="0" borderId="27" xfId="0" applyNumberFormat="1" applyFont="1" applyBorder="1" applyAlignment="1">
      <alignment horizontal="center"/>
    </xf>
    <xf numFmtId="0" fontId="52" fillId="37" borderId="0" xfId="0" applyFont="1" applyFill="1" applyAlignment="1">
      <alignment horizontal="center"/>
    </xf>
    <xf numFmtId="0" fontId="55" fillId="0" borderId="27" xfId="0" applyFont="1" applyBorder="1" applyAlignment="1">
      <alignment horizontal="center"/>
    </xf>
    <xf numFmtId="169" fontId="47" fillId="0" borderId="0" xfId="42" applyNumberFormat="1" applyFont="1" applyBorder="1" applyAlignment="1">
      <alignment horizontal="center"/>
    </xf>
    <xf numFmtId="169" fontId="46" fillId="0" borderId="0" xfId="42" applyNumberFormat="1" applyFont="1" applyBorder="1" applyAlignment="1">
      <alignment horizontal="center"/>
    </xf>
    <xf numFmtId="172" fontId="62" fillId="7" borderId="0" xfId="0" applyNumberFormat="1" applyFont="1" applyFill="1" applyAlignment="1">
      <alignment horizontal="center"/>
    </xf>
    <xf numFmtId="4" fontId="31" fillId="4" borderId="0" xfId="0" applyNumberFormat="1" applyFont="1" applyFill="1" applyAlignment="1">
      <alignment horizontal="center"/>
    </xf>
    <xf numFmtId="0" fontId="154" fillId="0" borderId="0" xfId="37" applyFont="1" applyAlignment="1">
      <alignment horizontal="center" vertical="center" wrapText="1"/>
    </xf>
    <xf numFmtId="4" fontId="154" fillId="0" borderId="0" xfId="0" applyNumberFormat="1" applyFont="1" applyAlignment="1">
      <alignment horizontal="center" vertical="center" wrapText="1"/>
    </xf>
    <xf numFmtId="171" fontId="40" fillId="0" borderId="0" xfId="0" applyNumberFormat="1" applyFont="1" applyAlignment="1">
      <alignment horizontal="center"/>
    </xf>
    <xf numFmtId="171" fontId="36" fillId="7" borderId="0" xfId="0" applyNumberFormat="1" applyFont="1" applyFill="1" applyAlignment="1">
      <alignment horizontal="center" vertical="center" wrapText="1"/>
    </xf>
    <xf numFmtId="169" fontId="36" fillId="7" borderId="0" xfId="0" applyNumberFormat="1" applyFont="1" applyFill="1" applyAlignment="1">
      <alignment horizontal="center" vertical="center" wrapText="1"/>
    </xf>
    <xf numFmtId="169" fontId="40" fillId="7" borderId="0" xfId="0" applyNumberFormat="1" applyFont="1" applyFill="1" applyAlignment="1">
      <alignment horizontal="center" vertical="center" wrapText="1"/>
    </xf>
    <xf numFmtId="0" fontId="33" fillId="0" borderId="0" xfId="0" applyFont="1" applyAlignment="1">
      <alignment horizontal="center"/>
    </xf>
    <xf numFmtId="9" fontId="62" fillId="0" borderId="0" xfId="0" applyNumberFormat="1" applyFont="1" applyAlignment="1">
      <alignment horizontal="center"/>
    </xf>
    <xf numFmtId="169" fontId="74" fillId="0" borderId="0" xfId="0" quotePrefix="1" applyNumberFormat="1" applyFont="1"/>
    <xf numFmtId="169" fontId="61" fillId="5" borderId="16" xfId="0" applyNumberFormat="1" applyFont="1" applyFill="1" applyBorder="1" applyAlignment="1">
      <alignment horizontal="center"/>
    </xf>
    <xf numFmtId="169" fontId="62" fillId="0" borderId="0" xfId="0" applyNumberFormat="1" applyFont="1"/>
    <xf numFmtId="169" fontId="68" fillId="0" borderId="0" xfId="0" quotePrefix="1" applyNumberFormat="1" applyFont="1"/>
    <xf numFmtId="169" fontId="62" fillId="5" borderId="16" xfId="0" applyNumberFormat="1" applyFont="1" applyFill="1" applyBorder="1" applyAlignment="1">
      <alignment horizontal="center"/>
    </xf>
    <xf numFmtId="169" fontId="55" fillId="0" borderId="0" xfId="0" applyNumberFormat="1" applyFont="1" applyAlignment="1">
      <alignment horizontal="center" vertical="center" wrapText="1"/>
    </xf>
    <xf numFmtId="171" fontId="62" fillId="31" borderId="0" xfId="0" applyNumberFormat="1" applyFont="1" applyFill="1"/>
    <xf numFmtId="2" fontId="68" fillId="0" borderId="0" xfId="42" applyNumberFormat="1" applyFont="1" applyFill="1" applyAlignment="1">
      <alignment horizontal="center"/>
    </xf>
    <xf numFmtId="194" fontId="62" fillId="0" borderId="0" xfId="0" applyNumberFormat="1" applyFont="1" applyAlignment="1">
      <alignment horizontal="center"/>
    </xf>
    <xf numFmtId="194" fontId="62" fillId="37" borderId="0" xfId="0" applyNumberFormat="1" applyFont="1" applyFill="1" applyAlignment="1">
      <alignment horizontal="center"/>
    </xf>
    <xf numFmtId="194" fontId="36" fillId="37" borderId="0" xfId="0" applyNumberFormat="1" applyFont="1" applyFill="1" applyAlignment="1">
      <alignment horizontal="center"/>
    </xf>
    <xf numFmtId="169" fontId="62" fillId="0" borderId="29" xfId="0" applyNumberFormat="1" applyFont="1" applyBorder="1"/>
    <xf numFmtId="169" fontId="68" fillId="0" borderId="29" xfId="0" quotePrefix="1" applyNumberFormat="1" applyFont="1" applyBorder="1"/>
    <xf numFmtId="169" fontId="62" fillId="0" borderId="29" xfId="0" applyNumberFormat="1" applyFont="1" applyBorder="1" applyAlignment="1">
      <alignment horizontal="center"/>
    </xf>
    <xf numFmtId="169" fontId="68" fillId="0" borderId="29" xfId="42" applyNumberFormat="1" applyFont="1" applyFill="1" applyBorder="1" applyAlignment="1">
      <alignment horizontal="center"/>
    </xf>
    <xf numFmtId="169" fontId="68" fillId="7" borderId="29" xfId="42" applyNumberFormat="1" applyFont="1" applyFill="1" applyBorder="1" applyAlignment="1">
      <alignment horizontal="center"/>
    </xf>
    <xf numFmtId="169" fontId="62" fillId="9" borderId="0" xfId="0" applyNumberFormat="1" applyFont="1" applyFill="1" applyAlignment="1">
      <alignment horizontal="center"/>
    </xf>
    <xf numFmtId="169" fontId="30" fillId="0" borderId="0" xfId="0" applyNumberFormat="1" applyFont="1" applyAlignment="1">
      <alignment horizontal="center"/>
    </xf>
    <xf numFmtId="169" fontId="36" fillId="9" borderId="0" xfId="0" applyNumberFormat="1" applyFont="1" applyFill="1" applyAlignment="1">
      <alignment horizontal="center"/>
    </xf>
    <xf numFmtId="169" fontId="65" fillId="0" borderId="0" xfId="0" applyNumberFormat="1" applyFont="1"/>
    <xf numFmtId="169" fontId="61" fillId="10" borderId="0" xfId="0" applyNumberFormat="1" applyFont="1" applyFill="1" applyAlignment="1">
      <alignment horizontal="center"/>
    </xf>
    <xf numFmtId="169" fontId="61" fillId="36" borderId="0" xfId="0" applyNumberFormat="1" applyFont="1" applyFill="1" applyAlignment="1">
      <alignment horizontal="center"/>
    </xf>
    <xf numFmtId="169" fontId="68" fillId="10" borderId="0" xfId="42" applyNumberFormat="1" applyFont="1" applyFill="1" applyAlignment="1">
      <alignment horizontal="center"/>
    </xf>
    <xf numFmtId="169" fontId="62" fillId="10" borderId="0" xfId="0" applyNumberFormat="1" applyFont="1" applyFill="1" applyAlignment="1">
      <alignment horizontal="center"/>
    </xf>
    <xf numFmtId="0" fontId="127" fillId="15" borderId="0" xfId="0" applyFont="1" applyFill="1" applyAlignment="1">
      <alignment horizontal="center"/>
    </xf>
    <xf numFmtId="169" fontId="68" fillId="0" borderId="0" xfId="42" applyNumberFormat="1" applyFont="1" applyFill="1" applyBorder="1" applyAlignment="1">
      <alignment horizontal="center"/>
    </xf>
    <xf numFmtId="169" fontId="68" fillId="7" borderId="0" xfId="42" applyNumberFormat="1" applyFont="1" applyFill="1" applyBorder="1" applyAlignment="1">
      <alignment horizontal="center"/>
    </xf>
    <xf numFmtId="0" fontId="155" fillId="15" borderId="0" xfId="0" applyFont="1" applyFill="1" applyAlignment="1">
      <alignment horizontal="center"/>
    </xf>
    <xf numFmtId="173" fontId="60" fillId="15" borderId="0" xfId="0" applyNumberFormat="1" applyFont="1" applyFill="1" applyAlignment="1">
      <alignment horizontal="left"/>
    </xf>
    <xf numFmtId="173" fontId="60" fillId="15" borderId="0" xfId="0" applyNumberFormat="1" applyFont="1" applyFill="1" applyAlignment="1">
      <alignment horizontal="center"/>
    </xf>
    <xf numFmtId="2" fontId="62" fillId="10" borderId="0" xfId="0" applyNumberFormat="1" applyFont="1" applyFill="1" applyAlignment="1">
      <alignment horizontal="center"/>
    </xf>
    <xf numFmtId="2" fontId="36" fillId="10" borderId="0" xfId="42" applyNumberFormat="1" applyFont="1" applyFill="1" applyAlignment="1">
      <alignment horizontal="center"/>
    </xf>
    <xf numFmtId="2" fontId="62" fillId="10" borderId="0" xfId="42" applyNumberFormat="1" applyFont="1" applyFill="1" applyAlignment="1">
      <alignment horizontal="center"/>
    </xf>
    <xf numFmtId="10" fontId="61" fillId="7" borderId="0" xfId="235" applyNumberFormat="1" applyFont="1" applyFill="1" applyAlignment="1">
      <alignment horizontal="center"/>
    </xf>
    <xf numFmtId="10" fontId="62" fillId="7" borderId="0" xfId="235" applyNumberFormat="1" applyFont="1" applyFill="1" applyAlignment="1">
      <alignment horizontal="center"/>
    </xf>
    <xf numFmtId="171" fontId="40" fillId="0" borderId="0" xfId="0" applyNumberFormat="1" applyFont="1"/>
    <xf numFmtId="171" fontId="60" fillId="4" borderId="0" xfId="0" applyNumberFormat="1" applyFont="1" applyFill="1" applyAlignment="1">
      <alignment horizontal="center"/>
    </xf>
    <xf numFmtId="169" fontId="31" fillId="0" borderId="0" xfId="0" applyNumberFormat="1" applyFont="1" applyAlignment="1">
      <alignment horizontal="center"/>
    </xf>
    <xf numFmtId="0" fontId="45" fillId="0" borderId="0" xfId="0" applyFont="1" applyAlignment="1">
      <alignment horizontal="center"/>
    </xf>
    <xf numFmtId="172" fontId="52" fillId="0" borderId="0" xfId="0" applyNumberFormat="1" applyFont="1" applyAlignment="1">
      <alignment horizontal="center" vertical="center" wrapText="1"/>
    </xf>
    <xf numFmtId="0" fontId="26" fillId="12" borderId="0" xfId="0" applyFont="1" applyFill="1" applyAlignment="1">
      <alignment horizontal="center" vertical="center" wrapText="1"/>
    </xf>
    <xf numFmtId="171" fontId="62" fillId="0" borderId="27" xfId="0" applyNumberFormat="1" applyFont="1" applyBorder="1" applyAlignment="1">
      <alignment horizontal="center"/>
    </xf>
    <xf numFmtId="169" fontId="55" fillId="0" borderId="27" xfId="235" applyNumberFormat="1" applyFont="1" applyBorder="1" applyAlignment="1">
      <alignment horizontal="center"/>
    </xf>
    <xf numFmtId="9" fontId="61" fillId="31" borderId="0" xfId="0" applyNumberFormat="1" applyFont="1" applyFill="1" applyAlignment="1">
      <alignment horizontal="center"/>
    </xf>
    <xf numFmtId="169" fontId="153" fillId="0" borderId="0" xfId="0" applyNumberFormat="1" applyFont="1" applyAlignment="1">
      <alignment horizontal="center"/>
    </xf>
    <xf numFmtId="10" fontId="70" fillId="7" borderId="0" xfId="0" applyNumberFormat="1" applyFont="1" applyFill="1" applyAlignment="1">
      <alignment horizontal="center"/>
    </xf>
    <xf numFmtId="0" fontId="62" fillId="0" borderId="27" xfId="0" applyFont="1" applyBorder="1"/>
    <xf numFmtId="0" fontId="62" fillId="0" borderId="27" xfId="0" applyFont="1" applyBorder="1" applyAlignment="1">
      <alignment horizontal="center"/>
    </xf>
    <xf numFmtId="10" fontId="62" fillId="0" borderId="27" xfId="0" applyNumberFormat="1" applyFont="1" applyBorder="1" applyAlignment="1">
      <alignment horizontal="center"/>
    </xf>
    <xf numFmtId="0" fontId="62" fillId="0" borderId="30" xfId="0" applyFont="1" applyBorder="1"/>
    <xf numFmtId="0" fontId="61" fillId="0" borderId="31" xfId="0" applyFont="1" applyBorder="1" applyAlignment="1">
      <alignment horizontal="center"/>
    </xf>
    <xf numFmtId="10" fontId="62" fillId="0" borderId="32" xfId="0" applyNumberFormat="1" applyFont="1" applyBorder="1" applyAlignment="1">
      <alignment horizontal="center"/>
    </xf>
    <xf numFmtId="0" fontId="156" fillId="0" borderId="0" xfId="0" applyFont="1" applyAlignment="1">
      <alignment horizontal="center"/>
    </xf>
    <xf numFmtId="0" fontId="129" fillId="0" borderId="0" xfId="0" applyFont="1" applyAlignment="1">
      <alignment horizontal="center"/>
    </xf>
    <xf numFmtId="9" fontId="67" fillId="31" borderId="0" xfId="42" applyFont="1" applyFill="1" applyAlignment="1">
      <alignment horizontal="center"/>
    </xf>
    <xf numFmtId="175" fontId="46" fillId="0" borderId="7" xfId="19" applyNumberFormat="1" applyFont="1" applyFill="1" applyBorder="1" applyAlignment="1">
      <alignment horizontal="left"/>
    </xf>
    <xf numFmtId="169" fontId="46" fillId="0" borderId="0" xfId="42" applyNumberFormat="1" applyFont="1" applyBorder="1"/>
    <xf numFmtId="169" fontId="46" fillId="0" borderId="0" xfId="39" applyNumberFormat="1" applyFont="1" applyBorder="1" applyAlignment="1">
      <alignment horizontal="center"/>
    </xf>
    <xf numFmtId="169" fontId="46" fillId="0" borderId="0" xfId="19" applyNumberFormat="1" applyFont="1" applyFill="1" applyBorder="1" applyAlignment="1">
      <alignment horizontal="center"/>
    </xf>
    <xf numFmtId="171" fontId="134" fillId="0" borderId="0" xfId="0" quotePrefix="1" applyNumberFormat="1" applyFont="1"/>
    <xf numFmtId="171" fontId="66" fillId="0" borderId="0" xfId="0" applyNumberFormat="1" applyFont="1" applyAlignment="1">
      <alignment horizontal="center"/>
    </xf>
    <xf numFmtId="169" fontId="36" fillId="7" borderId="0" xfId="42" applyNumberFormat="1" applyFont="1" applyFill="1" applyAlignment="1">
      <alignment horizontal="center"/>
    </xf>
    <xf numFmtId="169" fontId="138" fillId="0" borderId="0" xfId="42" applyNumberFormat="1" applyFont="1" applyFill="1" applyAlignment="1">
      <alignment horizontal="center"/>
    </xf>
    <xf numFmtId="171" fontId="66" fillId="7" borderId="0" xfId="0" applyNumberFormat="1" applyFont="1" applyFill="1" applyAlignment="1">
      <alignment horizontal="center"/>
    </xf>
    <xf numFmtId="171" fontId="66" fillId="4" borderId="0" xfId="0" applyNumberFormat="1" applyFont="1" applyFill="1" applyAlignment="1">
      <alignment horizontal="center"/>
    </xf>
    <xf numFmtId="171" fontId="35" fillId="0" borderId="0" xfId="0" applyNumberFormat="1" applyFont="1" applyAlignment="1">
      <alignment horizontal="center"/>
    </xf>
    <xf numFmtId="171" fontId="69" fillId="0" borderId="0" xfId="0" quotePrefix="1" applyNumberFormat="1" applyFont="1"/>
    <xf numFmtId="173" fontId="44" fillId="0" borderId="0" xfId="0" applyNumberFormat="1" applyFont="1"/>
    <xf numFmtId="0" fontId="158" fillId="32" borderId="0" xfId="0" applyFont="1" applyFill="1" applyAlignment="1">
      <alignment horizontal="center"/>
    </xf>
    <xf numFmtId="173" fontId="131" fillId="32" borderId="0" xfId="0" applyNumberFormat="1" applyFont="1" applyFill="1"/>
    <xf numFmtId="171" fontId="131" fillId="32" borderId="0" xfId="0" applyNumberFormat="1" applyFont="1" applyFill="1" applyAlignment="1">
      <alignment horizontal="center"/>
    </xf>
    <xf numFmtId="0" fontId="48" fillId="32" borderId="0" xfId="0" applyFont="1" applyFill="1"/>
    <xf numFmtId="173" fontId="44" fillId="32" borderId="0" xfId="0" applyNumberFormat="1" applyFont="1" applyFill="1"/>
    <xf numFmtId="0" fontId="48" fillId="32" borderId="0" xfId="0" applyFont="1" applyFill="1" applyAlignment="1">
      <alignment horizontal="center"/>
    </xf>
    <xf numFmtId="169" fontId="47" fillId="32" borderId="0" xfId="235" applyNumberFormat="1" applyFont="1" applyFill="1" applyAlignment="1">
      <alignment horizontal="center"/>
    </xf>
    <xf numFmtId="172" fontId="43" fillId="32" borderId="0" xfId="0" applyNumberFormat="1" applyFont="1" applyFill="1" applyAlignment="1">
      <alignment horizontal="center"/>
    </xf>
    <xf numFmtId="172" fontId="44" fillId="32" borderId="0" xfId="0" applyNumberFormat="1" applyFont="1" applyFill="1" applyAlignment="1">
      <alignment horizontal="center"/>
    </xf>
    <xf numFmtId="0" fontId="48" fillId="0" borderId="0" xfId="0" applyFont="1"/>
    <xf numFmtId="0" fontId="48" fillId="0" borderId="0" xfId="0" applyFont="1" applyAlignment="1">
      <alignment horizontal="center"/>
    </xf>
    <xf numFmtId="169" fontId="47" fillId="7" borderId="0" xfId="235" applyNumberFormat="1" applyFont="1" applyFill="1" applyAlignment="1">
      <alignment horizontal="center"/>
    </xf>
    <xf numFmtId="172" fontId="157" fillId="0" borderId="0" xfId="0" applyNumberFormat="1" applyFont="1" applyAlignment="1">
      <alignment horizontal="center"/>
    </xf>
    <xf numFmtId="172" fontId="44" fillId="0" borderId="0" xfId="0" applyNumberFormat="1" applyFont="1" applyAlignment="1">
      <alignment horizontal="center"/>
    </xf>
    <xf numFmtId="4" fontId="45" fillId="0" borderId="0" xfId="0" applyNumberFormat="1" applyFont="1" applyAlignment="1">
      <alignment horizontal="center"/>
    </xf>
    <xf numFmtId="169" fontId="68" fillId="0" borderId="0" xfId="0" quotePrefix="1" applyNumberFormat="1" applyFont="1" applyAlignment="1">
      <alignment horizontal="left"/>
    </xf>
    <xf numFmtId="169" fontId="68" fillId="0" borderId="0" xfId="0" applyNumberFormat="1" applyFont="1" applyAlignment="1">
      <alignment horizontal="center"/>
    </xf>
    <xf numFmtId="169" fontId="64" fillId="0" borderId="0" xfId="0" applyNumberFormat="1" applyFont="1" applyAlignment="1">
      <alignment horizontal="center"/>
    </xf>
    <xf numFmtId="193" fontId="159" fillId="7" borderId="0" xfId="0" applyNumberFormat="1" applyFont="1" applyFill="1" applyAlignment="1">
      <alignment horizontal="center"/>
    </xf>
    <xf numFmtId="193" fontId="29" fillId="7" borderId="0" xfId="0" applyNumberFormat="1" applyFont="1" applyFill="1" applyAlignment="1">
      <alignment horizontal="center"/>
    </xf>
    <xf numFmtId="0" fontId="26" fillId="12" borderId="0" xfId="0" applyFont="1" applyFill="1" applyAlignment="1">
      <alignment horizontal="left"/>
    </xf>
    <xf numFmtId="4" fontId="29" fillId="7" borderId="0" xfId="0" applyNumberFormat="1" applyFont="1" applyFill="1" applyAlignment="1">
      <alignment horizontal="center"/>
    </xf>
    <xf numFmtId="171" fontId="45" fillId="0" borderId="0" xfId="0" applyNumberFormat="1" applyFont="1" applyAlignment="1">
      <alignment horizontal="center"/>
    </xf>
    <xf numFmtId="4" fontId="160" fillId="31" borderId="0" xfId="0" applyNumberFormat="1" applyFont="1" applyFill="1" applyAlignment="1">
      <alignment horizontal="center"/>
    </xf>
    <xf numFmtId="0" fontId="0" fillId="33" borderId="0" xfId="0" applyFill="1"/>
    <xf numFmtId="192" fontId="29" fillId="0" borderId="0" xfId="0" applyNumberFormat="1" applyFont="1" applyAlignment="1">
      <alignment horizontal="center" vertical="center" wrapText="1"/>
    </xf>
    <xf numFmtId="3" fontId="29" fillId="0" borderId="0" xfId="0" applyNumberFormat="1" applyFont="1" applyAlignment="1">
      <alignment horizontal="center" vertical="center"/>
    </xf>
    <xf numFmtId="4" fontId="31" fillId="4" borderId="0" xfId="0" applyNumberFormat="1" applyFont="1" applyFill="1" applyAlignment="1">
      <alignment horizontal="center" vertical="center" wrapText="1"/>
    </xf>
    <xf numFmtId="3" fontId="0" fillId="0" borderId="0" xfId="0" applyNumberFormat="1" applyAlignment="1">
      <alignment horizontal="center" vertical="center"/>
    </xf>
    <xf numFmtId="3" fontId="0" fillId="33" borderId="0" xfId="0" applyNumberFormat="1" applyFill="1" applyAlignment="1">
      <alignment horizontal="center" vertical="center"/>
    </xf>
    <xf numFmtId="171" fontId="26" fillId="3" borderId="0" xfId="17" applyNumberFormat="1" applyFont="1" applyFill="1" applyBorder="1" applyAlignment="1">
      <alignment horizontal="center"/>
    </xf>
    <xf numFmtId="0" fontId="61" fillId="39" borderId="0" xfId="0" applyFont="1" applyFill="1" applyAlignment="1">
      <alignment horizontal="center"/>
    </xf>
    <xf numFmtId="0" fontId="53" fillId="39" borderId="0" xfId="0" applyFont="1" applyFill="1"/>
    <xf numFmtId="0" fontId="26" fillId="40" borderId="3" xfId="0" applyFont="1" applyFill="1" applyBorder="1" applyAlignment="1">
      <alignment horizontal="left"/>
    </xf>
    <xf numFmtId="0" fontId="25" fillId="40" borderId="33" xfId="0" applyFont="1" applyFill="1" applyBorder="1"/>
    <xf numFmtId="0" fontId="25" fillId="40" borderId="33" xfId="0" applyFont="1" applyFill="1" applyBorder="1" applyAlignment="1">
      <alignment horizontal="center"/>
    </xf>
    <xf numFmtId="0" fontId="26" fillId="40" borderId="33" xfId="0" applyFont="1" applyFill="1" applyBorder="1" applyAlignment="1">
      <alignment horizontal="center"/>
    </xf>
    <xf numFmtId="0" fontId="25" fillId="40" borderId="3" xfId="0" applyFont="1" applyFill="1" applyBorder="1" applyAlignment="1">
      <alignment horizontal="center"/>
    </xf>
    <xf numFmtId="0" fontId="26" fillId="40" borderId="17" xfId="0" applyFont="1" applyFill="1" applyBorder="1" applyAlignment="1">
      <alignment horizontal="center"/>
    </xf>
    <xf numFmtId="0" fontId="25" fillId="40" borderId="15" xfId="0" applyFont="1" applyFill="1" applyBorder="1" applyAlignment="1">
      <alignment horizontal="left"/>
    </xf>
    <xf numFmtId="172" fontId="162" fillId="40" borderId="0" xfId="0" applyNumberFormat="1" applyFont="1" applyFill="1"/>
    <xf numFmtId="0" fontId="25" fillId="40" borderId="0" xfId="0" applyFont="1" applyFill="1" applyAlignment="1">
      <alignment horizontal="center"/>
    </xf>
    <xf numFmtId="0" fontId="25" fillId="40" borderId="15" xfId="0" applyFont="1" applyFill="1" applyBorder="1" applyAlignment="1">
      <alignment horizontal="center" vertical="center"/>
    </xf>
    <xf numFmtId="0" fontId="25" fillId="40" borderId="0" xfId="0" applyFont="1" applyFill="1" applyAlignment="1">
      <alignment horizontal="center" vertical="center"/>
    </xf>
    <xf numFmtId="0" fontId="25" fillId="40" borderId="1" xfId="0" applyFont="1" applyFill="1" applyBorder="1" applyAlignment="1">
      <alignment horizontal="center" vertical="center"/>
    </xf>
    <xf numFmtId="0" fontId="163" fillId="40" borderId="0" xfId="0" applyFont="1" applyFill="1" applyAlignment="1">
      <alignment horizontal="center" vertical="center"/>
    </xf>
    <xf numFmtId="172" fontId="61" fillId="0" borderId="0" xfId="0" applyNumberFormat="1" applyFont="1" applyAlignment="1">
      <alignment horizontal="center" vertical="center"/>
    </xf>
    <xf numFmtId="172" fontId="62" fillId="8" borderId="0" xfId="0" applyNumberFormat="1" applyFont="1" applyFill="1" applyAlignment="1">
      <alignment horizontal="center" vertical="center"/>
    </xf>
    <xf numFmtId="169" fontId="61" fillId="0" borderId="15" xfId="235" applyNumberFormat="1" applyFont="1" applyBorder="1" applyAlignment="1">
      <alignment horizontal="center" vertical="center"/>
    </xf>
    <xf numFmtId="169" fontId="61" fillId="0" borderId="0" xfId="235" applyNumberFormat="1" applyFont="1" applyBorder="1" applyAlignment="1">
      <alignment horizontal="center" vertical="center"/>
    </xf>
    <xf numFmtId="169" fontId="62" fillId="8" borderId="0" xfId="235" applyNumberFormat="1" applyFont="1" applyFill="1" applyBorder="1" applyAlignment="1">
      <alignment horizontal="center" vertical="center"/>
    </xf>
    <xf numFmtId="169" fontId="61" fillId="0" borderId="1" xfId="235" applyNumberFormat="1" applyFont="1" applyBorder="1" applyAlignment="1">
      <alignment horizontal="center" vertical="center"/>
    </xf>
    <xf numFmtId="0" fontId="61" fillId="0" borderId="0" xfId="0" applyFont="1" applyAlignment="1">
      <alignment horizontal="center" vertical="center"/>
    </xf>
    <xf numFmtId="0" fontId="62" fillId="0" borderId="0" xfId="0" applyFont="1" applyAlignment="1">
      <alignment horizontal="center" vertical="center"/>
    </xf>
    <xf numFmtId="0" fontId="61" fillId="0" borderId="15" xfId="0" applyFont="1" applyBorder="1" applyAlignment="1">
      <alignment horizontal="center" vertical="center"/>
    </xf>
    <xf numFmtId="0" fontId="61" fillId="0" borderId="1" xfId="0" applyFont="1" applyBorder="1" applyAlignment="1">
      <alignment horizontal="center" vertical="center"/>
    </xf>
    <xf numFmtId="0" fontId="25" fillId="40" borderId="0" xfId="0" applyFont="1" applyFill="1" applyAlignment="1">
      <alignment vertical="center"/>
    </xf>
    <xf numFmtId="0" fontId="26" fillId="40" borderId="0" xfId="0" applyFont="1" applyFill="1" applyAlignment="1">
      <alignment horizontal="center" vertical="center"/>
    </xf>
    <xf numFmtId="0" fontId="26" fillId="40" borderId="1" xfId="0" applyFont="1" applyFill="1" applyBorder="1" applyAlignment="1">
      <alignment horizontal="center" vertical="center"/>
    </xf>
    <xf numFmtId="172" fontId="162" fillId="40" borderId="0" xfId="0" applyNumberFormat="1" applyFont="1" applyFill="1" applyAlignment="1">
      <alignment vertical="center"/>
    </xf>
    <xf numFmtId="0" fontId="163" fillId="40" borderId="11" xfId="0" applyFont="1" applyFill="1" applyBorder="1" applyAlignment="1">
      <alignment horizontal="center" vertical="center"/>
    </xf>
    <xf numFmtId="172" fontId="61" fillId="0" borderId="11" xfId="0" applyNumberFormat="1" applyFont="1" applyBorder="1" applyAlignment="1">
      <alignment horizontal="center" vertical="center"/>
    </xf>
    <xf numFmtId="172" fontId="62" fillId="8" borderId="11" xfId="0" applyNumberFormat="1" applyFont="1" applyFill="1" applyBorder="1" applyAlignment="1">
      <alignment horizontal="center" vertical="center"/>
    </xf>
    <xf numFmtId="169" fontId="61" fillId="0" borderId="5" xfId="235" applyNumberFormat="1" applyFont="1" applyBorder="1" applyAlignment="1">
      <alignment horizontal="center" vertical="center"/>
    </xf>
    <xf numFmtId="169" fontId="61" fillId="0" borderId="11" xfId="235" applyNumberFormat="1" applyFont="1" applyBorder="1" applyAlignment="1">
      <alignment horizontal="center" vertical="center"/>
    </xf>
    <xf numFmtId="169" fontId="62" fillId="8" borderId="11" xfId="235" applyNumberFormat="1" applyFont="1" applyFill="1" applyBorder="1" applyAlignment="1">
      <alignment horizontal="center" vertical="center"/>
    </xf>
    <xf numFmtId="169" fontId="61" fillId="0" borderId="6" xfId="235" applyNumberFormat="1" applyFont="1" applyBorder="1" applyAlignment="1">
      <alignment horizontal="center" vertical="center"/>
    </xf>
    <xf numFmtId="0" fontId="64" fillId="6" borderId="16" xfId="0" applyFont="1" applyFill="1" applyBorder="1" applyAlignment="1">
      <alignment horizontal="center"/>
    </xf>
    <xf numFmtId="0" fontId="53" fillId="40" borderId="15" xfId="0" applyFont="1" applyFill="1" applyBorder="1" applyAlignment="1">
      <alignment horizontal="center" vertical="center" wrapText="1"/>
    </xf>
    <xf numFmtId="0" fontId="61" fillId="0" borderId="15" xfId="0" applyFont="1" applyBorder="1" applyAlignment="1">
      <alignment horizontal="center" vertical="center" wrapText="1"/>
    </xf>
    <xf numFmtId="0" fontId="26" fillId="40" borderId="15" xfId="0" applyFont="1" applyFill="1" applyBorder="1" applyAlignment="1">
      <alignment horizontal="center" vertical="center" wrapText="1"/>
    </xf>
    <xf numFmtId="0" fontId="25" fillId="40" borderId="15" xfId="0" applyFont="1" applyFill="1" applyBorder="1" applyAlignment="1">
      <alignment horizontal="center" vertical="center" wrapText="1"/>
    </xf>
    <xf numFmtId="0" fontId="53" fillId="40" borderId="5" xfId="0" applyFont="1" applyFill="1" applyBorder="1" applyAlignment="1">
      <alignment horizontal="center" vertical="center" wrapText="1"/>
    </xf>
    <xf numFmtId="2" fontId="35" fillId="7" borderId="0" xfId="56" applyNumberFormat="1" applyFont="1" applyFill="1" applyAlignment="1">
      <alignment horizontal="center"/>
    </xf>
    <xf numFmtId="2" fontId="136" fillId="7" borderId="0" xfId="56" applyNumberFormat="1" applyFont="1" applyFill="1" applyAlignment="1">
      <alignment horizontal="center"/>
    </xf>
    <xf numFmtId="171" fontId="71" fillId="7" borderId="0" xfId="0" applyNumberFormat="1" applyFont="1" applyFill="1" applyAlignment="1">
      <alignment horizontal="center"/>
    </xf>
    <xf numFmtId="171" fontId="73" fillId="7" borderId="0" xfId="0" applyNumberFormat="1" applyFont="1" applyFill="1" applyAlignment="1">
      <alignment horizontal="center"/>
    </xf>
    <xf numFmtId="3" fontId="36" fillId="0" borderId="0" xfId="0" applyNumberFormat="1" applyFont="1" applyAlignment="1">
      <alignment horizontal="center"/>
    </xf>
    <xf numFmtId="3" fontId="61" fillId="0" borderId="0" xfId="0" applyNumberFormat="1" applyFont="1" applyAlignment="1">
      <alignment horizontal="center"/>
    </xf>
    <xf numFmtId="3" fontId="62" fillId="0" borderId="0" xfId="0" applyNumberFormat="1" applyFont="1" applyAlignment="1">
      <alignment horizontal="center"/>
    </xf>
    <xf numFmtId="170" fontId="73" fillId="7" borderId="0" xfId="0" applyNumberFormat="1" applyFont="1" applyFill="1" applyAlignment="1">
      <alignment horizontal="center"/>
    </xf>
    <xf numFmtId="170" fontId="71" fillId="7" borderId="0" xfId="0" applyNumberFormat="1" applyFont="1" applyFill="1" applyAlignment="1">
      <alignment horizontal="center"/>
    </xf>
    <xf numFmtId="2" fontId="64" fillId="7" borderId="0" xfId="0" applyNumberFormat="1" applyFont="1" applyFill="1" applyAlignment="1">
      <alignment horizontal="center"/>
    </xf>
    <xf numFmtId="173" fontId="40" fillId="7" borderId="0" xfId="0" applyNumberFormat="1" applyFont="1" applyFill="1" applyAlignment="1">
      <alignment horizontal="center"/>
    </xf>
    <xf numFmtId="171" fontId="32" fillId="7" borderId="0" xfId="0" applyNumberFormat="1" applyFont="1" applyFill="1" applyAlignment="1">
      <alignment horizontal="center"/>
    </xf>
    <xf numFmtId="173" fontId="66" fillId="15" borderId="0" xfId="0" applyNumberFormat="1" applyFont="1" applyFill="1" applyAlignment="1">
      <alignment horizontal="center"/>
    </xf>
    <xf numFmtId="0" fontId="66" fillId="0" borderId="0" xfId="0" applyFont="1" applyAlignment="1">
      <alignment horizontal="center"/>
    </xf>
    <xf numFmtId="9" fontId="46" fillId="0" borderId="0" xfId="42" applyFont="1" applyFill="1" applyBorder="1" applyAlignment="1">
      <alignment horizontal="center" vertical="center"/>
    </xf>
    <xf numFmtId="9" fontId="47" fillId="0" borderId="0" xfId="42" applyFont="1" applyFill="1" applyBorder="1" applyAlignment="1">
      <alignment horizontal="center"/>
    </xf>
    <xf numFmtId="175" fontId="46" fillId="32" borderId="0" xfId="36" applyNumberFormat="1" applyFont="1" applyFill="1"/>
    <xf numFmtId="0" fontId="32" fillId="32" borderId="0" xfId="37" applyFont="1" applyFill="1"/>
    <xf numFmtId="169" fontId="47" fillId="32" borderId="0" xfId="42" applyNumberFormat="1" applyFont="1" applyFill="1" applyBorder="1" applyAlignment="1">
      <alignment horizontal="center"/>
    </xf>
    <xf numFmtId="169" fontId="32" fillId="32" borderId="0" xfId="37" applyNumberFormat="1" applyFont="1" applyFill="1"/>
    <xf numFmtId="169" fontId="31" fillId="32" borderId="0" xfId="37" applyNumberFormat="1" applyFont="1" applyFill="1"/>
    <xf numFmtId="0" fontId="164" fillId="0" borderId="0" xfId="0" applyFont="1"/>
    <xf numFmtId="195" fontId="37" fillId="15" borderId="0" xfId="249" applyNumberFormat="1" applyFont="1" applyFill="1" applyAlignment="1">
      <alignment horizontal="center"/>
    </xf>
    <xf numFmtId="0" fontId="64" fillId="7" borderId="0" xfId="0" applyFont="1" applyFill="1"/>
    <xf numFmtId="171" fontId="32" fillId="15" borderId="0" xfId="0" applyNumberFormat="1" applyFont="1" applyFill="1" applyAlignment="1">
      <alignment horizontal="center"/>
    </xf>
    <xf numFmtId="180" fontId="45" fillId="0" borderId="0" xfId="56" applyNumberFormat="1" applyFont="1" applyAlignment="1">
      <alignment horizontal="center"/>
    </xf>
    <xf numFmtId="171" fontId="26" fillId="35" borderId="0" xfId="17" applyNumberFormat="1" applyFont="1" applyFill="1" applyBorder="1" applyAlignment="1">
      <alignment horizontal="center"/>
    </xf>
    <xf numFmtId="2" fontId="31" fillId="15" borderId="0" xfId="39" applyFont="1" applyFill="1" applyBorder="1"/>
    <xf numFmtId="172" fontId="31" fillId="15" borderId="0" xfId="235" applyNumberFormat="1" applyFont="1" applyFill="1" applyBorder="1" applyAlignment="1" applyProtection="1">
      <alignment horizontal="center"/>
    </xf>
    <xf numFmtId="0" fontId="165" fillId="0" borderId="27" xfId="0" applyFont="1" applyBorder="1"/>
    <xf numFmtId="4" fontId="154" fillId="0" borderId="27" xfId="0" applyNumberFormat="1" applyFont="1" applyBorder="1" applyAlignment="1">
      <alignment horizontal="center" vertical="center" wrapText="1"/>
    </xf>
    <xf numFmtId="0" fontId="165" fillId="0" borderId="8" xfId="0" applyFont="1" applyBorder="1"/>
    <xf numFmtId="169" fontId="166" fillId="0" borderId="8" xfId="0" applyNumberFormat="1" applyFont="1" applyBorder="1" applyAlignment="1">
      <alignment horizontal="center" vertical="center" wrapText="1"/>
    </xf>
    <xf numFmtId="171" fontId="31" fillId="7" borderId="0" xfId="0" applyNumberFormat="1" applyFont="1" applyFill="1" applyAlignment="1">
      <alignment horizontal="center"/>
    </xf>
    <xf numFmtId="172" fontId="70" fillId="7" borderId="0" xfId="0" applyNumberFormat="1" applyFont="1" applyFill="1" applyAlignment="1">
      <alignment horizontal="center"/>
    </xf>
    <xf numFmtId="4" fontId="66" fillId="7" borderId="0" xfId="56" applyNumberFormat="1" applyFont="1" applyFill="1" applyAlignment="1">
      <alignment horizontal="center"/>
    </xf>
    <xf numFmtId="9" fontId="61" fillId="0" borderId="0" xfId="42" applyFont="1" applyFill="1" applyAlignment="1">
      <alignment horizontal="center"/>
    </xf>
    <xf numFmtId="171" fontId="47" fillId="7" borderId="0" xfId="17" applyNumberFormat="1" applyFont="1" applyFill="1" applyBorder="1" applyAlignment="1">
      <alignment horizontal="center"/>
    </xf>
    <xf numFmtId="0" fontId="161" fillId="0" borderId="0" xfId="0" applyFont="1" applyAlignment="1">
      <alignment horizontal="center" wrapText="1"/>
    </xf>
    <xf numFmtId="9" fontId="161" fillId="0" borderId="0" xfId="42" applyFont="1" applyAlignment="1">
      <alignment horizontal="center"/>
    </xf>
    <xf numFmtId="169" fontId="66" fillId="6" borderId="0" xfId="0" applyNumberFormat="1" applyFont="1" applyFill="1" applyAlignment="1">
      <alignment horizontal="center"/>
    </xf>
    <xf numFmtId="0" fontId="36" fillId="7" borderId="0" xfId="0" applyFont="1" applyFill="1" applyAlignment="1">
      <alignment horizontal="center"/>
    </xf>
    <xf numFmtId="191" fontId="61" fillId="0" borderId="0" xfId="0" applyNumberFormat="1" applyFont="1" applyAlignment="1">
      <alignment horizontal="center"/>
    </xf>
    <xf numFmtId="2" fontId="68" fillId="7" borderId="0" xfId="42" applyNumberFormat="1" applyFont="1" applyFill="1" applyAlignment="1">
      <alignment horizontal="center"/>
    </xf>
    <xf numFmtId="9" fontId="62" fillId="7" borderId="0" xfId="0" applyNumberFormat="1" applyFont="1" applyFill="1" applyAlignment="1">
      <alignment horizontal="center"/>
    </xf>
    <xf numFmtId="2" fontId="62" fillId="7" borderId="0" xfId="42" applyNumberFormat="1" applyFont="1" applyFill="1" applyAlignment="1">
      <alignment horizontal="center"/>
    </xf>
    <xf numFmtId="4" fontId="40" fillId="7" borderId="0" xfId="0" applyNumberFormat="1" applyFont="1" applyFill="1" applyAlignment="1">
      <alignment horizontal="center"/>
    </xf>
    <xf numFmtId="171" fontId="26" fillId="14" borderId="0" xfId="17" applyNumberFormat="1" applyFont="1" applyFill="1" applyBorder="1" applyAlignment="1">
      <alignment horizontal="center"/>
    </xf>
    <xf numFmtId="193" fontId="167" fillId="0" borderId="0" xfId="0" applyNumberFormat="1" applyFont="1" applyAlignment="1">
      <alignment horizontal="center"/>
    </xf>
    <xf numFmtId="0" fontId="168" fillId="0" borderId="0" xfId="0" applyFont="1" applyAlignment="1">
      <alignment horizontal="center"/>
    </xf>
    <xf numFmtId="9" fontId="73" fillId="7" borderId="0" xfId="0" applyNumberFormat="1" applyFont="1" applyFill="1" applyAlignment="1">
      <alignment horizontal="center"/>
    </xf>
    <xf numFmtId="9" fontId="65" fillId="7" borderId="0" xfId="0" applyNumberFormat="1" applyFont="1" applyFill="1" applyAlignment="1">
      <alignment horizontal="center"/>
    </xf>
    <xf numFmtId="193" fontId="167" fillId="0" borderId="27" xfId="0" applyNumberFormat="1" applyFont="1" applyBorder="1" applyAlignment="1">
      <alignment horizontal="center"/>
    </xf>
    <xf numFmtId="9" fontId="32" fillId="0" borderId="0" xfId="0" applyNumberFormat="1" applyFont="1" applyAlignment="1">
      <alignment horizontal="center"/>
    </xf>
    <xf numFmtId="169" fontId="74" fillId="0" borderId="0" xfId="0" applyNumberFormat="1" applyFont="1"/>
    <xf numFmtId="169" fontId="76" fillId="0" borderId="0" xfId="0" applyNumberFormat="1" applyFont="1" applyAlignment="1">
      <alignment horizontal="center"/>
    </xf>
    <xf numFmtId="169" fontId="127" fillId="9" borderId="0" xfId="0" applyNumberFormat="1" applyFont="1" applyFill="1" applyAlignment="1">
      <alignment horizontal="center"/>
    </xf>
    <xf numFmtId="173" fontId="81" fillId="7" borderId="0" xfId="0" applyNumberFormat="1" applyFont="1" applyFill="1" applyAlignment="1">
      <alignment horizontal="center"/>
    </xf>
    <xf numFmtId="3" fontId="32" fillId="0" borderId="0" xfId="17" applyFont="1"/>
    <xf numFmtId="173" fontId="47" fillId="7" borderId="0" xfId="17" applyNumberFormat="1" applyFont="1" applyFill="1" applyBorder="1" applyAlignment="1">
      <alignment horizontal="center"/>
    </xf>
    <xf numFmtId="0" fontId="153" fillId="0" borderId="0" xfId="0" applyFont="1"/>
    <xf numFmtId="9" fontId="153" fillId="0" borderId="0" xfId="42" applyFont="1" applyAlignment="1">
      <alignment horizontal="center"/>
    </xf>
    <xf numFmtId="0" fontId="153" fillId="0" borderId="0" xfId="0" applyFont="1" applyAlignment="1">
      <alignment horizontal="center"/>
    </xf>
    <xf numFmtId="171" fontId="44" fillId="0" borderId="0" xfId="38" applyNumberFormat="1" applyFont="1" applyBorder="1" applyAlignment="1">
      <alignment horizontal="center"/>
    </xf>
    <xf numFmtId="4" fontId="40" fillId="7" borderId="0" xfId="235" applyNumberFormat="1" applyFont="1" applyFill="1" applyAlignment="1">
      <alignment horizontal="center" vertical="center"/>
    </xf>
    <xf numFmtId="0" fontId="153" fillId="0" borderId="0" xfId="0" applyFont="1" applyAlignment="1">
      <alignment horizontal="left"/>
    </xf>
    <xf numFmtId="0" fontId="40" fillId="0" borderId="0" xfId="37" applyFont="1"/>
    <xf numFmtId="171" fontId="169" fillId="0" borderId="0" xfId="0" applyNumberFormat="1" applyFont="1" applyAlignment="1">
      <alignment horizontal="center" vertical="center"/>
    </xf>
    <xf numFmtId="172" fontId="66" fillId="6" borderId="0" xfId="56" applyNumberFormat="1" applyFont="1" applyFill="1" applyAlignment="1">
      <alignment horizontal="center"/>
    </xf>
    <xf numFmtId="169" fontId="31" fillId="0" borderId="0" xfId="37" applyNumberFormat="1" applyFont="1" applyAlignment="1">
      <alignment horizontal="center"/>
    </xf>
    <xf numFmtId="9" fontId="161" fillId="32" borderId="0" xfId="235" applyFont="1" applyFill="1" applyBorder="1" applyAlignment="1">
      <alignment horizontal="center"/>
    </xf>
    <xf numFmtId="193" fontId="29" fillId="32" borderId="0" xfId="0" applyNumberFormat="1" applyFont="1" applyFill="1" applyAlignment="1">
      <alignment horizontal="center"/>
    </xf>
    <xf numFmtId="4" fontId="51" fillId="0" borderId="0" xfId="0" applyNumberFormat="1" applyFont="1" applyAlignment="1">
      <alignment horizontal="center"/>
    </xf>
    <xf numFmtId="3" fontId="29" fillId="32" borderId="0" xfId="0" applyNumberFormat="1" applyFont="1" applyFill="1" applyAlignment="1">
      <alignment horizontal="center" vertical="center"/>
    </xf>
    <xf numFmtId="192" fontId="29" fillId="32" borderId="0" xfId="0" applyNumberFormat="1" applyFont="1" applyFill="1" applyAlignment="1">
      <alignment horizontal="center" vertical="center" wrapText="1"/>
    </xf>
    <xf numFmtId="4" fontId="29" fillId="7" borderId="34" xfId="0" applyNumberFormat="1" applyFont="1" applyFill="1" applyBorder="1" applyAlignment="1">
      <alignment horizontal="center"/>
    </xf>
    <xf numFmtId="9" fontId="0" fillId="0" borderId="34" xfId="0" applyNumberFormat="1" applyBorder="1" applyAlignment="1">
      <alignment horizontal="center"/>
    </xf>
    <xf numFmtId="9" fontId="153" fillId="0" borderId="34" xfId="235" applyFont="1" applyBorder="1" applyAlignment="1">
      <alignment horizontal="center"/>
    </xf>
    <xf numFmtId="193" fontId="159" fillId="7" borderId="34" xfId="0" applyNumberFormat="1" applyFont="1" applyFill="1" applyBorder="1" applyAlignment="1">
      <alignment horizontal="center"/>
    </xf>
    <xf numFmtId="3" fontId="0" fillId="0" borderId="34" xfId="0" applyNumberFormat="1" applyBorder="1" applyAlignment="1">
      <alignment horizontal="center" vertical="center"/>
    </xf>
    <xf numFmtId="3" fontId="0" fillId="33" borderId="34" xfId="0" applyNumberFormat="1" applyFill="1" applyBorder="1" applyAlignment="1">
      <alignment horizontal="center" vertical="center"/>
    </xf>
    <xf numFmtId="3" fontId="29" fillId="0" borderId="34" xfId="0" applyNumberFormat="1" applyFont="1" applyBorder="1" applyAlignment="1">
      <alignment horizontal="center" vertical="center"/>
    </xf>
    <xf numFmtId="0" fontId="0" fillId="0" borderId="34" xfId="0" applyBorder="1"/>
    <xf numFmtId="4" fontId="0" fillId="0" borderId="34" xfId="0" applyNumberFormat="1" applyBorder="1" applyAlignment="1">
      <alignment horizontal="center"/>
    </xf>
    <xf numFmtId="192" fontId="29" fillId="7" borderId="34" xfId="0" applyNumberFormat="1" applyFont="1" applyFill="1" applyBorder="1" applyAlignment="1">
      <alignment horizontal="center" vertical="center" wrapText="1"/>
    </xf>
    <xf numFmtId="4" fontId="29" fillId="32" borderId="0" xfId="0" applyNumberFormat="1" applyFont="1" applyFill="1" applyAlignment="1">
      <alignment horizontal="center"/>
    </xf>
    <xf numFmtId="169" fontId="61" fillId="0" borderId="0" xfId="42" applyNumberFormat="1" applyFont="1" applyFill="1" applyAlignment="1">
      <alignment horizontal="center"/>
    </xf>
    <xf numFmtId="169" fontId="36" fillId="0" borderId="0" xfId="42" applyNumberFormat="1" applyFont="1" applyFill="1" applyAlignment="1">
      <alignment horizontal="center"/>
    </xf>
    <xf numFmtId="4" fontId="66" fillId="0" borderId="0" xfId="56" applyNumberFormat="1" applyFont="1" applyFill="1" applyAlignment="1">
      <alignment horizontal="center"/>
    </xf>
    <xf numFmtId="0" fontId="62" fillId="41" borderId="0" xfId="0" applyFont="1" applyFill="1"/>
    <xf numFmtId="0" fontId="61" fillId="41" borderId="0" xfId="0" applyFont="1" applyFill="1" applyAlignment="1">
      <alignment horizontal="center"/>
    </xf>
    <xf numFmtId="171" fontId="62" fillId="41" borderId="0" xfId="0" applyNumberFormat="1" applyFont="1" applyFill="1" applyAlignment="1">
      <alignment horizontal="center"/>
    </xf>
    <xf numFmtId="171" fontId="36" fillId="41" borderId="0" xfId="0" applyNumberFormat="1" applyFont="1" applyFill="1" applyAlignment="1">
      <alignment horizontal="center"/>
    </xf>
    <xf numFmtId="171" fontId="66" fillId="41" borderId="0" xfId="0" applyNumberFormat="1" applyFont="1" applyFill="1" applyAlignment="1">
      <alignment horizontal="center"/>
    </xf>
    <xf numFmtId="171" fontId="64" fillId="41" borderId="0" xfId="0" applyNumberFormat="1" applyFont="1" applyFill="1" applyAlignment="1">
      <alignment horizontal="center"/>
    </xf>
    <xf numFmtId="9" fontId="55" fillId="0" borderId="0" xfId="0" applyNumberFormat="1" applyFont="1" applyAlignment="1">
      <alignment horizontal="center" vertical="center" wrapText="1"/>
    </xf>
    <xf numFmtId="3" fontId="47" fillId="0" borderId="0" xfId="17" applyFont="1" applyFill="1" applyBorder="1" applyAlignment="1">
      <alignment horizontal="center" vertical="center"/>
    </xf>
    <xf numFmtId="3" fontId="32" fillId="0" borderId="0" xfId="37" applyNumberFormat="1" applyFont="1" applyAlignment="1">
      <alignment horizontal="center" vertical="center"/>
    </xf>
    <xf numFmtId="169" fontId="40" fillId="0" borderId="0" xfId="0" applyNumberFormat="1" applyFont="1" applyAlignment="1">
      <alignment horizontal="center"/>
    </xf>
    <xf numFmtId="9" fontId="40" fillId="0" borderId="0" xfId="0" applyNumberFormat="1" applyFont="1" applyAlignment="1">
      <alignment horizontal="right"/>
    </xf>
    <xf numFmtId="171" fontId="47" fillId="0" borderId="0" xfId="17" applyNumberFormat="1" applyFont="1" applyFill="1" applyBorder="1" applyAlignment="1">
      <alignment horizontal="right" vertical="center"/>
    </xf>
    <xf numFmtId="172" fontId="47" fillId="0" borderId="0" xfId="36" applyNumberFormat="1" applyFont="1" applyAlignment="1">
      <alignment horizontal="center"/>
    </xf>
    <xf numFmtId="171" fontId="31" fillId="0" borderId="14" xfId="0" applyNumberFormat="1" applyFont="1" applyBorder="1" applyAlignment="1">
      <alignment horizontal="center"/>
    </xf>
    <xf numFmtId="2" fontId="33" fillId="0" borderId="0" xfId="0" applyNumberFormat="1" applyFont="1" applyAlignment="1">
      <alignment horizontal="center"/>
    </xf>
    <xf numFmtId="173" fontId="31" fillId="0" borderId="0" xfId="0" applyNumberFormat="1" applyFont="1" applyAlignment="1">
      <alignment horizontal="center"/>
    </xf>
    <xf numFmtId="2" fontId="36" fillId="0" borderId="0" xfId="0" applyNumberFormat="1" applyFont="1" applyAlignment="1">
      <alignment horizontal="center"/>
    </xf>
    <xf numFmtId="173" fontId="65" fillId="0" borderId="0" xfId="0" applyNumberFormat="1" applyFont="1" applyAlignment="1">
      <alignment horizontal="center"/>
    </xf>
    <xf numFmtId="171" fontId="71" fillId="0" borderId="0" xfId="0" applyNumberFormat="1" applyFont="1" applyAlignment="1">
      <alignment horizontal="center"/>
    </xf>
    <xf numFmtId="173" fontId="81" fillId="0" borderId="0" xfId="0" applyNumberFormat="1" applyFont="1" applyAlignment="1">
      <alignment horizontal="center"/>
    </xf>
    <xf numFmtId="171" fontId="55" fillId="0" borderId="0" xfId="0" applyNumberFormat="1" applyFont="1" applyAlignment="1">
      <alignment horizontal="center"/>
    </xf>
    <xf numFmtId="169" fontId="145" fillId="0" borderId="0" xfId="42" applyNumberFormat="1" applyFont="1" applyFill="1" applyAlignment="1">
      <alignment horizontal="center"/>
    </xf>
    <xf numFmtId="171" fontId="47" fillId="3" borderId="0" xfId="17" applyNumberFormat="1" applyFont="1" applyFill="1" applyBorder="1" applyAlignment="1">
      <alignment horizontal="center"/>
    </xf>
    <xf numFmtId="169" fontId="32" fillId="0" borderId="0" xfId="37" applyNumberFormat="1" applyFont="1" applyAlignment="1">
      <alignment horizontal="center"/>
    </xf>
    <xf numFmtId="171" fontId="70" fillId="43" borderId="0" xfId="0" applyNumberFormat="1" applyFont="1" applyFill="1" applyAlignment="1">
      <alignment horizontal="center"/>
    </xf>
    <xf numFmtId="171" fontId="36" fillId="43" borderId="0" xfId="0" applyNumberFormat="1" applyFont="1" applyFill="1" applyAlignment="1">
      <alignment horizontal="center"/>
    </xf>
    <xf numFmtId="9" fontId="70" fillId="43" borderId="0" xfId="0" applyNumberFormat="1" applyFont="1" applyFill="1" applyAlignment="1">
      <alignment horizontal="center"/>
    </xf>
    <xf numFmtId="173" fontId="36" fillId="43" borderId="0" xfId="0" applyNumberFormat="1" applyFont="1" applyFill="1" applyAlignment="1">
      <alignment horizontal="center"/>
    </xf>
    <xf numFmtId="173" fontId="70" fillId="43" borderId="0" xfId="0" applyNumberFormat="1" applyFont="1" applyFill="1" applyAlignment="1">
      <alignment horizontal="center"/>
    </xf>
    <xf numFmtId="169" fontId="70" fillId="43" borderId="0" xfId="42" applyNumberFormat="1" applyFont="1" applyFill="1" applyAlignment="1">
      <alignment horizontal="center"/>
    </xf>
    <xf numFmtId="3" fontId="36" fillId="43" borderId="0" xfId="0" applyNumberFormat="1" applyFont="1" applyFill="1" applyAlignment="1">
      <alignment horizontal="center"/>
    </xf>
    <xf numFmtId="169" fontId="73" fillId="0" borderId="0" xfId="0" applyNumberFormat="1" applyFont="1" applyAlignment="1">
      <alignment horizontal="center"/>
    </xf>
    <xf numFmtId="169" fontId="36" fillId="43" borderId="0" xfId="42" applyNumberFormat="1" applyFont="1" applyFill="1" applyAlignment="1">
      <alignment horizontal="center"/>
    </xf>
    <xf numFmtId="171" fontId="71" fillId="43" borderId="0" xfId="0" applyNumberFormat="1" applyFont="1" applyFill="1" applyAlignment="1">
      <alignment horizontal="center"/>
    </xf>
    <xf numFmtId="171" fontId="73" fillId="43" borderId="0" xfId="0" applyNumberFormat="1" applyFont="1" applyFill="1" applyAlignment="1">
      <alignment horizontal="center"/>
    </xf>
    <xf numFmtId="172" fontId="70" fillId="43" borderId="0" xfId="0" applyNumberFormat="1" applyFont="1" applyFill="1" applyAlignment="1">
      <alignment horizontal="center"/>
    </xf>
    <xf numFmtId="170" fontId="73" fillId="43" borderId="0" xfId="0" applyNumberFormat="1" applyFont="1" applyFill="1" applyAlignment="1">
      <alignment horizontal="center"/>
    </xf>
    <xf numFmtId="170" fontId="71" fillId="43" borderId="0" xfId="0" applyNumberFormat="1" applyFont="1" applyFill="1" applyAlignment="1">
      <alignment horizontal="center"/>
    </xf>
    <xf numFmtId="4" fontId="36" fillId="43" borderId="0" xfId="0" applyNumberFormat="1" applyFont="1" applyFill="1" applyAlignment="1">
      <alignment horizontal="center"/>
    </xf>
    <xf numFmtId="173" fontId="73" fillId="43" borderId="0" xfId="0" applyNumberFormat="1" applyFont="1" applyFill="1" applyAlignment="1">
      <alignment horizontal="center"/>
    </xf>
    <xf numFmtId="4" fontId="60" fillId="4" borderId="0" xfId="0" applyNumberFormat="1" applyFont="1" applyFill="1" applyAlignment="1">
      <alignment horizontal="center"/>
    </xf>
    <xf numFmtId="4" fontId="59" fillId="4" borderId="0" xfId="0" applyNumberFormat="1" applyFont="1" applyFill="1" applyAlignment="1">
      <alignment horizontal="center"/>
    </xf>
    <xf numFmtId="173" fontId="33" fillId="43" borderId="0" xfId="0" applyNumberFormat="1" applyFont="1" applyFill="1" applyAlignment="1">
      <alignment horizontal="center"/>
    </xf>
    <xf numFmtId="171" fontId="170" fillId="0" borderId="0" xfId="0" applyNumberFormat="1" applyFont="1" applyAlignment="1">
      <alignment horizontal="center"/>
    </xf>
    <xf numFmtId="171" fontId="66" fillId="43" borderId="0" xfId="0" applyNumberFormat="1" applyFont="1" applyFill="1" applyAlignment="1">
      <alignment horizontal="center"/>
    </xf>
    <xf numFmtId="169" fontId="62" fillId="42" borderId="0" xfId="42" applyNumberFormat="1" applyFont="1" applyFill="1" applyAlignment="1">
      <alignment horizontal="center"/>
    </xf>
    <xf numFmtId="9" fontId="74" fillId="0" borderId="0" xfId="42" applyFont="1" applyAlignment="1">
      <alignment horizontal="center"/>
    </xf>
    <xf numFmtId="0" fontId="31" fillId="0" borderId="0" xfId="37" quotePrefix="1" applyFont="1"/>
    <xf numFmtId="171" fontId="31" fillId="0" borderId="0" xfId="37" applyNumberFormat="1" applyFont="1" applyAlignment="1">
      <alignment horizontal="center" vertical="center" wrapText="1"/>
    </xf>
    <xf numFmtId="0" fontId="32" fillId="0" borderId="0" xfId="37" applyFont="1" applyAlignment="1">
      <alignment horizontal="center" vertical="center" wrapText="1"/>
    </xf>
    <xf numFmtId="8" fontId="31" fillId="0" borderId="0" xfId="37" applyNumberFormat="1" applyFont="1" applyAlignment="1">
      <alignment horizontal="center" vertical="center" wrapText="1"/>
    </xf>
    <xf numFmtId="49" fontId="122" fillId="0" borderId="0" xfId="0" applyNumberFormat="1" applyFont="1"/>
    <xf numFmtId="49" fontId="122" fillId="0" borderId="0" xfId="0" applyNumberFormat="1" applyFont="1" applyAlignment="1"/>
    <xf numFmtId="49" fontId="171" fillId="0" borderId="0" xfId="0" applyNumberFormat="1" applyFont="1" applyAlignment="1"/>
    <xf numFmtId="49" fontId="121" fillId="0" borderId="0" xfId="0" applyNumberFormat="1" applyFont="1" applyAlignment="1">
      <alignment horizontal="left" vertical="center"/>
    </xf>
    <xf numFmtId="49" fontId="121" fillId="0" borderId="0" xfId="0" applyNumberFormat="1" applyFont="1" applyAlignment="1"/>
    <xf numFmtId="49" fontId="57" fillId="0" borderId="0" xfId="0" applyNumberFormat="1" applyFont="1" applyAlignment="1"/>
    <xf numFmtId="49" fontId="172" fillId="0" borderId="0" xfId="0" applyNumberFormat="1" applyFont="1" applyAlignment="1"/>
    <xf numFmtId="49" fontId="57" fillId="0" borderId="13" xfId="0" applyNumberFormat="1" applyFont="1" applyBorder="1" applyAlignment="1"/>
    <xf numFmtId="49" fontId="57" fillId="0" borderId="13" xfId="0" applyNumberFormat="1" applyFont="1" applyBorder="1" applyAlignment="1"/>
    <xf numFmtId="0" fontId="57" fillId="0" borderId="0" xfId="0" applyFont="1"/>
    <xf numFmtId="2" fontId="122" fillId="0" borderId="0" xfId="0" applyNumberFormat="1" applyFont="1"/>
    <xf numFmtId="49" fontId="173" fillId="44" borderId="0" xfId="0" applyNumberFormat="1" applyFont="1" applyFill="1" applyAlignment="1">
      <alignment wrapText="1"/>
    </xf>
    <xf numFmtId="0" fontId="0" fillId="44" borderId="0" xfId="0" applyFill="1"/>
    <xf numFmtId="49" fontId="174" fillId="44" borderId="0" xfId="0" applyNumberFormat="1" applyFont="1" applyFill="1" applyAlignment="1">
      <alignment wrapText="1"/>
    </xf>
  </cellXfs>
  <cellStyles count="250">
    <cellStyle name=" 1" xfId="58" xr:uid="{00000000-0005-0000-0000-000000000000}"/>
    <cellStyle name=" 1 2" xfId="161" xr:uid="{00000000-0005-0000-0000-000001000000}"/>
    <cellStyle name=" Writer Import]_x000d__x000a_Display Dialog=No_x000d__x000a__x000d__x000a_[Horizontal Arrange]_x000d__x000a_Dimensions Interlocking=Yes_x000d__x000a_Sum Hierarchy=Yes_x000d__x000a_Generate" xfId="1" xr:uid="{00000000-0005-0000-0000-000002000000}"/>
    <cellStyle name=" Writer Import]_x000d__x000a_Display Dialog=No_x000d__x000a__x000d__x000a_[Horizontal Arrange]_x000d__x000a_Dimensions Interlocking=Yes_x000d__x000a_Sum Hierarchy=Yes_x000d__x000a_Generate 2" xfId="59" xr:uid="{00000000-0005-0000-0000-000003000000}"/>
    <cellStyle name=" Writer Import]_x000d__x000a_Display Dialog=No_x000d__x000a__x000d__x000a_[Horizontal Arrange]_x000d__x000a_Dimensions Interlocking=Yes_x000d__x000a_Sum Hierarchy=Yes_x000d__x000a_Generate 3" xfId="60" xr:uid="{00000000-0005-0000-0000-000004000000}"/>
    <cellStyle name=" Writer Import]_x000d__x000a_Display Dialog=No_x000d__x000a__x000d__x000a_[Horizontal Arrange]_x000d__x000a_Dimensions Interlocking=Yes_x000d__x000a_Sum Hierarchy=Yes_x000d__x000a_Generate 4" xfId="61" xr:uid="{00000000-0005-0000-0000-000005000000}"/>
    <cellStyle name=" Writer Import]_x000d__x000a_Display Dialog=No_x000d__x000a__x000d__x000a_[Horizontal Arrange]_x000d__x000a_Dimensions Interlocking=Yes_x000d__x000a_Sum Hierarchy=Yes_x000d__x000a_Generate_Qtrly E vs A" xfId="62" xr:uid="{00000000-0005-0000-0000-000006000000}"/>
    <cellStyle name="_x000a_bidires=100_x000d_" xfId="200" xr:uid="{00000000-0005-0000-0000-000007000000}"/>
    <cellStyle name="$ 1 decimal" xfId="63" xr:uid="{00000000-0005-0000-0000-000009000000}"/>
    <cellStyle name="%" xfId="140" xr:uid="{00000000-0005-0000-0000-00000A000000}"/>
    <cellStyle name="%_CGF_no password" xfId="201" xr:uid="{00000000-0005-0000-0000-00000B000000}"/>
    <cellStyle name="%_CGFMOD" xfId="202" xr:uid="{00000000-0005-0000-0000-00000C000000}"/>
    <cellStyle name="%_PPTMOD" xfId="203" xr:uid="{00000000-0005-0000-0000-00000D000000}"/>
    <cellStyle name="_3 stage GG model" xfId="2" xr:uid="{00000000-0005-0000-0000-00000E000000}"/>
    <cellStyle name="_3 stage GG model 2" xfId="3" xr:uid="{00000000-0005-0000-0000-00000F000000}"/>
    <cellStyle name="_MWA RR_1-pager " xfId="4" xr:uid="{00000000-0005-0000-0000-000010000000}"/>
    <cellStyle name="_mwareInputs" xfId="204" xr:uid="{00000000-0005-0000-0000-000011000000}"/>
    <cellStyle name="_NVT Master Model 1H10" xfId="205" xr:uid="{00000000-0005-0000-0000-000012000000}"/>
    <cellStyle name="_RRS1" xfId="141" xr:uid="{00000000-0005-0000-0000-000013000000}"/>
    <cellStyle name="_RRS1_1_1-pager " xfId="5" xr:uid="{00000000-0005-0000-0000-000014000000}"/>
    <cellStyle name="_RRS1_CGF_no password" xfId="206" xr:uid="{00000000-0005-0000-0000-000015000000}"/>
    <cellStyle name="_RRS1_CGFMOD" xfId="207" xr:uid="{00000000-0005-0000-0000-000016000000}"/>
    <cellStyle name="_RRS1_PPTMOD" xfId="208" xr:uid="{00000000-0005-0000-0000-000017000000}"/>
    <cellStyle name="_RRS10_1_1-pager " xfId="6" xr:uid="{00000000-0005-0000-0000-000018000000}"/>
    <cellStyle name="_RRS2" xfId="209" xr:uid="{00000000-0005-0000-0000-000019000000}"/>
    <cellStyle name="_RRS2_CGF_no password" xfId="210" xr:uid="{00000000-0005-0000-0000-00001A000000}"/>
    <cellStyle name="_RRS2_CGFMOD" xfId="211" xr:uid="{00000000-0005-0000-0000-00001B000000}"/>
    <cellStyle name="_RRS2_PPTMOD" xfId="212" xr:uid="{00000000-0005-0000-0000-00001C000000}"/>
    <cellStyle name="_SUMMARY " xfId="7" xr:uid="{00000000-0005-0000-0000-00001D000000}"/>
    <cellStyle name="_SUMMARY  2" xfId="8" xr:uid="{00000000-0005-0000-0000-00001E000000}"/>
    <cellStyle name="_SUMMARY _1-pager " xfId="9" xr:uid="{00000000-0005-0000-0000-00001F000000}"/>
    <cellStyle name="_SUMMARY _CGF_no password" xfId="213" xr:uid="{00000000-0005-0000-0000-000020000000}"/>
    <cellStyle name="_SUMMARY _CGFMOD" xfId="214" xr:uid="{00000000-0005-0000-0000-000021000000}"/>
    <cellStyle name="_SUMMARY _PPTMOD" xfId="215" xr:uid="{00000000-0005-0000-0000-000022000000}"/>
    <cellStyle name="_SUMMARY _RRST1" xfId="216" xr:uid="{00000000-0005-0000-0000-000023000000}"/>
    <cellStyle name="_SUMMARY _RRST1_1" xfId="217" xr:uid="{00000000-0005-0000-0000-000024000000}"/>
    <cellStyle name="=C:\WINNT35\SYSTEM32\COMMAND.COM" xfId="142" xr:uid="{00000000-0005-0000-0000-000025000000}"/>
    <cellStyle name="0_Capex &amp; Depreciation " xfId="10" xr:uid="{00000000-0005-0000-0000-000026000000}"/>
    <cellStyle name="0_Capex &amp; Depreciation  2" xfId="11" xr:uid="{00000000-0005-0000-0000-000027000000}"/>
    <cellStyle name="0_Capex &amp; Depreciation _PPTMOD" xfId="218" xr:uid="{00000000-0005-0000-0000-000028000000}"/>
    <cellStyle name="0_Capex &amp; Depreciation _RRST1" xfId="219" xr:uid="{00000000-0005-0000-0000-000029000000}"/>
    <cellStyle name="0_Capex &amp; Depreciation _RRST1_1" xfId="220" xr:uid="{00000000-0005-0000-0000-00002A000000}"/>
    <cellStyle name="0_Valuing BP " xfId="12" xr:uid="{00000000-0005-0000-0000-00002B000000}"/>
    <cellStyle name="0_Valuing BP  2" xfId="13" xr:uid="{00000000-0005-0000-0000-00002C000000}"/>
    <cellStyle name="0_Valuing BP _PPTMOD" xfId="221" xr:uid="{00000000-0005-0000-0000-00002D000000}"/>
    <cellStyle name="0_Valuing BP _RRST1" xfId="222" xr:uid="{00000000-0005-0000-0000-00002E000000}"/>
    <cellStyle name="0_Valuing BP _RRST1_1" xfId="223" xr:uid="{00000000-0005-0000-0000-00002F000000}"/>
    <cellStyle name="20% - Accent1 2" xfId="64" xr:uid="{00000000-0005-0000-0000-000030000000}"/>
    <cellStyle name="20% - Accent2 2" xfId="65" xr:uid="{00000000-0005-0000-0000-000031000000}"/>
    <cellStyle name="20% - Accent3 2" xfId="66" xr:uid="{00000000-0005-0000-0000-000032000000}"/>
    <cellStyle name="20% - Accent4 2" xfId="67" xr:uid="{00000000-0005-0000-0000-000033000000}"/>
    <cellStyle name="20% - Accent5 2" xfId="68" xr:uid="{00000000-0005-0000-0000-000034000000}"/>
    <cellStyle name="20% - Accent6 2" xfId="69" xr:uid="{00000000-0005-0000-0000-000035000000}"/>
    <cellStyle name="40% - Accent1 2" xfId="70" xr:uid="{00000000-0005-0000-0000-000036000000}"/>
    <cellStyle name="40% - Accent2 2" xfId="71" xr:uid="{00000000-0005-0000-0000-000037000000}"/>
    <cellStyle name="40% - Accent3 2" xfId="72" xr:uid="{00000000-0005-0000-0000-000038000000}"/>
    <cellStyle name="40% - Accent4 2" xfId="73" xr:uid="{00000000-0005-0000-0000-000039000000}"/>
    <cellStyle name="40% - Accent5 2" xfId="74" xr:uid="{00000000-0005-0000-0000-00003A000000}"/>
    <cellStyle name="40% - Accent6 2" xfId="75" xr:uid="{00000000-0005-0000-0000-00003B000000}"/>
    <cellStyle name="60% - Accent1 2" xfId="76" xr:uid="{00000000-0005-0000-0000-00003C000000}"/>
    <cellStyle name="60% - Accent2 2" xfId="77" xr:uid="{00000000-0005-0000-0000-00003D000000}"/>
    <cellStyle name="60% - Accent3 2" xfId="78" xr:uid="{00000000-0005-0000-0000-00003E000000}"/>
    <cellStyle name="60% - Accent4 2" xfId="79" xr:uid="{00000000-0005-0000-0000-00003F000000}"/>
    <cellStyle name="60% - Accent5 2" xfId="80" xr:uid="{00000000-0005-0000-0000-000040000000}"/>
    <cellStyle name="60% - Accent6 2" xfId="81" xr:uid="{00000000-0005-0000-0000-000041000000}"/>
    <cellStyle name="Accent1 2" xfId="82" xr:uid="{00000000-0005-0000-0000-000042000000}"/>
    <cellStyle name="Accent2 2" xfId="83" xr:uid="{00000000-0005-0000-0000-000043000000}"/>
    <cellStyle name="Accent3 2" xfId="84" xr:uid="{00000000-0005-0000-0000-000044000000}"/>
    <cellStyle name="Accent4 2" xfId="85" xr:uid="{00000000-0005-0000-0000-000045000000}"/>
    <cellStyle name="Accent5 2" xfId="86" xr:uid="{00000000-0005-0000-0000-000046000000}"/>
    <cellStyle name="Accent6 2" xfId="87" xr:uid="{00000000-0005-0000-0000-000047000000}"/>
    <cellStyle name="assumptions" xfId="143" xr:uid="{00000000-0005-0000-0000-000048000000}"/>
    <cellStyle name="Bad 2" xfId="88" xr:uid="{00000000-0005-0000-0000-000049000000}"/>
    <cellStyle name="c_HardInc " xfId="14" xr:uid="{00000000-0005-0000-0000-00004A000000}"/>
    <cellStyle name="c_HardInc  2" xfId="15" xr:uid="{00000000-0005-0000-0000-00004B000000}"/>
    <cellStyle name="c_HardInc _PPTMOD" xfId="224" xr:uid="{00000000-0005-0000-0000-00004C000000}"/>
    <cellStyle name="c_HardInc _RRST1" xfId="225" xr:uid="{00000000-0005-0000-0000-00004D000000}"/>
    <cellStyle name="c_HardInc _RRST1_1" xfId="226" xr:uid="{00000000-0005-0000-0000-00004E000000}"/>
    <cellStyle name="Calculation 2" xfId="89" xr:uid="{00000000-0005-0000-0000-00004F000000}"/>
    <cellStyle name="Check Cell 2" xfId="90" xr:uid="{00000000-0005-0000-0000-000050000000}"/>
    <cellStyle name="Comma" xfId="56" builtinId="3"/>
    <cellStyle name="Comma 2" xfId="16" xr:uid="{00000000-0005-0000-0000-000052000000}"/>
    <cellStyle name="Comma 2 2" xfId="91" xr:uid="{00000000-0005-0000-0000-000053000000}"/>
    <cellStyle name="Comma 2 3" xfId="164" xr:uid="{00000000-0005-0000-0000-000054000000}"/>
    <cellStyle name="Comma 2 4" xfId="163" xr:uid="{00000000-0005-0000-0000-000055000000}"/>
    <cellStyle name="Comma 2 5" xfId="228" xr:uid="{00000000-0005-0000-0000-000056000000}"/>
    <cellStyle name="Comma 3" xfId="139" xr:uid="{00000000-0005-0000-0000-000057000000}"/>
    <cellStyle name="Comma 3 2" xfId="165" xr:uid="{00000000-0005-0000-0000-000058000000}"/>
    <cellStyle name="Comma 3 3" xfId="229" xr:uid="{00000000-0005-0000-0000-000059000000}"/>
    <cellStyle name="Comma 4" xfId="162" xr:uid="{00000000-0005-0000-0000-00005A000000}"/>
    <cellStyle name="Comma 5" xfId="227" xr:uid="{00000000-0005-0000-0000-00005B000000}"/>
    <cellStyle name="Comma 6" xfId="247" xr:uid="{849F20EB-D1F6-4774-92D7-7A783DEA38EB}"/>
    <cellStyle name="Comma_HSB_ACE" xfId="17" xr:uid="{00000000-0005-0000-0000-00005C000000}"/>
    <cellStyle name="Comma_PICC" xfId="18" xr:uid="{00000000-0005-0000-0000-00005D000000}"/>
    <cellStyle name="Comma_SSEML" xfId="19" xr:uid="{00000000-0005-0000-0000-00005E000000}"/>
    <cellStyle name="Currency 10" xfId="166" xr:uid="{00000000-0005-0000-0000-00005F000000}"/>
    <cellStyle name="Currency 10 2" xfId="167" xr:uid="{00000000-0005-0000-0000-000060000000}"/>
    <cellStyle name="Currency 11" xfId="190" xr:uid="{00000000-0005-0000-0000-000061000000}"/>
    <cellStyle name="Currency 12" xfId="191" xr:uid="{00000000-0005-0000-0000-000062000000}"/>
    <cellStyle name="Currency 13" xfId="192" xr:uid="{00000000-0005-0000-0000-000063000000}"/>
    <cellStyle name="Currency 2" xfId="20" xr:uid="{00000000-0005-0000-0000-000064000000}"/>
    <cellStyle name="Currency 2 2" xfId="148" xr:uid="{00000000-0005-0000-0000-000065000000}"/>
    <cellStyle name="Currency 2 3" xfId="92" xr:uid="{00000000-0005-0000-0000-000066000000}"/>
    <cellStyle name="Currency 3" xfId="21" xr:uid="{00000000-0005-0000-0000-000067000000}"/>
    <cellStyle name="Currency 3 2" xfId="149" xr:uid="{00000000-0005-0000-0000-000068000000}"/>
    <cellStyle name="Currency 3 3" xfId="93" xr:uid="{00000000-0005-0000-0000-000069000000}"/>
    <cellStyle name="Currency 3 4" xfId="230" xr:uid="{00000000-0005-0000-0000-00006A000000}"/>
    <cellStyle name="Currency 4" xfId="22" xr:uid="{00000000-0005-0000-0000-00006B000000}"/>
    <cellStyle name="Currency 4 2" xfId="150" xr:uid="{00000000-0005-0000-0000-00006C000000}"/>
    <cellStyle name="Currency 5" xfId="23" xr:uid="{00000000-0005-0000-0000-00006D000000}"/>
    <cellStyle name="Currency 5 2" xfId="151" xr:uid="{00000000-0005-0000-0000-00006E000000}"/>
    <cellStyle name="Currency 5 3" xfId="94" xr:uid="{00000000-0005-0000-0000-00006F000000}"/>
    <cellStyle name="Currency 5 4" xfId="231" xr:uid="{00000000-0005-0000-0000-000070000000}"/>
    <cellStyle name="Currency 6" xfId="95" xr:uid="{00000000-0005-0000-0000-000071000000}"/>
    <cellStyle name="Currency 6 2" xfId="152" xr:uid="{00000000-0005-0000-0000-000072000000}"/>
    <cellStyle name="Currency 7" xfId="96" xr:uid="{00000000-0005-0000-0000-000073000000}"/>
    <cellStyle name="Currency 7 2" xfId="153" xr:uid="{00000000-0005-0000-0000-000074000000}"/>
    <cellStyle name="Currency 7 3" xfId="232" xr:uid="{00000000-0005-0000-0000-000075000000}"/>
    <cellStyle name="Currency 8" xfId="159" xr:uid="{00000000-0005-0000-0000-000076000000}"/>
    <cellStyle name="Currency 8 2" xfId="169" xr:uid="{00000000-0005-0000-0000-000077000000}"/>
    <cellStyle name="Currency 8 3" xfId="168" xr:uid="{00000000-0005-0000-0000-000078000000}"/>
    <cellStyle name="Currency 9" xfId="97" xr:uid="{00000000-0005-0000-0000-000079000000}"/>
    <cellStyle name="decimal 1" xfId="98" xr:uid="{00000000-0005-0000-0000-00007A000000}"/>
    <cellStyle name="decimal 1 2" xfId="170" xr:uid="{00000000-0005-0000-0000-00007B000000}"/>
    <cellStyle name="decimal 1_wiptrow" xfId="99" xr:uid="{00000000-0005-0000-0000-00007C000000}"/>
    <cellStyle name="Euro" xfId="233" xr:uid="{00000000-0005-0000-0000-00007D000000}"/>
    <cellStyle name="Explanatory Text 2" xfId="100" xr:uid="{00000000-0005-0000-0000-00007E000000}"/>
    <cellStyle name="Fail" xfId="101" xr:uid="{00000000-0005-0000-0000-00007F000000}"/>
    <cellStyle name="FiscalPeriod" xfId="102" xr:uid="{00000000-0005-0000-0000-000080000000}"/>
    <cellStyle name="Good 2" xfId="103" xr:uid="{00000000-0005-0000-0000-000081000000}"/>
    <cellStyle name="Heading 1 2" xfId="104" xr:uid="{00000000-0005-0000-0000-000082000000}"/>
    <cellStyle name="Heading 2 2" xfId="105" xr:uid="{00000000-0005-0000-0000-000083000000}"/>
    <cellStyle name="Heading 3 2" xfId="106" xr:uid="{00000000-0005-0000-0000-000084000000}"/>
    <cellStyle name="Heading 4 2" xfId="107" xr:uid="{00000000-0005-0000-0000-000085000000}"/>
    <cellStyle name="Hidden" xfId="108" xr:uid="{00000000-0005-0000-0000-000086000000}"/>
    <cellStyle name="Hyperlink" xfId="24" builtinId="8"/>
    <cellStyle name="Hyperlink 2" xfId="25" xr:uid="{00000000-0005-0000-0000-000088000000}"/>
    <cellStyle name="Hyperlink 2 2" xfId="172" xr:uid="{00000000-0005-0000-0000-000089000000}"/>
    <cellStyle name="Hyperlink 3" xfId="26" xr:uid="{00000000-0005-0000-0000-00008A000000}"/>
    <cellStyle name="Hyperlink 3 2" xfId="171" xr:uid="{00000000-0005-0000-0000-00008B000000}"/>
    <cellStyle name="Hyperlink 4" xfId="195" xr:uid="{00000000-0005-0000-0000-00008C000000}"/>
    <cellStyle name="Hyperlink 5" xfId="109" xr:uid="{00000000-0005-0000-0000-00008D000000}"/>
    <cellStyle name="Input 2" xfId="110" xr:uid="{00000000-0005-0000-0000-00008E000000}"/>
    <cellStyle name="Linked Cell 2" xfId="111" xr:uid="{00000000-0005-0000-0000-00008F000000}"/>
    <cellStyle name="MetricLabel" xfId="112" xr:uid="{00000000-0005-0000-0000-000090000000}"/>
    <cellStyle name="MetricLabelBlue" xfId="113" xr:uid="{00000000-0005-0000-0000-000091000000}"/>
    <cellStyle name="MetricValue" xfId="114" xr:uid="{00000000-0005-0000-0000-000092000000}"/>
    <cellStyle name="Millares_2AV_M_M " xfId="27" xr:uid="{00000000-0005-0000-0000-000093000000}"/>
    <cellStyle name="Moneda [0]_2AV_M_M " xfId="28" xr:uid="{00000000-0005-0000-0000-000094000000}"/>
    <cellStyle name="Neutral 2" xfId="115" xr:uid="{00000000-0005-0000-0000-000095000000}"/>
    <cellStyle name="Normal" xfId="0" builtinId="0" customBuiltin="1"/>
    <cellStyle name="Normal 10" xfId="157" xr:uid="{00000000-0005-0000-0000-000097000000}"/>
    <cellStyle name="Normal 10 2" xfId="173" xr:uid="{00000000-0005-0000-0000-000098000000}"/>
    <cellStyle name="Normal 11" xfId="158" xr:uid="{00000000-0005-0000-0000-000099000000}"/>
    <cellStyle name="Normal 11 2" xfId="174" xr:uid="{00000000-0005-0000-0000-00009A000000}"/>
    <cellStyle name="Normal 12" xfId="188" xr:uid="{00000000-0005-0000-0000-00009B000000}"/>
    <cellStyle name="Normal 13" xfId="160" xr:uid="{00000000-0005-0000-0000-00009C000000}"/>
    <cellStyle name="Normal 14" xfId="194" xr:uid="{00000000-0005-0000-0000-00009D000000}"/>
    <cellStyle name="Normal 15" xfId="197" xr:uid="{00000000-0005-0000-0000-00009E000000}"/>
    <cellStyle name="Normal 16" xfId="57" xr:uid="{00000000-0005-0000-0000-00009F000000}"/>
    <cellStyle name="Normal 17" xfId="243" xr:uid="{A32F58FC-18EC-40ED-A437-01ECFAC8B2B3}"/>
    <cellStyle name="Normal 18" xfId="244" xr:uid="{A47106ED-D156-41FC-83A8-599246FF3092}"/>
    <cellStyle name="Normal 2" xfId="29" xr:uid="{00000000-0005-0000-0000-0000A0000000}"/>
    <cellStyle name="Normal 2 2" xfId="30" xr:uid="{00000000-0005-0000-0000-0000A1000000}"/>
    <cellStyle name="Normal 2 2 2" xfId="193" xr:uid="{00000000-0005-0000-0000-0000A2000000}"/>
    <cellStyle name="Normal 2 2 3" xfId="176" xr:uid="{00000000-0005-0000-0000-0000A3000000}"/>
    <cellStyle name="Normal 2 3" xfId="175" xr:uid="{00000000-0005-0000-0000-0000A4000000}"/>
    <cellStyle name="Normal 2 4" xfId="198" xr:uid="{00000000-0005-0000-0000-0000A5000000}"/>
    <cellStyle name="Normal 2 5" xfId="116" xr:uid="{00000000-0005-0000-0000-0000A6000000}"/>
    <cellStyle name="Normal 2 6" xfId="245" xr:uid="{ECFCD037-1B8A-4773-9001-B567AD9611E2}"/>
    <cellStyle name="Normal 2_TR Convert (7)" xfId="117" xr:uid="{00000000-0005-0000-0000-0000A7000000}"/>
    <cellStyle name="Normal 3" xfId="31" xr:uid="{00000000-0005-0000-0000-0000A8000000}"/>
    <cellStyle name="Normal 3 2" xfId="119" xr:uid="{00000000-0005-0000-0000-0000A9000000}"/>
    <cellStyle name="Normal 3 2 2" xfId="178" xr:uid="{00000000-0005-0000-0000-0000AA000000}"/>
    <cellStyle name="Normal 3 2 3" xfId="189" xr:uid="{00000000-0005-0000-0000-0000AB000000}"/>
    <cellStyle name="Normal 3 3" xfId="177" xr:uid="{00000000-0005-0000-0000-0000AC000000}"/>
    <cellStyle name="Normal 3 4" xfId="118" xr:uid="{00000000-0005-0000-0000-0000AD000000}"/>
    <cellStyle name="Normal 4" xfId="32" xr:uid="{00000000-0005-0000-0000-0000AE000000}"/>
    <cellStyle name="Normal 4 2" xfId="154" xr:uid="{00000000-0005-0000-0000-0000AF000000}"/>
    <cellStyle name="Normal 4 3" xfId="179" xr:uid="{00000000-0005-0000-0000-0000B0000000}"/>
    <cellStyle name="Normal 4 4" xfId="120" xr:uid="{00000000-0005-0000-0000-0000B1000000}"/>
    <cellStyle name="Normal 5" xfId="33" xr:uid="{00000000-0005-0000-0000-0000B2000000}"/>
    <cellStyle name="Normal 5 2" xfId="121" xr:uid="{00000000-0005-0000-0000-0000B3000000}"/>
    <cellStyle name="Normal 5 2 2" xfId="180" xr:uid="{00000000-0005-0000-0000-0000B4000000}"/>
    <cellStyle name="Normal 6" xfId="122" xr:uid="{00000000-0005-0000-0000-0000B5000000}"/>
    <cellStyle name="Normal 6 2" xfId="182" xr:uid="{00000000-0005-0000-0000-0000B6000000}"/>
    <cellStyle name="Normal 6 3" xfId="181" xr:uid="{00000000-0005-0000-0000-0000B7000000}"/>
    <cellStyle name="Normal 7" xfId="34" xr:uid="{00000000-0005-0000-0000-0000B8000000}"/>
    <cellStyle name="Normal 7 2" xfId="183" xr:uid="{00000000-0005-0000-0000-0000B9000000}"/>
    <cellStyle name="Normal 7 3" xfId="147" xr:uid="{00000000-0005-0000-0000-0000BA000000}"/>
    <cellStyle name="Normal 8" xfId="156" xr:uid="{00000000-0005-0000-0000-0000BB000000}"/>
    <cellStyle name="Normal 8 2" xfId="234" xr:uid="{00000000-0005-0000-0000-0000BC000000}"/>
    <cellStyle name="Normal 9" xfId="123" xr:uid="{00000000-0005-0000-0000-0000BD000000}"/>
    <cellStyle name="Normal 9 2" xfId="184" xr:uid="{00000000-0005-0000-0000-0000BE000000}"/>
    <cellStyle name="Normal 9 3" xfId="185" xr:uid="{00000000-0005-0000-0000-0000BF000000}"/>
    <cellStyle name="Normal_ACE-OUT" xfId="35" xr:uid="{00000000-0005-0000-0000-0000C0000000}"/>
    <cellStyle name="Normal_ACE-OUT_PPTMOD" xfId="36" xr:uid="{00000000-0005-0000-0000-0000C1000000}"/>
    <cellStyle name="Normal_ASXMOD" xfId="37" xr:uid="{00000000-0005-0000-0000-0000C2000000}"/>
    <cellStyle name="Normal_banking template with RtN" xfId="38" xr:uid="{00000000-0005-0000-0000-0000C3000000}"/>
    <cellStyle name="Normal_CPU MODEL" xfId="249" xr:uid="{E429EB72-9FD0-4141-BCF1-AD170B050F56}"/>
    <cellStyle name="Normal_HSB_ACE_PPTMOD" xfId="39" xr:uid="{00000000-0005-0000-0000-0000C4000000}"/>
    <cellStyle name="Normal_SSEML" xfId="40" xr:uid="{00000000-0005-0000-0000-0000C6000000}"/>
    <cellStyle name="Normalny_Ferrum . Valuation . CA IB . 8" xfId="144" xr:uid="{00000000-0005-0000-0000-0000C8000000}"/>
    <cellStyle name="Note 2" xfId="155" xr:uid="{00000000-0005-0000-0000-0000C9000000}"/>
    <cellStyle name="Note 3" xfId="124" xr:uid="{00000000-0005-0000-0000-0000CA000000}"/>
    <cellStyle name="Output 2" xfId="125" xr:uid="{00000000-0005-0000-0000-0000CB000000}"/>
    <cellStyle name="p " xfId="41" xr:uid="{00000000-0005-0000-0000-0000CC000000}"/>
    <cellStyle name="Pass" xfId="126" xr:uid="{00000000-0005-0000-0000-0000CD000000}"/>
    <cellStyle name="Percent" xfId="42" builtinId="5"/>
    <cellStyle name="Percent 2" xfId="43" xr:uid="{00000000-0005-0000-0000-0000CF000000}"/>
    <cellStyle name="Percent 2 2" xfId="128" xr:uid="{00000000-0005-0000-0000-0000D0000000}"/>
    <cellStyle name="Percent 2 2 2" xfId="129" xr:uid="{00000000-0005-0000-0000-0000D1000000}"/>
    <cellStyle name="Percent 2 3" xfId="130" xr:uid="{00000000-0005-0000-0000-0000D2000000}"/>
    <cellStyle name="Percent 2 4" xfId="127" xr:uid="{00000000-0005-0000-0000-0000D3000000}"/>
    <cellStyle name="Percent 3" xfId="44" xr:uid="{00000000-0005-0000-0000-0000D4000000}"/>
    <cellStyle name="Percent 3 2" xfId="131" xr:uid="{00000000-0005-0000-0000-0000D5000000}"/>
    <cellStyle name="Percent 4" xfId="132" xr:uid="{00000000-0005-0000-0000-0000D6000000}"/>
    <cellStyle name="Percent 5" xfId="196" xr:uid="{00000000-0005-0000-0000-0000D7000000}"/>
    <cellStyle name="Percent 6" xfId="133" xr:uid="{00000000-0005-0000-0000-0000D8000000}"/>
    <cellStyle name="Percent 7" xfId="199" xr:uid="{00000000-0005-0000-0000-0000D9000000}"/>
    <cellStyle name="Percent 8" xfId="235" xr:uid="{00000000-0005-0000-0000-0000DA000000}"/>
    <cellStyle name="Percent 9" xfId="248" xr:uid="{F1AFBC7E-E864-4437-9F70-0C0E6CEEEEFD}"/>
    <cellStyle name="Percent_HSB_ACE" xfId="45" xr:uid="{00000000-0005-0000-0000-0000DB000000}"/>
    <cellStyle name="RRSInstruction" xfId="46" xr:uid="{00000000-0005-0000-0000-0000DC000000}"/>
    <cellStyle name="RRSInstruction 2" xfId="47" xr:uid="{00000000-0005-0000-0000-0000DD000000}"/>
    <cellStyle name="s_HardInc " xfId="48" xr:uid="{00000000-0005-0000-0000-0000DE000000}"/>
    <cellStyle name="s_HardInc  2" xfId="49" xr:uid="{00000000-0005-0000-0000-0000DF000000}"/>
    <cellStyle name="s_HardInc _PPTMOD" xfId="236" xr:uid="{00000000-0005-0000-0000-0000E0000000}"/>
    <cellStyle name="s_HardInc _RRST1" xfId="237" xr:uid="{00000000-0005-0000-0000-0000E1000000}"/>
    <cellStyle name="s_HardInc _RRST1_1" xfId="238" xr:uid="{00000000-0005-0000-0000-0000E2000000}"/>
    <cellStyle name="s_Valuation " xfId="50" xr:uid="{00000000-0005-0000-0000-0000E3000000}"/>
    <cellStyle name="s_Valuation  2" xfId="51" xr:uid="{00000000-0005-0000-0000-0000E4000000}"/>
    <cellStyle name="s_Valuation _PPTMOD" xfId="239" xr:uid="{00000000-0005-0000-0000-0000E5000000}"/>
    <cellStyle name="s_Valuation _RRST1" xfId="240" xr:uid="{00000000-0005-0000-0000-0000E6000000}"/>
    <cellStyle name="s_Valuation _RRST1_1" xfId="241" xr:uid="{00000000-0005-0000-0000-0000E7000000}"/>
    <cellStyle name="ssp " xfId="52" xr:uid="{00000000-0005-0000-0000-0000E8000000}"/>
    <cellStyle name="ssp  2" xfId="186" xr:uid="{00000000-0005-0000-0000-0000E9000000}"/>
    <cellStyle name="Style 1" xfId="145" xr:uid="{00000000-0005-0000-0000-0000EA000000}"/>
    <cellStyle name="Style 1 2" xfId="242" xr:uid="{00000000-0005-0000-0000-0000EB000000}"/>
    <cellStyle name="Style 2" xfId="146" xr:uid="{00000000-0005-0000-0000-0000EC000000}"/>
    <cellStyle name="Title 2" xfId="134" xr:uid="{00000000-0005-0000-0000-0000ED000000}"/>
    <cellStyle name="Total 2" xfId="135" xr:uid="{00000000-0005-0000-0000-0000EE000000}"/>
    <cellStyle name="TR_OutputData1" xfId="246" xr:uid="{F1D396C2-051F-4DDF-BCDA-50036605C33A}"/>
    <cellStyle name="underline 1 decimal" xfId="136" xr:uid="{00000000-0005-0000-0000-0000EF000000}"/>
    <cellStyle name="underline 1 decimal 2" xfId="187" xr:uid="{00000000-0005-0000-0000-0000F0000000}"/>
    <cellStyle name="underline 1 decimal_wiptrow" xfId="137" xr:uid="{00000000-0005-0000-0000-0000F1000000}"/>
    <cellStyle name="Warning Text 2" xfId="138" xr:uid="{00000000-0005-0000-0000-0000F2000000}"/>
    <cellStyle name="콤마 [0]_#3이설 견적_준공내역총괄표 " xfId="53" xr:uid="{00000000-0005-0000-0000-0000F3000000}"/>
    <cellStyle name="콤마_#3이설 견적_준공내역총괄표 " xfId="54" xr:uid="{00000000-0005-0000-0000-0000F4000000}"/>
    <cellStyle name="표준_0N-HANDLING " xfId="55" xr:uid="{00000000-0005-0000-0000-0000F5000000}"/>
  </cellStyles>
  <dxfs count="0"/>
  <tableStyles count="0" defaultTableStyle="TableStyleMedium9" defaultPivotStyle="PivotStyleLight16"/>
  <colors>
    <mruColors>
      <color rgb="FFFFCCFF"/>
      <color rgb="FFCCFFFF"/>
      <color rgb="FF0000FF"/>
      <color rgb="FF008000"/>
      <color rgb="FF33CCFF"/>
      <color rgb="FFFFFFCC"/>
      <color rgb="FF00FF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5756</xdr:rowOff>
    </xdr:to>
    <xdr:pic>
      <xdr:nvPicPr>
        <xdr:cNvPr id="3" name="Picture 2">
          <a:extLst>
            <a:ext uri="{FF2B5EF4-FFF2-40B4-BE49-F238E27FC236}">
              <a16:creationId xmlns:a16="http://schemas.microsoft.com/office/drawing/2014/main" id="{89D5950E-1760-88D4-88B3-BDB00AEBC70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177</xdr:row>
      <xdr:rowOff>2</xdr:rowOff>
    </xdr:from>
    <xdr:to>
      <xdr:col>10</xdr:col>
      <xdr:colOff>527050</xdr:colOff>
      <xdr:row>197</xdr:row>
      <xdr:rowOff>180977</xdr:rowOff>
    </xdr:to>
    <xdr:pic>
      <xdr:nvPicPr>
        <xdr:cNvPr id="5" name="Picture 4">
          <a:extLst>
            <a:ext uri="{FF2B5EF4-FFF2-40B4-BE49-F238E27FC236}">
              <a16:creationId xmlns:a16="http://schemas.microsoft.com/office/drawing/2014/main" id="{BD8EC50F-C51E-AB69-1842-171BE152DE8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2598362"/>
          <a:ext cx="6496050" cy="3838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64</xdr:row>
          <xdr:rowOff>121920</xdr:rowOff>
        </xdr:from>
        <xdr:to>
          <xdr:col>8</xdr:col>
          <xdr:colOff>685800</xdr:colOff>
          <xdr:row>66</xdr:row>
          <xdr:rowOff>144780</xdr:rowOff>
        </xdr:to>
        <xdr:sp macro="" textlink="">
          <xdr:nvSpPr>
            <xdr:cNvPr id="30311425" name="Button 1" hidden="1">
              <a:extLst>
                <a:ext uri="{63B3BB69-23CF-44E3-9099-C40C66FF867C}">
                  <a14:compatExt spid="_x0000_s30311425"/>
                </a:ext>
                <a:ext uri="{FF2B5EF4-FFF2-40B4-BE49-F238E27FC236}">
                  <a16:creationId xmlns:a16="http://schemas.microsoft.com/office/drawing/2014/main" id="{00000000-0008-0000-1400-00000184CE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Refresh BBB</a:t>
              </a:r>
            </a:p>
          </xdr:txBody>
        </xdr:sp>
        <xdr:clientData fPrintsWithSheet="0"/>
      </xdr:twoCellAnchor>
    </mc:Choice>
    <mc:Fallback/>
  </mc:AlternateContent>
  <xdr:twoCellAnchor>
    <xdr:from>
      <xdr:col>9</xdr:col>
      <xdr:colOff>824946</xdr:colOff>
      <xdr:row>5</xdr:row>
      <xdr:rowOff>19878</xdr:rowOff>
    </xdr:from>
    <xdr:to>
      <xdr:col>14</xdr:col>
      <xdr:colOff>584751</xdr:colOff>
      <xdr:row>9</xdr:row>
      <xdr:rowOff>94423</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10419520" y="1126435"/>
          <a:ext cx="3384274" cy="816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800" b="1">
              <a:solidFill>
                <a:schemeClr val="accent2"/>
              </a:solidFill>
            </a:rPr>
            <a:t>Macro warning: Do not add</a:t>
          </a:r>
          <a:r>
            <a:rPr lang="en-AU" sz="1800" b="1" baseline="0">
              <a:solidFill>
                <a:schemeClr val="accent2"/>
              </a:solidFill>
            </a:rPr>
            <a:t> rows / columns</a:t>
          </a:r>
          <a:endParaRPr lang="en-AU" sz="1800" b="1">
            <a:solidFill>
              <a:schemeClr val="accent2"/>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Startup" Target="USERS/Insurance/Company/SDF/SDF%20MOD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porate History"/>
      <sheetName val="Consolidated Holdings"/>
      <sheetName val="Lookup"/>
      <sheetName val="SYNTHESIS&gt;&gt;"/>
      <sheetName val="A vs E"/>
      <sheetName val="Modelling Points"/>
      <sheetName val="Balances"/>
      <sheetName val="FS&gt;&gt;"/>
      <sheetName val="Change Summary"/>
      <sheetName val="MWData"/>
      <sheetName val="Sum"/>
      <sheetName val="P&amp;L"/>
      <sheetName val="BS"/>
      <sheetName val="External"/>
      <sheetName val="CF"/>
      <sheetName val="VAL&gt;&gt;"/>
      <sheetName val="Scenarios"/>
      <sheetName val="SOTP"/>
      <sheetName val="Acquisitions"/>
      <sheetName val="VAActuals_Consensus"/>
      <sheetName val="Acq PPAs"/>
      <sheetName val="OP"/>
      <sheetName val="Valn"/>
      <sheetName val="FX &amp; Stock Price"/>
      <sheetName val="MW&gt;&gt;"/>
      <sheetName val="MW-Cache"/>
      <sheetName val="MW GEG"/>
      <sheetName val="mwareSettings"/>
      <sheetName val="mwareDates"/>
      <sheetName val="AUDUSD"/>
    </sheetNames>
    <sheetDataSet>
      <sheetData sheetId="0" refreshError="1"/>
      <sheetData sheetId="1" refreshError="1"/>
      <sheetData sheetId="2">
        <row r="2">
          <cell r="A2" t="str">
            <v>Top 20</v>
          </cell>
          <cell r="B2">
            <v>20</v>
          </cell>
          <cell r="C2" t="str">
            <v>Algeria dinar</v>
          </cell>
          <cell r="D2" t="str">
            <v>DZD</v>
          </cell>
          <cell r="E2" t="str">
            <v>Investor Type</v>
          </cell>
          <cell r="F2">
            <v>1</v>
          </cell>
        </row>
        <row r="3">
          <cell r="A3" t="str">
            <v>Top 50</v>
          </cell>
          <cell r="B3">
            <v>50</v>
          </cell>
          <cell r="C3" t="str">
            <v>Argentina peso</v>
          </cell>
          <cell r="D3" t="str">
            <v>ARS</v>
          </cell>
          <cell r="E3" t="str">
            <v>Investor Style</v>
          </cell>
          <cell r="F3">
            <v>2</v>
          </cell>
        </row>
        <row r="4">
          <cell r="A4" t="str">
            <v>Top 100</v>
          </cell>
          <cell r="B4">
            <v>100</v>
          </cell>
          <cell r="C4" t="str">
            <v>Australia dollar</v>
          </cell>
          <cell r="D4" t="str">
            <v>AUD</v>
          </cell>
          <cell r="E4" t="str">
            <v>Investor Region</v>
          </cell>
          <cell r="F4">
            <v>3</v>
          </cell>
        </row>
        <row r="5">
          <cell r="A5" t="str">
            <v>All</v>
          </cell>
          <cell r="C5" t="str">
            <v>Austria schilling</v>
          </cell>
          <cell r="D5" t="str">
            <v>ATS</v>
          </cell>
          <cell r="E5" t="str">
            <v>Investor Rotation</v>
          </cell>
          <cell r="F5">
            <v>4</v>
          </cell>
        </row>
        <row r="6">
          <cell r="C6" t="str">
            <v>Bahamas dollar</v>
          </cell>
          <cell r="D6" t="str">
            <v>BSD</v>
          </cell>
          <cell r="E6" t="str">
            <v>Investor Country</v>
          </cell>
          <cell r="F6">
            <v>5</v>
          </cell>
        </row>
        <row r="7">
          <cell r="C7" t="str">
            <v>Bahrain dinar</v>
          </cell>
          <cell r="D7" t="str">
            <v>BHD</v>
          </cell>
        </row>
        <row r="8">
          <cell r="C8" t="str">
            <v>Bangladesh taka</v>
          </cell>
          <cell r="D8" t="str">
            <v>BDT</v>
          </cell>
        </row>
        <row r="9">
          <cell r="C9" t="str">
            <v>Barbados dollar</v>
          </cell>
          <cell r="D9" t="str">
            <v>BBD</v>
          </cell>
        </row>
        <row r="10">
          <cell r="C10" t="str">
            <v>Belgium franc</v>
          </cell>
          <cell r="D10" t="str">
            <v>BEF</v>
          </cell>
        </row>
        <row r="11">
          <cell r="C11" t="str">
            <v>Belize dollar</v>
          </cell>
          <cell r="D11" t="str">
            <v>BZD</v>
          </cell>
        </row>
        <row r="12">
          <cell r="C12" t="str">
            <v>Bermuda dollar</v>
          </cell>
          <cell r="D12" t="str">
            <v>BMD</v>
          </cell>
        </row>
        <row r="13">
          <cell r="C13" t="str">
            <v>Bolivia boliviano</v>
          </cell>
          <cell r="D13" t="str">
            <v>BOB</v>
          </cell>
        </row>
        <row r="14">
          <cell r="C14" t="str">
            <v>Bosnia / Herzegovina convertible mark</v>
          </cell>
          <cell r="D14" t="str">
            <v>BAM</v>
          </cell>
        </row>
        <row r="15">
          <cell r="C15" t="str">
            <v>Botswana pula</v>
          </cell>
          <cell r="D15" t="str">
            <v>BWP</v>
          </cell>
        </row>
        <row r="16">
          <cell r="C16" t="str">
            <v>Brazil real</v>
          </cell>
          <cell r="D16" t="str">
            <v>BRL</v>
          </cell>
        </row>
        <row r="17">
          <cell r="C17" t="str">
            <v>Bulgaria lev</v>
          </cell>
          <cell r="D17" t="str">
            <v>BGN</v>
          </cell>
        </row>
        <row r="18">
          <cell r="C18" t="str">
            <v>Canada dollar</v>
          </cell>
          <cell r="D18" t="str">
            <v>CAD</v>
          </cell>
        </row>
        <row r="19">
          <cell r="C19" t="str">
            <v>Cayman Islands dollar</v>
          </cell>
          <cell r="D19" t="str">
            <v>KYD</v>
          </cell>
        </row>
        <row r="20">
          <cell r="C20" t="str">
            <v>Central African Cfa Franc</v>
          </cell>
          <cell r="D20" t="str">
            <v>XAF</v>
          </cell>
        </row>
        <row r="21">
          <cell r="C21" t="str">
            <v>CFA franc (BCEAO)</v>
          </cell>
          <cell r="D21" t="str">
            <v>XOF</v>
          </cell>
        </row>
        <row r="22">
          <cell r="C22" t="str">
            <v>Chile peso</v>
          </cell>
          <cell r="D22" t="str">
            <v>CLP</v>
          </cell>
        </row>
        <row r="23">
          <cell r="C23" t="str">
            <v>China renminbi (yuan)</v>
          </cell>
          <cell r="D23" t="str">
            <v>CNY</v>
          </cell>
        </row>
        <row r="24">
          <cell r="C24" t="str">
            <v>Colombia peso</v>
          </cell>
          <cell r="D24" t="str">
            <v>COP</v>
          </cell>
        </row>
        <row r="25">
          <cell r="C25" t="str">
            <v>Costa Rica colon</v>
          </cell>
          <cell r="D25" t="str">
            <v>CRC</v>
          </cell>
        </row>
        <row r="26">
          <cell r="C26" t="str">
            <v>Croatia kuna</v>
          </cell>
          <cell r="D26" t="str">
            <v>HRK</v>
          </cell>
        </row>
        <row r="27">
          <cell r="C27" t="str">
            <v>Cyprus pound</v>
          </cell>
          <cell r="D27" t="str">
            <v>CYP</v>
          </cell>
        </row>
        <row r="28">
          <cell r="C28" t="str">
            <v>Czech Republic koruna</v>
          </cell>
          <cell r="D28" t="str">
            <v>CZK</v>
          </cell>
        </row>
        <row r="29">
          <cell r="C29" t="str">
            <v>Denmark krone</v>
          </cell>
          <cell r="D29" t="str">
            <v>DKK</v>
          </cell>
        </row>
        <row r="30">
          <cell r="C30" t="str">
            <v>Dominican Republic peso</v>
          </cell>
          <cell r="D30" t="str">
            <v>DOP</v>
          </cell>
        </row>
        <row r="31">
          <cell r="C31" t="str">
            <v>East Caribbean dollar</v>
          </cell>
          <cell r="D31" t="str">
            <v>XCD</v>
          </cell>
        </row>
        <row r="32">
          <cell r="C32" t="str">
            <v>Ecuador sucre</v>
          </cell>
          <cell r="D32" t="str">
            <v>ECS</v>
          </cell>
        </row>
        <row r="33">
          <cell r="C33" t="str">
            <v>Egypt pound</v>
          </cell>
          <cell r="D33" t="str">
            <v>EGP</v>
          </cell>
        </row>
        <row r="34">
          <cell r="C34" t="str">
            <v>Estonia kroon</v>
          </cell>
          <cell r="D34" t="str">
            <v>EEK</v>
          </cell>
        </row>
        <row r="35">
          <cell r="C35" t="str">
            <v>European Union euro</v>
          </cell>
          <cell r="D35" t="str">
            <v>EUR</v>
          </cell>
        </row>
        <row r="36">
          <cell r="C36" t="str">
            <v>Fiji dollar</v>
          </cell>
          <cell r="D36" t="str">
            <v>FJD</v>
          </cell>
        </row>
        <row r="37">
          <cell r="C37" t="str">
            <v>Finland markka</v>
          </cell>
          <cell r="D37" t="str">
            <v>FIM</v>
          </cell>
        </row>
        <row r="38">
          <cell r="C38" t="str">
            <v>France franc</v>
          </cell>
          <cell r="D38" t="str">
            <v>FRF</v>
          </cell>
        </row>
        <row r="39">
          <cell r="C39" t="str">
            <v>Georgia lari</v>
          </cell>
          <cell r="D39" t="str">
            <v>GEL</v>
          </cell>
        </row>
        <row r="40">
          <cell r="C40" t="str">
            <v>Germany mark</v>
          </cell>
          <cell r="D40" t="str">
            <v>DEM</v>
          </cell>
        </row>
        <row r="41">
          <cell r="C41" t="str">
            <v>Ghana Cedi</v>
          </cell>
          <cell r="D41" t="str">
            <v>GHS</v>
          </cell>
        </row>
        <row r="42">
          <cell r="C42" t="str">
            <v>Greece drachma</v>
          </cell>
          <cell r="D42" t="str">
            <v>GRD</v>
          </cell>
        </row>
        <row r="43">
          <cell r="C43" t="str">
            <v>Guatemala quetzal</v>
          </cell>
          <cell r="D43" t="str">
            <v>GTQ</v>
          </cell>
        </row>
        <row r="44">
          <cell r="C44" t="str">
            <v>Honduras lempira</v>
          </cell>
          <cell r="D44" t="str">
            <v>HNL</v>
          </cell>
        </row>
        <row r="45">
          <cell r="C45" t="str">
            <v>Hong Kong dollar</v>
          </cell>
          <cell r="D45" t="str">
            <v>HKD</v>
          </cell>
        </row>
        <row r="46">
          <cell r="C46" t="str">
            <v>Hungary forint</v>
          </cell>
          <cell r="D46" t="str">
            <v>HUF</v>
          </cell>
        </row>
        <row r="47">
          <cell r="C47" t="str">
            <v>Iceland krona</v>
          </cell>
          <cell r="D47" t="str">
            <v>ISK</v>
          </cell>
        </row>
        <row r="48">
          <cell r="C48" t="str">
            <v>India rupee</v>
          </cell>
          <cell r="D48" t="str">
            <v>INR</v>
          </cell>
        </row>
        <row r="49">
          <cell r="C49" t="str">
            <v>Indonesia rupiah</v>
          </cell>
          <cell r="D49" t="str">
            <v>IDR</v>
          </cell>
        </row>
        <row r="50">
          <cell r="C50" t="str">
            <v>Ireland punt</v>
          </cell>
          <cell r="D50" t="str">
            <v>IEP</v>
          </cell>
        </row>
        <row r="51">
          <cell r="C51" t="str">
            <v>Israel shekel</v>
          </cell>
          <cell r="D51" t="str">
            <v>ILS</v>
          </cell>
        </row>
        <row r="52">
          <cell r="C52" t="str">
            <v>Italy lira</v>
          </cell>
          <cell r="D52" t="str">
            <v>ITL</v>
          </cell>
        </row>
        <row r="53">
          <cell r="C53" t="str">
            <v>Jamaica dollar</v>
          </cell>
          <cell r="D53" t="str">
            <v>JMD</v>
          </cell>
        </row>
        <row r="54">
          <cell r="C54" t="str">
            <v>Japan yen</v>
          </cell>
          <cell r="D54" t="str">
            <v>JPY</v>
          </cell>
        </row>
        <row r="55">
          <cell r="C55" t="str">
            <v>Jordan dinar</v>
          </cell>
          <cell r="D55" t="str">
            <v>JOD</v>
          </cell>
        </row>
        <row r="56">
          <cell r="C56" t="str">
            <v>Kazakhstan tenge</v>
          </cell>
          <cell r="D56" t="str">
            <v>KZT</v>
          </cell>
        </row>
        <row r="57">
          <cell r="C57" t="str">
            <v>Kenya shilling</v>
          </cell>
          <cell r="D57" t="str">
            <v>KES</v>
          </cell>
        </row>
        <row r="58">
          <cell r="C58" t="str">
            <v>Kuwait dinar</v>
          </cell>
          <cell r="D58" t="str">
            <v>KWD</v>
          </cell>
        </row>
        <row r="59">
          <cell r="C59" t="str">
            <v>Latvia lats</v>
          </cell>
          <cell r="D59" t="str">
            <v>LVL</v>
          </cell>
        </row>
        <row r="60">
          <cell r="C60" t="str">
            <v>Lebanon pound</v>
          </cell>
          <cell r="D60" t="str">
            <v>LBP</v>
          </cell>
        </row>
        <row r="61">
          <cell r="C61" t="str">
            <v>Lithuania litas</v>
          </cell>
          <cell r="D61" t="str">
            <v>LTL</v>
          </cell>
        </row>
        <row r="62">
          <cell r="C62" t="str">
            <v>Luxembourg franc</v>
          </cell>
          <cell r="D62" t="str">
            <v>LUF</v>
          </cell>
        </row>
        <row r="63">
          <cell r="C63" t="str">
            <v>Macedonia denar</v>
          </cell>
          <cell r="D63" t="str">
            <v>MKD</v>
          </cell>
        </row>
        <row r="64">
          <cell r="C64" t="str">
            <v>Malawi kwacha</v>
          </cell>
          <cell r="D64" t="str">
            <v>MWK</v>
          </cell>
        </row>
        <row r="65">
          <cell r="C65" t="str">
            <v>Malaysia ringgit</v>
          </cell>
          <cell r="D65" t="str">
            <v>MYR</v>
          </cell>
        </row>
        <row r="66">
          <cell r="C66" t="str">
            <v>Malta lira</v>
          </cell>
          <cell r="D66" t="str">
            <v>MTL</v>
          </cell>
        </row>
        <row r="67">
          <cell r="C67" t="str">
            <v>Mauritius rupee</v>
          </cell>
          <cell r="D67" t="str">
            <v>MUR</v>
          </cell>
        </row>
        <row r="68">
          <cell r="C68" t="str">
            <v>Mexico peso</v>
          </cell>
          <cell r="D68" t="str">
            <v>MXN</v>
          </cell>
        </row>
        <row r="69">
          <cell r="C69" t="str">
            <v>Mongolia tugrik</v>
          </cell>
          <cell r="D69" t="str">
            <v>MNT</v>
          </cell>
        </row>
        <row r="70">
          <cell r="C70" t="str">
            <v>Morocco dirham</v>
          </cell>
          <cell r="D70" t="str">
            <v>MAD</v>
          </cell>
        </row>
        <row r="71">
          <cell r="C71" t="str">
            <v>Mozambican Metical</v>
          </cell>
          <cell r="D71" t="str">
            <v>MZN</v>
          </cell>
        </row>
        <row r="72">
          <cell r="C72" t="str">
            <v>Namibia dollar</v>
          </cell>
          <cell r="D72" t="str">
            <v>NAD</v>
          </cell>
        </row>
        <row r="73">
          <cell r="C73" t="str">
            <v>Netherlands Antilles guilder</v>
          </cell>
          <cell r="D73" t="str">
            <v>ANG</v>
          </cell>
        </row>
        <row r="74">
          <cell r="C74" t="str">
            <v>Netherlands guilder</v>
          </cell>
          <cell r="D74" t="str">
            <v>NLG</v>
          </cell>
        </row>
        <row r="75">
          <cell r="C75" t="str">
            <v>New Turkish Lira</v>
          </cell>
          <cell r="D75" t="str">
            <v>TRY</v>
          </cell>
        </row>
        <row r="76">
          <cell r="C76" t="str">
            <v>New Zealand dollar</v>
          </cell>
          <cell r="D76" t="str">
            <v>NZD</v>
          </cell>
        </row>
        <row r="77">
          <cell r="C77" t="str">
            <v>Nigeria naira</v>
          </cell>
          <cell r="D77" t="str">
            <v>NGN</v>
          </cell>
        </row>
        <row r="78">
          <cell r="C78" t="str">
            <v>Norway krone</v>
          </cell>
          <cell r="D78" t="str">
            <v>NOK</v>
          </cell>
        </row>
        <row r="79">
          <cell r="C79" t="str">
            <v>Oman rial</v>
          </cell>
          <cell r="D79" t="str">
            <v>OMR</v>
          </cell>
        </row>
        <row r="80">
          <cell r="C80" t="str">
            <v>Pakistan rupee</v>
          </cell>
          <cell r="D80" t="str">
            <v>PKR</v>
          </cell>
        </row>
        <row r="81">
          <cell r="C81" t="str">
            <v>Panama balboa</v>
          </cell>
          <cell r="D81" t="str">
            <v>PAB</v>
          </cell>
        </row>
        <row r="82">
          <cell r="C82" t="str">
            <v>Papua New Guinea kina</v>
          </cell>
          <cell r="D82" t="str">
            <v>PGK</v>
          </cell>
        </row>
        <row r="83">
          <cell r="C83" t="str">
            <v>Paraguay guarani</v>
          </cell>
          <cell r="D83" t="str">
            <v>PYG</v>
          </cell>
        </row>
        <row r="84">
          <cell r="C84" t="str">
            <v>Peru neuvo sol</v>
          </cell>
          <cell r="D84" t="str">
            <v>PEN</v>
          </cell>
        </row>
        <row r="85">
          <cell r="C85" t="str">
            <v>Philippines peso</v>
          </cell>
          <cell r="D85" t="str">
            <v>PHP</v>
          </cell>
        </row>
        <row r="86">
          <cell r="C86" t="str">
            <v>Poland zloty</v>
          </cell>
          <cell r="D86" t="str">
            <v>PLN</v>
          </cell>
        </row>
        <row r="87">
          <cell r="C87" t="str">
            <v>Portugal escudo</v>
          </cell>
          <cell r="D87" t="str">
            <v>PTE</v>
          </cell>
        </row>
        <row r="88">
          <cell r="C88" t="str">
            <v>Qatar rial</v>
          </cell>
          <cell r="D88" t="str">
            <v>QAR</v>
          </cell>
        </row>
        <row r="89">
          <cell r="C89" t="str">
            <v>Romania leu (new)</v>
          </cell>
          <cell r="D89" t="str">
            <v>RON</v>
          </cell>
        </row>
        <row r="90">
          <cell r="C90" t="str">
            <v>Russia ruble</v>
          </cell>
          <cell r="D90" t="str">
            <v>RUB</v>
          </cell>
        </row>
        <row r="91">
          <cell r="C91" t="str">
            <v>Russian Ruble (to Jan 2004)</v>
          </cell>
          <cell r="D91" t="str">
            <v>RUR</v>
          </cell>
        </row>
        <row r="92">
          <cell r="C92" t="str">
            <v>Saudi Arabia riyal</v>
          </cell>
          <cell r="D92" t="str">
            <v>SAR</v>
          </cell>
        </row>
        <row r="93">
          <cell r="C93" t="str">
            <v>Serbian Dinar</v>
          </cell>
          <cell r="D93" t="str">
            <v>RSD</v>
          </cell>
        </row>
        <row r="94">
          <cell r="C94" t="str">
            <v>Singapore dollar</v>
          </cell>
          <cell r="D94" t="str">
            <v>SGD</v>
          </cell>
        </row>
        <row r="95">
          <cell r="C95" t="str">
            <v>Slovak Republic koruna</v>
          </cell>
          <cell r="D95" t="str">
            <v>SKK</v>
          </cell>
        </row>
        <row r="96">
          <cell r="C96" t="str">
            <v>Slovenia tolar</v>
          </cell>
          <cell r="D96" t="str">
            <v>SIT</v>
          </cell>
        </row>
        <row r="97">
          <cell r="C97" t="str">
            <v>South Africa rand</v>
          </cell>
          <cell r="D97" t="str">
            <v>ZAR</v>
          </cell>
        </row>
        <row r="98">
          <cell r="C98" t="str">
            <v>South Korea won</v>
          </cell>
          <cell r="D98" t="str">
            <v>KRW</v>
          </cell>
        </row>
        <row r="99">
          <cell r="C99" t="str">
            <v>Spain peseta</v>
          </cell>
          <cell r="D99" t="str">
            <v>ESP</v>
          </cell>
        </row>
        <row r="100">
          <cell r="C100" t="str">
            <v>Sri Lanka rupee</v>
          </cell>
          <cell r="D100" t="str">
            <v>LKR</v>
          </cell>
        </row>
        <row r="101">
          <cell r="C101" t="str">
            <v>Sudan Dinar</v>
          </cell>
          <cell r="D101" t="str">
            <v>SDD</v>
          </cell>
        </row>
        <row r="102">
          <cell r="C102" t="str">
            <v>Swaziland lilangeni</v>
          </cell>
          <cell r="D102" t="str">
            <v>SZL</v>
          </cell>
        </row>
        <row r="103">
          <cell r="C103" t="str">
            <v>Sweden krona</v>
          </cell>
          <cell r="D103" t="str">
            <v>SEK</v>
          </cell>
        </row>
        <row r="104">
          <cell r="C104" t="str">
            <v>Switzerland franc</v>
          </cell>
          <cell r="D104" t="str">
            <v>CHF</v>
          </cell>
        </row>
        <row r="105">
          <cell r="C105" t="str">
            <v>Taiwan dollar</v>
          </cell>
          <cell r="D105" t="str">
            <v>TWD</v>
          </cell>
        </row>
        <row r="106">
          <cell r="C106" t="str">
            <v>Tanzania shilling</v>
          </cell>
          <cell r="D106" t="str">
            <v>TZS</v>
          </cell>
        </row>
        <row r="107">
          <cell r="C107" t="str">
            <v>Thailand baht</v>
          </cell>
          <cell r="D107" t="str">
            <v>THB</v>
          </cell>
        </row>
        <row r="108">
          <cell r="C108" t="str">
            <v>Trinidad &amp; Tobago dollar</v>
          </cell>
          <cell r="D108" t="str">
            <v>TTD</v>
          </cell>
        </row>
        <row r="109">
          <cell r="C109" t="str">
            <v>Tunisia dinar</v>
          </cell>
          <cell r="D109" t="str">
            <v>TND</v>
          </cell>
        </row>
        <row r="110">
          <cell r="C110" t="str">
            <v>Uganda shilling</v>
          </cell>
          <cell r="D110" t="str">
            <v>UGX</v>
          </cell>
        </row>
        <row r="111">
          <cell r="C111" t="str">
            <v>Ukraine hryvna</v>
          </cell>
          <cell r="D111" t="str">
            <v>UAH</v>
          </cell>
        </row>
        <row r="112">
          <cell r="C112" t="str">
            <v>United Arab Emirates dirham</v>
          </cell>
          <cell r="D112" t="str">
            <v>AED</v>
          </cell>
        </row>
        <row r="113">
          <cell r="C113" t="str">
            <v>United Kingdom pound</v>
          </cell>
          <cell r="D113" t="str">
            <v>GBP</v>
          </cell>
        </row>
        <row r="114">
          <cell r="C114" t="str">
            <v>United States dollar</v>
          </cell>
          <cell r="D114" t="str">
            <v>USD</v>
          </cell>
        </row>
        <row r="115">
          <cell r="C115" t="str">
            <v>Vanuatu vatu</v>
          </cell>
          <cell r="D115" t="str">
            <v>VUV</v>
          </cell>
        </row>
        <row r="116">
          <cell r="C116" t="str">
            <v>Venezuelan Bolívar</v>
          </cell>
          <cell r="D116" t="str">
            <v>VEF</v>
          </cell>
        </row>
        <row r="117">
          <cell r="C117" t="str">
            <v>Vietnam dong</v>
          </cell>
          <cell r="D117" t="str">
            <v>VND</v>
          </cell>
        </row>
        <row r="118">
          <cell r="C118" t="str">
            <v>Yemen rial</v>
          </cell>
          <cell r="D118" t="str">
            <v>YER</v>
          </cell>
        </row>
        <row r="119">
          <cell r="C119" t="str">
            <v>Zambian Kwacha</v>
          </cell>
          <cell r="D119" t="str">
            <v>ZMW</v>
          </cell>
        </row>
        <row r="120">
          <cell r="C120" t="str">
            <v>Zambian Kwacha (Rebased Jan 2013)</v>
          </cell>
          <cell r="D120" t="str">
            <v>ZMK</v>
          </cell>
        </row>
        <row r="121">
          <cell r="C121" t="str">
            <v>Zimbabwe Dollars</v>
          </cell>
          <cell r="D121" t="str">
            <v>ZWD</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169">
          <cell r="C169" t="str">
            <v>Notes:</v>
          </cell>
        </row>
        <row r="170">
          <cell r="C170" t="str">
            <v>By default, this downloaded page includes data from 1HFY-2018 (1HFY-2018) to FY-2017 (FY-2017)</v>
          </cell>
        </row>
        <row r="171">
          <cell r="C171" t="str">
            <v>It contains the same period types as those selected for the worksheet on the Visible Alpha web platform.</v>
          </cell>
        </row>
        <row r="172">
          <cell r="C172" t="str">
            <v>Visible Alpha has Quarterly and Annual data for SDF_AU from Jul 2013 to Jun 2030</v>
          </cell>
        </row>
      </sheetData>
      <sheetData sheetId="20" refreshError="1"/>
      <sheetData sheetId="21" refreshError="1"/>
      <sheetData sheetId="22" refreshError="1"/>
      <sheetData sheetId="23" refreshError="1"/>
      <sheetData sheetId="24" refreshError="1"/>
      <sheetData sheetId="25" refreshError="1"/>
      <sheetData sheetId="26">
        <row r="10">
          <cell r="D10">
            <v>1</v>
          </cell>
        </row>
        <row r="12">
          <cell r="H12">
            <v>0</v>
          </cell>
        </row>
        <row r="14">
          <cell r="J14">
            <v>0</v>
          </cell>
        </row>
        <row r="15">
          <cell r="J15">
            <v>0</v>
          </cell>
        </row>
        <row r="16">
          <cell r="J16">
            <v>0</v>
          </cell>
        </row>
        <row r="17">
          <cell r="J17">
            <v>0</v>
          </cell>
        </row>
        <row r="18">
          <cell r="J18">
            <v>0.14000000000000001</v>
          </cell>
        </row>
        <row r="20">
          <cell r="J20">
            <v>0</v>
          </cell>
        </row>
        <row r="21">
          <cell r="J21">
            <v>0</v>
          </cell>
        </row>
        <row r="23">
          <cell r="H23">
            <v>0</v>
          </cell>
        </row>
        <row r="24">
          <cell r="H24">
            <v>0</v>
          </cell>
        </row>
        <row r="25">
          <cell r="J25">
            <v>0</v>
          </cell>
        </row>
        <row r="26">
          <cell r="J26">
            <v>0</v>
          </cell>
        </row>
        <row r="28">
          <cell r="H28">
            <v>0</v>
          </cell>
        </row>
        <row r="29">
          <cell r="H29">
            <v>0</v>
          </cell>
        </row>
        <row r="30">
          <cell r="H30">
            <v>0</v>
          </cell>
        </row>
        <row r="31">
          <cell r="H31">
            <v>0.08</v>
          </cell>
        </row>
        <row r="32">
          <cell r="J32">
            <v>0</v>
          </cell>
        </row>
        <row r="33">
          <cell r="J33">
            <v>0</v>
          </cell>
        </row>
        <row r="34">
          <cell r="J34">
            <v>0</v>
          </cell>
        </row>
        <row r="35">
          <cell r="J35">
            <v>0.08</v>
          </cell>
        </row>
        <row r="36">
          <cell r="J36">
            <v>0</v>
          </cell>
        </row>
        <row r="39">
          <cell r="J39">
            <v>0.4</v>
          </cell>
        </row>
        <row r="40">
          <cell r="J40">
            <v>0.38</v>
          </cell>
        </row>
        <row r="42">
          <cell r="J42">
            <v>0</v>
          </cell>
        </row>
        <row r="43">
          <cell r="J43">
            <v>0</v>
          </cell>
        </row>
        <row r="44">
          <cell r="J44">
            <v>0</v>
          </cell>
        </row>
        <row r="45">
          <cell r="J45">
            <v>0</v>
          </cell>
        </row>
        <row r="46">
          <cell r="J46">
            <v>0</v>
          </cell>
        </row>
        <row r="48">
          <cell r="D48">
            <v>0</v>
          </cell>
        </row>
        <row r="49">
          <cell r="D49">
            <v>0</v>
          </cell>
        </row>
        <row r="50">
          <cell r="D50">
            <v>0</v>
          </cell>
        </row>
        <row r="51">
          <cell r="D51">
            <v>0</v>
          </cell>
        </row>
        <row r="54">
          <cell r="F54">
            <v>1</v>
          </cell>
        </row>
        <row r="55">
          <cell r="F55">
            <v>0</v>
          </cell>
        </row>
        <row r="58">
          <cell r="F58">
            <v>0</v>
          </cell>
        </row>
        <row r="59">
          <cell r="F59">
            <v>1</v>
          </cell>
        </row>
        <row r="60">
          <cell r="F60">
            <v>0</v>
          </cell>
        </row>
        <row r="63">
          <cell r="F63">
            <v>0</v>
          </cell>
        </row>
        <row r="64">
          <cell r="F64">
            <v>0</v>
          </cell>
        </row>
        <row r="65">
          <cell r="F65">
            <v>0</v>
          </cell>
        </row>
        <row r="66">
          <cell r="F66">
            <v>0</v>
          </cell>
        </row>
        <row r="67">
          <cell r="F67">
            <v>0</v>
          </cell>
        </row>
        <row r="70">
          <cell r="F70">
            <v>0</v>
          </cell>
        </row>
        <row r="71">
          <cell r="F71">
            <v>0</v>
          </cell>
        </row>
        <row r="72">
          <cell r="F72" t="str">
            <v>76-100%</v>
          </cell>
        </row>
        <row r="73">
          <cell r="F73">
            <v>0</v>
          </cell>
        </row>
        <row r="74">
          <cell r="F74" t="str">
            <v>1-25%</v>
          </cell>
        </row>
        <row r="76">
          <cell r="F76" t="str">
            <v>76-100%</v>
          </cell>
        </row>
        <row r="77">
          <cell r="F77" t="str">
            <v>1-25%</v>
          </cell>
        </row>
      </sheetData>
      <sheetData sheetId="27" refreshError="1"/>
      <sheetData sheetId="28" refreshError="1"/>
      <sheetData sheetId="29" refreshError="1"/>
    </sheetDataSet>
  </externalBook>
</externalLink>
</file>

<file path=xl/persons/person.xml><?xml version="1.0" encoding="utf-8"?>
<personList xmlns="http://schemas.microsoft.com/office/spreadsheetml/2018/threadedcomments" xmlns:x="http://schemas.openxmlformats.org/spreadsheetml/2006/main">
  <person displayName="Zhou, Sally (Research)" id="{6AB42E3E-1EBD-47D0-BDF8-748FC13D794B}" userId="Zhou, Sally (Research)" providerId="None"/>
  <person displayName="Zhou, Sally (Research)" id="{E95FEEFE-B12A-4E25-803D-43290EAFD8ED}" userId="S::Sally.Zhou@morganstanley.com::539d0539-d59c-45f6-a3da-908016b609a6" providerId="AD"/>
  <person displayName="Hall, Charlie (Research)" id="{CAC6F9A4-A0F9-4B1D-BCBC-006382207625}" userId="S::Charlie.Hall@morganstanley.com::cce70e9c-f32d-45b6-af95-570e7df03841" providerId="AD"/>
  <person displayName="Singh, Gaurav (Research)" id="{8557A430-09FB-46AD-AE33-E208CC59B78D}" userId="S::Gaurav.Singh1@morganstanley.com::f1f71062-3c81-43c0-8c85-a3862d954c80"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78" dT="2022-12-21T04:14:07.18" personId="{6AB42E3E-1EBD-47D0-BDF8-748FC13D794B}" id="{CEC2D8B0-8F0D-45FA-8725-AA15FEDF36B6}">
    <text>Adj to carrying value of associates or controlled entities where the Group increases its equity in associates whereupon they become controlled entities or deconsolidated. 
Accounting standards require the carrying value for the existing investment have been adjusted to FV and the increase included in net profit. 
This adjustment will only occur in the future if further acquisition or sales of this type are made.</text>
  </threadedComment>
  <threadedComment ref="B97" dT="2023-02-21T04:36:58.18" personId="{6AB42E3E-1EBD-47D0-BDF8-748FC13D794B}" id="{A4223050-6E6B-4638-935C-E85CD5EE9A62}">
    <text>Target payout ratio of 50 to 70% of Underlying NPAT.</text>
  </threadedComment>
  <threadedComment ref="AD113" dT="2023-02-22T04:38:56.48" personId="{6AB42E3E-1EBD-47D0-BDF8-748FC13D794B}" id="{79FC4CC5-C589-469C-A0B6-6EEA0423CC74}">
    <text>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ext>
  </threadedComment>
  <threadedComment ref="AH113" dT="2023-02-22T04:38:56.48" personId="{6AB42E3E-1EBD-47D0-BDF8-748FC13D794B}" id="{F52AFF62-1CF3-42D2-99C4-4C542E6A295C}">
    <text>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ext>
  </threadedComment>
  <threadedComment ref="AL113" dT="2023-02-22T04:38:56.48" personId="{6AB42E3E-1EBD-47D0-BDF8-748FC13D794B}" id="{EAD8322E-982C-4E44-BB42-54309A93669B}">
    <text>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ext>
  </threadedComment>
  <threadedComment ref="AP113" dT="2023-02-22T04:38:56.48" personId="{6AB42E3E-1EBD-47D0-BDF8-748FC13D794B}" id="{AFAB973B-2C13-49A5-80A8-A85DB1397C52}">
    <text>On 9 May 2022 AUB announced a $350m fully underwritten capital raise as a partial funding mechanism of the Tysers acquisition (refer to Note 20 for further
information). 17,950,069 ordinary shares were issued at $19.50 (including a 10.6% discount to the Theoretical Ex-Rights Rights (TERP)) in a 1 for 5.2 pro-rated
accelerated non-renounceable entitlement offer. Both the institutional and retail components of the capital raise were completed by 1 June 2022. $7.92m of
capital raising costs have been directly charged to equity.</text>
  </threadedComment>
  <threadedComment ref="AJ133" dT="2024-02-20T02:10:25.60" personId="{6AB42E3E-1EBD-47D0-BDF8-748FC13D794B}" id="{6DFE8494-A6D4-4DA4-81BD-573270C53FD2}">
    <text xml:space="preserve">Implied
</text>
  </threadedComment>
  <threadedComment ref="AN133" dT="2024-02-20T02:10:25.60" personId="{6AB42E3E-1EBD-47D0-BDF8-748FC13D794B}" id="{07E24D24-F7D9-4339-B9C9-CC148F20BB3C}">
    <text xml:space="preserve">Implied
</text>
  </threadedComment>
  <threadedComment ref="AB139" dT="2023-02-22T04:37:09.34" personId="{6AB42E3E-1EBD-47D0-BDF8-748FC13D794B}" id="{55BD0456-1CDE-494A-B5D9-69AC5A9F3867}">
    <text>Options exercised.</text>
  </threadedComment>
  <threadedComment ref="AD139" dT="2023-02-22T04:37:09.34" personId="{6AB42E3E-1EBD-47D0-BDF8-748FC13D794B}" id="{83012AD7-9EA8-4FEE-BAD4-F1BF17EFC05F}">
    <text>Options exercised.</text>
  </threadedComment>
  <threadedComment ref="AH139" dT="2023-02-22T04:37:09.34" personId="{6AB42E3E-1EBD-47D0-BDF8-748FC13D794B}" id="{4B323C4E-0BD4-40A9-9B5F-324BC8F5F07B}">
    <text>Options exercised.</text>
  </threadedComment>
  <threadedComment ref="AL139" dT="2023-02-22T04:37:09.34" personId="{6AB42E3E-1EBD-47D0-BDF8-748FC13D794B}" id="{A2BEE530-49F9-4148-9E09-D84821CFAD87}">
    <text>Options exercised.</text>
  </threadedComment>
  <threadedComment ref="AP139" dT="2023-02-22T04:37:09.34" personId="{6AB42E3E-1EBD-47D0-BDF8-748FC13D794B}" id="{AA576956-434C-4095-B8B2-93969416F7B0}">
    <text>Options exercised.</text>
  </threadedComment>
  <threadedComment ref="P208" dT="2023-03-29T05:20:58.30" personId="{6AB42E3E-1EBD-47D0-BDF8-748FC13D794B}" id="{E04E3D90-EDBC-4426-8212-7293030BF99F}">
    <text>Mid single digit average premium.</text>
  </threadedComment>
  <threadedComment ref="P257" dT="2023-03-29T04:26:28.53" personId="{6AB42E3E-1EBD-47D0-BDF8-748FC13D794B}" id="{90DEF506-9F5B-4341-AD22-41C314A630C8}">
    <text>re-statement does not reconcile.</text>
  </threadedComment>
  <threadedComment ref="V267" dT="2022-12-22T06:01:04.65" personId="{8557A430-09FB-46AD-AE33-E208CC59B78D}" id="{CEE86F96-F497-4175-B39C-B024C72E9262}">
    <text>For 5 months since acquisition</text>
  </threadedComment>
  <threadedComment ref="N290" dT="2023-03-29T05:18:31.35" personId="{6AB42E3E-1EBD-47D0-BDF8-748FC13D794B}" id="{ACD9DF30-1CA0-4920-A261-0FA0ACADAD62}">
    <text>Mid single digit premium rate growth.</text>
  </threadedComment>
  <threadedComment ref="P290" dT="2023-03-29T05:18:31.35" personId="{6AB42E3E-1EBD-47D0-BDF8-748FC13D794B}" id="{A4A7CD33-001E-447C-809B-7C61E05D1EFF}">
    <text>Mid single digit premium rate growth.</text>
  </threadedComment>
  <threadedComment ref="AL291" dT="2024-08-21T04:46:12.64" personId="{E95FEEFE-B12A-4E25-803D-43290EAFD8ED}" id="{EAAA37AB-5AC5-4E3F-9115-CC24F044D011}">
    <text xml:space="preserve">$1,265m pro forma for Pacific indemnity acquisition which adds $177m GWP and $16m of EBIT.
</text>
  </threadedComment>
  <threadedComment ref="AJ330" dT="2024-02-19T22:44:14.96" personId="{6AB42E3E-1EBD-47D0-BDF8-748FC13D794B}" id="{1F9584D3-C5A6-41F7-8F57-3354BDD14E1C}">
    <text xml:space="preserve">Organic growth ex profit comms
</text>
  </threadedComment>
  <threadedComment ref="AJ332" dT="2024-02-19T22:44:14.96" personId="{6AB42E3E-1EBD-47D0-BDF8-748FC13D794B}" id="{A6E6A473-01A2-406A-8D8C-5CFE88448E95}">
    <text xml:space="preserve">Acquisition
 growth ex profit comms
</text>
  </threadedComment>
  <threadedComment ref="V334" dT="2023-03-29T04:01:47.26" personId="{6AB42E3E-1EBD-47D0-BDF8-748FC13D794B}" id="{2DD47416-6399-4D02-A3A7-EB3B9D92F6B0}">
    <text>Adjustment to get to re-stated amount.</text>
  </threadedComment>
  <threadedComment ref="X334" dT="2023-03-29T04:01:47.26" personId="{6AB42E3E-1EBD-47D0-BDF8-748FC13D794B}" id="{971FEBA9-88D8-48EF-90F3-162CF64E847D}">
    <text>Adjustment to get to re-stated amount.</text>
  </threadedComment>
  <threadedComment ref="AJ334" dT="2024-02-19T22:43:15.97" personId="{6AB42E3E-1EBD-47D0-BDF8-748FC13D794B}" id="{157A9E8D-7651-436D-854B-D5D4640B92EB}">
    <text xml:space="preserve">Agencies profit comms adjustment.
</text>
  </threadedComment>
  <threadedComment ref="F343" dT="2023-03-29T04:41:29.51" personId="{6AB42E3E-1EBD-47D0-BDF8-748FC13D794B}" id="{1CE6FE74-8D4F-4B47-8C21-1031345B0976}">
    <text>Premium rate environment challenging, similar to Australia.</text>
  </threadedComment>
  <threadedComment ref="H343" dT="2023-03-29T04:48:54.80" personId="{6AB42E3E-1EBD-47D0-BDF8-748FC13D794B}" id="{C5E9EB8A-DFBC-44D2-BA07-20DBAC2EC904}">
    <text>Premium rate declines.</text>
  </threadedComment>
  <threadedComment ref="J343" dT="2023-03-29T04:47:49.61" personId="{6AB42E3E-1EBD-47D0-BDF8-748FC13D794B}" id="{EFB3F30B-7413-4A95-9FEA-40D3D3780080}">
    <text>Early signs premium rates are stabilising.</text>
  </threadedComment>
  <threadedComment ref="P343" dT="2023-03-29T04:50:00.90" personId="{6AB42E3E-1EBD-47D0-BDF8-748FC13D794B}" id="{C06EB34F-4933-4BFF-9FCD-5E526E8FF151}">
    <text>Mid single digit premium rate growth.</text>
  </threadedComment>
  <threadedComment ref="Z381" dT="2023-03-29T05:08:42.80" personId="{6AB42E3E-1EBD-47D0-BDF8-748FC13D794B}" id="{0C7C8631-1F2E-4E81-A260-846F59BA4F96}">
    <text>NZ Tech Investment</text>
  </threadedComment>
  <threadedComment ref="V389" dT="2023-03-29T05:05:18.78" personId="{6AB42E3E-1EBD-47D0-BDF8-748FC13D794B}" id="{C41BD30B-BD53-4417-9044-F2B1F1BA9131}">
    <text>Financing costs of acquisition.</text>
  </threadedComment>
  <threadedComment ref="X389" dT="2023-03-29T04:01:47.26" personId="{6AB42E3E-1EBD-47D0-BDF8-748FC13D794B}" id="{60E810F1-B5E7-4945-AD28-D34EC1E2FDDC}">
    <text>Adjustment to get to re-stated amount.</text>
  </threadedComment>
  <threadedComment ref="Z389" dT="2023-03-29T04:01:47.26" personId="{6AB42E3E-1EBD-47D0-BDF8-748FC13D794B}" id="{5DC838C4-1129-41C9-8383-D95CBB07AD70}">
    <text>Adjustment to get to re-stated amount.</text>
  </threadedComment>
  <threadedComment ref="AJ389" dT="2024-02-19T23:46:10.89" personId="{6AB42E3E-1EBD-47D0-BDF8-748FC13D794B}" id="{0971A522-CB89-4A96-8637-32D16AAA3E7F}">
    <text xml:space="preserve">NZ tech investment - change in Project Lola cots to transform the NZ broking experience via new platform.
</text>
  </threadedComment>
  <threadedComment ref="AN389" dT="2024-02-19T23:46:10.89" personId="{6AB42E3E-1EBD-47D0-BDF8-748FC13D794B}" id="{BEC3E6C7-614B-4E55-91BC-5718EDFB0902}">
    <text xml:space="preserve">NZ tech investment - change in Project Lola cots to transform the NZ broking experience via new platform.
</text>
  </threadedComment>
  <threadedComment ref="AF421" dT="2023-03-06T23:21:49.05" personId="{6AB42E3E-1EBD-47D0-BDF8-748FC13D794B}" id="{B8EAC954-BC8C-46F0-82BF-F3CAF156B5F0}">
    <text>Tysers included from 1 October 2022.</text>
  </threadedComment>
  <threadedComment ref="B443" dT="2023-03-29T00:51:04.01" personId="{6AB42E3E-1EBD-47D0-BDF8-748FC13D794B}" id="{AE79EA4A-7F48-4F6A-9A44-5A103638EE70}">
    <text>Revenue levers:
- Increased placement of AUB client risks with Tysers. 
- Expand Agency portfolio.
Benefits commencing May-23.
Target run-rate of $10m achieved by Jul-24.</text>
  </threadedComment>
  <threadedComment ref="B444" dT="2023-03-29T00:51:57.07" personId="{6AB42E3E-1EBD-47D0-BDF8-748FC13D794B}" id="{FB87436D-8DDE-4768-B675-CDACA7217C84}">
    <text>- Optimise Tysers &amp; AUB operating structure &amp; governance. 
- Deiver efficieny operations.
Total $15m of run-rate savings by Dec-23.
Benefits start from Oct-23.</text>
  </threadedComment>
</ThreadedComments>
</file>

<file path=xl/threadedComments/threadedComment2.xml><?xml version="1.0" encoding="utf-8"?>
<ThreadedComments xmlns="http://schemas.microsoft.com/office/spreadsheetml/2018/threadedcomments" xmlns:x="http://schemas.openxmlformats.org/spreadsheetml/2006/main">
  <threadedComment ref="AJ20" dT="2024-02-19T23:46:44.67" personId="{6AB42E3E-1EBD-47D0-BDF8-748FC13D794B}" id="{2655439C-F69B-4F32-B53F-EBFEA9EDC739}">
    <text xml:space="preserve">Net settlement with department of justice.
</text>
  </threadedComment>
  <threadedComment ref="B116" dT="2023-05-02T10:46:05.99" personId="{6AB42E3E-1EBD-47D0-BDF8-748FC13D794B}" id="{A9F29192-8A8D-408F-8969-0329B39F5F2C}">
    <text>Note that some of this cash is used to pay down debt, so using the total FCF is likely to overstate the total acquisition spend.</text>
  </threadedComment>
  <threadedComment ref="B127" dT="2023-05-02T10:46:05.99" personId="{6AB42E3E-1EBD-47D0-BDF8-748FC13D794B}" id="{D9E9E8F0-7361-4E10-BC3F-F322CFA3064B}">
    <text>Note that some of this cash is used to pay down debt, so using the total FCF is likely to overstate the total acquisition spend.</text>
  </threadedComment>
</ThreadedComments>
</file>

<file path=xl/threadedComments/threadedComment3.xml><?xml version="1.0" encoding="utf-8"?>
<ThreadedComments xmlns="http://schemas.microsoft.com/office/spreadsheetml/2018/threadedcomments" xmlns:x="http://schemas.openxmlformats.org/spreadsheetml/2006/main">
  <threadedComment ref="B14" dT="2023-02-21T05:00:26.57" personId="{6AB42E3E-1EBD-47D0-BDF8-748FC13D794B}" id="{11505AB8-BA59-4771-86E8-E2AF20FA37AF}">
    <text>Trust cash relates to cash held for insurance premiums received from policyholders which will ultimately be paid to insurers.
Trust cash cannot be used to meet business obligations other than payments to underwriters amd/or refunds to policyholders.</text>
  </threadedComment>
  <threadedComment ref="B115" dT="2023-01-05T01:20:55.77" personId="{6AB42E3E-1EBD-47D0-BDF8-748FC13D794B}" id="{FD499A61-8578-43A1-9A75-4D9BAD4919ED}">
    <text>Cash held in trust for insurance premiums received from policyholders which will ultimately be paid to insurers.</text>
  </threadedComment>
  <threadedComment ref="B121" dT="2023-01-05T01:22:00.20" personId="{6AB42E3E-1EBD-47D0-BDF8-748FC13D794B}" id="{1F0FBB9E-F633-43D7-BC89-8E3989EFE320}">
    <text>Generally have 30 day credit terms.</text>
  </threadedComment>
  <threadedComment ref="B124" dT="2023-01-05T03:21:39.70" personId="{6AB42E3E-1EBD-47D0-BDF8-748FC13D794B}" id="{17867952-C01E-4839-9227-A3C6DB19BFBE}">
    <text>Right of Use asset of sub lease of premesis.</text>
  </threadedComment>
  <threadedComment ref="AH125" dT="2023-08-22T00:16:53.91" personId="{6AB42E3E-1EBD-47D0-BDF8-748FC13D794B}" id="{9A271E83-652B-43D3-BEB7-E73DF613CCC7}">
    <text>Includes deferred transaction costs</text>
  </threadedComment>
  <threadedComment ref="AL125" dT="2023-08-22T00:16:53.91" personId="{6AB42E3E-1EBD-47D0-BDF8-748FC13D794B}" id="{3FCE0EC0-BC8E-4629-B162-39295D46F3A3}">
    <text>Includes deferred transaction costs</text>
  </threadedComment>
  <threadedComment ref="AP125" dT="2023-08-22T00:16:53.91" personId="{6AB42E3E-1EBD-47D0-BDF8-748FC13D794B}" id="{92ABC58E-1229-4BBC-A18E-A0D645794162}">
    <text>Includes deferred transaction costs</text>
  </threadedComment>
  <threadedComment ref="AJ153" dT="2024-02-20T01:58:29.64" personId="{6AB42E3E-1EBD-47D0-BDF8-748FC13D794B}" id="{C167442F-6CE2-4623-9EA1-C4AAECD38E6D}">
    <text xml:space="preserve">Not disclosed.
</text>
  </threadedComment>
  <threadedComment ref="AN153" dT="2024-02-20T01:58:29.64" personId="{6AB42E3E-1EBD-47D0-BDF8-748FC13D794B}" id="{9796DB2B-9D9D-4267-A46F-EFD1C3875F26}">
    <text xml:space="preserve">Not disclosed.
</text>
  </threadedComment>
  <threadedComment ref="D158" dT="2023-05-18T03:38:27.38" personId="{CAC6F9A4-A0F9-4B1D-BCBC-006382207625}" id="{15DE24C8-1BAD-484D-9CFB-5E00919E9CA7}">
    <text>sensible estimate</text>
  </threadedComment>
  <threadedComment ref="H158" dT="2023-05-18T03:38:27.38" personId="{CAC6F9A4-A0F9-4B1D-BCBC-006382207625}" id="{498DC9B4-63CA-4D13-B97F-CB7E25D75D83}">
    <text>sensible estimate</text>
  </threadedComment>
  <threadedComment ref="L158" dT="2023-05-18T03:38:27.38" personId="{CAC6F9A4-A0F9-4B1D-BCBC-006382207625}" id="{64FFB57A-5455-4582-AA3C-7DE814117122}">
    <text>sensible estimate</text>
  </threadedComment>
  <threadedComment ref="P158" dT="2023-05-18T03:38:27.38" personId="{CAC6F9A4-A0F9-4B1D-BCBC-006382207625}" id="{A2D3EA3C-52C0-4688-93D6-40A6A62B464B}">
    <text>sensible estimate</text>
  </threadedComment>
  <threadedComment ref="T158" dT="2023-05-18T03:38:27.38" personId="{CAC6F9A4-A0F9-4B1D-BCBC-006382207625}" id="{F13F0067-3967-449C-B197-EA0753525281}">
    <text>sensible estimate</text>
  </threadedComment>
  <threadedComment ref="X158" dT="2023-05-18T03:38:27.38" personId="{CAC6F9A4-A0F9-4B1D-BCBC-006382207625}" id="{9372518F-46F7-4ABA-B51C-A6D3574E7A33}">
    <text>sensible estimate</text>
  </threadedComment>
  <threadedComment ref="B198" dT="2023-01-05T04:05:07.33" personId="{6AB42E3E-1EBD-47D0-BDF8-748FC13D794B}" id="{9D295B7A-FE81-4255-92EB-5A584902D258}">
    <text>Payables mostly settled on 90 day terms.</text>
  </threadedComment>
  <threadedComment ref="B216" dT="2023-01-05T04:06:25.43" personId="{6AB42E3E-1EBD-47D0-BDF8-748FC13D794B}" id="{D8AD47DE-7645-4ED0-9626-92D85182729D}">
    <text>Mostly contingent or deferred consideration payables and put shares granted to associates.</text>
  </threadedComment>
  <threadedComment ref="B219" dT="2023-01-05T04:06:25.43" personId="{6AB42E3E-1EBD-47D0-BDF8-748FC13D794B}" id="{ECF12A88-08AE-4768-95BA-505D2D5DBA5B}">
    <text>Mostly contingent or deferred consideration payables and put shares granted to associates.</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45FDF-73DC-484A-BBBE-111711423794}">
  <dimension ref="B2:B9"/>
  <sheetViews>
    <sheetView showGridLines="0" showRowColHeaders="0" tabSelected="1" workbookViewId="0">
      <selection activeCell="Z1" sqref="Z1"/>
    </sheetView>
  </sheetViews>
  <sheetFormatPr defaultRowHeight="14.4"/>
  <cols>
    <col min="1" max="1" width="8.88671875" style="951"/>
    <col min="2" max="2" width="101.109375" style="951" customWidth="1"/>
    <col min="3" max="16384" width="8.88671875" style="951"/>
  </cols>
  <sheetData>
    <row r="2" spans="2:2" ht="52.2">
      <c r="B2" s="950" t="s">
        <v>1151</v>
      </c>
    </row>
    <row r="3" spans="2:2" ht="17.399999999999999">
      <c r="B3" s="950"/>
    </row>
    <row r="4" spans="2:2" ht="17.399999999999999">
      <c r="B4" s="950"/>
    </row>
    <row r="5" spans="2:2" ht="17.399999999999999">
      <c r="B5" s="950" t="s">
        <v>1152</v>
      </c>
    </row>
    <row r="6" spans="2:2" ht="17.399999999999999">
      <c r="B6" s="950" t="s">
        <v>1153</v>
      </c>
    </row>
    <row r="7" spans="2:2" ht="17.399999999999999">
      <c r="B7" s="950" t="s">
        <v>1154</v>
      </c>
    </row>
    <row r="8" spans="2:2" ht="17.399999999999999">
      <c r="B8" s="950"/>
    </row>
    <row r="9" spans="2:2" ht="34.799999999999997">
      <c r="B9" s="952" t="s">
        <v>1155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C32BE-C72A-4F47-ADAE-215D16AAC2B9}">
  <dimension ref="A1:H426"/>
  <sheetViews>
    <sheetView showGridLines="0" workbookViewId="0">
      <selection activeCell="Z1" sqref="Z1"/>
    </sheetView>
  </sheetViews>
  <sheetFormatPr defaultRowHeight="14.4"/>
  <sheetData>
    <row r="1" spans="1:8" ht="23.25" customHeight="1">
      <c r="A1" s="942"/>
      <c r="B1" s="943"/>
      <c r="C1" s="943"/>
      <c r="D1" s="943"/>
      <c r="E1" s="943"/>
      <c r="F1" s="943"/>
      <c r="G1" s="943"/>
      <c r="H1" s="943"/>
    </row>
    <row r="2" spans="1:8">
      <c r="A2" s="940" t="s">
        <v>736</v>
      </c>
      <c r="B2" s="943"/>
      <c r="C2" s="943"/>
      <c r="D2" s="943"/>
      <c r="E2" s="943"/>
      <c r="F2" s="943"/>
      <c r="G2" s="943"/>
      <c r="H2" s="943"/>
    </row>
    <row r="3" spans="1:8">
      <c r="A3" s="940" t="s">
        <v>737</v>
      </c>
      <c r="B3" s="943"/>
      <c r="C3" s="943"/>
      <c r="D3" s="943"/>
      <c r="E3" s="943"/>
      <c r="F3" s="943"/>
      <c r="G3" s="943"/>
      <c r="H3" s="943"/>
    </row>
    <row r="4" spans="1:8">
      <c r="A4" s="940" t="s">
        <v>738</v>
      </c>
      <c r="B4" s="943"/>
      <c r="C4" s="943"/>
      <c r="D4" s="943"/>
      <c r="E4" s="943"/>
      <c r="F4" s="943"/>
      <c r="G4" s="943"/>
      <c r="H4" s="943"/>
    </row>
    <row r="5" spans="1:8">
      <c r="A5" s="940" t="s">
        <v>739</v>
      </c>
      <c r="B5" s="943"/>
      <c r="C5" s="943"/>
      <c r="D5" s="943"/>
      <c r="E5" s="943"/>
      <c r="F5" s="943"/>
      <c r="G5" s="943"/>
      <c r="H5" s="943"/>
    </row>
    <row r="6" spans="1:8">
      <c r="A6" s="940"/>
      <c r="B6" s="943"/>
      <c r="C6" s="943"/>
      <c r="D6" s="943"/>
      <c r="E6" s="943"/>
      <c r="F6" s="943"/>
      <c r="G6" s="943"/>
      <c r="H6" s="943"/>
    </row>
    <row r="7" spans="1:8">
      <c r="A7" s="940" t="s">
        <v>740</v>
      </c>
      <c r="B7" s="943"/>
      <c r="C7" s="943"/>
      <c r="D7" s="943"/>
      <c r="E7" s="943"/>
      <c r="F7" s="943"/>
      <c r="G7" s="943"/>
      <c r="H7" s="943"/>
    </row>
    <row r="8" spans="1:8">
      <c r="A8" s="940" t="s">
        <v>741</v>
      </c>
      <c r="B8" s="943"/>
      <c r="C8" s="943"/>
      <c r="D8" s="943"/>
      <c r="E8" s="943"/>
      <c r="F8" s="943"/>
      <c r="G8" s="943"/>
      <c r="H8" s="943"/>
    </row>
    <row r="9" spans="1:8">
      <c r="A9" s="940"/>
      <c r="B9" s="943"/>
      <c r="C9" s="943"/>
      <c r="D9" s="943"/>
      <c r="E9" s="943"/>
      <c r="F9" s="943"/>
      <c r="G9" s="943"/>
      <c r="H9" s="943"/>
    </row>
    <row r="10" spans="1:8">
      <c r="A10" s="940" t="s">
        <v>742</v>
      </c>
      <c r="B10" s="943"/>
      <c r="C10" s="943"/>
      <c r="D10" s="943"/>
      <c r="E10" s="943"/>
      <c r="F10" s="943"/>
      <c r="G10" s="943"/>
      <c r="H10" s="943"/>
    </row>
    <row r="11" spans="1:8">
      <c r="A11" s="940" t="s">
        <v>743</v>
      </c>
      <c r="B11" s="943"/>
      <c r="C11" s="943"/>
      <c r="D11" s="943"/>
      <c r="E11" s="943"/>
      <c r="F11" s="943"/>
      <c r="G11" s="943"/>
      <c r="H11" s="943"/>
    </row>
    <row r="12" spans="1:8">
      <c r="A12" s="940" t="s">
        <v>744</v>
      </c>
      <c r="B12" s="943"/>
      <c r="C12" s="943"/>
      <c r="D12" s="943"/>
      <c r="E12" s="943"/>
      <c r="F12" s="943"/>
      <c r="G12" s="943"/>
      <c r="H12" s="943"/>
    </row>
    <row r="13" spans="1:8">
      <c r="A13" s="940" t="s">
        <v>745</v>
      </c>
      <c r="B13" s="943"/>
      <c r="C13" s="943"/>
      <c r="D13" s="943"/>
      <c r="E13" s="943"/>
      <c r="F13" s="943"/>
      <c r="G13" s="943"/>
      <c r="H13" s="943"/>
    </row>
    <row r="14" spans="1:8">
      <c r="A14" s="940" t="s">
        <v>746</v>
      </c>
      <c r="B14" s="943"/>
      <c r="C14" s="943"/>
      <c r="D14" s="943"/>
      <c r="E14" s="943"/>
      <c r="F14" s="943"/>
      <c r="G14" s="943"/>
      <c r="H14" s="943"/>
    </row>
    <row r="15" spans="1:8">
      <c r="A15" s="940" t="s">
        <v>747</v>
      </c>
      <c r="B15" s="943"/>
      <c r="C15" s="943"/>
      <c r="D15" s="943"/>
      <c r="E15" s="943"/>
      <c r="F15" s="943"/>
      <c r="G15" s="943"/>
      <c r="H15" s="943"/>
    </row>
    <row r="16" spans="1:8">
      <c r="A16" s="940"/>
      <c r="B16" s="943"/>
      <c r="C16" s="943"/>
      <c r="D16" s="943"/>
      <c r="E16" s="943"/>
      <c r="F16" s="943"/>
      <c r="G16" s="943"/>
      <c r="H16" s="943"/>
    </row>
    <row r="17" spans="1:8">
      <c r="A17" s="940" t="s">
        <v>748</v>
      </c>
      <c r="B17" s="943"/>
      <c r="C17" s="943"/>
      <c r="D17" s="943"/>
      <c r="E17" s="943"/>
      <c r="F17" s="943"/>
      <c r="G17" s="943"/>
      <c r="H17" s="943"/>
    </row>
    <row r="18" spans="1:8">
      <c r="A18" s="940"/>
      <c r="B18" s="943"/>
      <c r="C18" s="943"/>
      <c r="D18" s="943"/>
      <c r="E18" s="943"/>
      <c r="F18" s="943"/>
      <c r="G18" s="943"/>
      <c r="H18" s="943"/>
    </row>
    <row r="19" spans="1:8">
      <c r="A19" s="940" t="s">
        <v>749</v>
      </c>
      <c r="B19" s="943"/>
      <c r="C19" s="943"/>
      <c r="D19" s="943"/>
      <c r="E19" s="943"/>
      <c r="F19" s="943"/>
      <c r="G19" s="943"/>
      <c r="H19" s="943"/>
    </row>
    <row r="20" spans="1:8">
      <c r="A20" s="940"/>
      <c r="B20" s="943"/>
      <c r="C20" s="943"/>
      <c r="D20" s="943"/>
      <c r="E20" s="943"/>
      <c r="F20" s="943"/>
      <c r="G20" s="943"/>
      <c r="H20" s="943"/>
    </row>
    <row r="21" spans="1:8">
      <c r="A21" s="941" t="s">
        <v>750</v>
      </c>
      <c r="B21" s="943"/>
      <c r="C21" s="943"/>
      <c r="D21" s="943"/>
      <c r="E21" s="943"/>
      <c r="F21" s="943"/>
      <c r="G21" s="943"/>
      <c r="H21" s="943"/>
    </row>
    <row r="22" spans="1:8">
      <c r="A22" s="943"/>
      <c r="B22" s="943"/>
      <c r="C22" s="943"/>
      <c r="D22" s="943"/>
      <c r="E22" s="943"/>
      <c r="F22" s="943"/>
      <c r="G22" s="943"/>
      <c r="H22" s="943"/>
    </row>
    <row r="23" spans="1:8">
      <c r="A23" s="944" t="s">
        <v>751</v>
      </c>
      <c r="B23" s="943"/>
      <c r="C23" s="943"/>
      <c r="D23" s="943"/>
      <c r="E23" s="943"/>
      <c r="F23" s="943"/>
      <c r="G23" s="943"/>
      <c r="H23" s="943"/>
    </row>
    <row r="24" spans="1:8">
      <c r="A24" s="944" t="s">
        <v>752</v>
      </c>
      <c r="B24" s="943"/>
      <c r="C24" s="943"/>
      <c r="D24" s="943"/>
      <c r="E24" s="943"/>
      <c r="F24" s="943"/>
      <c r="G24" s="943"/>
      <c r="H24" s="943"/>
    </row>
    <row r="25" spans="1:8">
      <c r="A25" s="944" t="s">
        <v>753</v>
      </c>
      <c r="B25" s="943"/>
      <c r="C25" s="943"/>
      <c r="D25" s="943"/>
      <c r="E25" s="943"/>
      <c r="F25" s="943"/>
      <c r="G25" s="943"/>
      <c r="H25" s="943"/>
    </row>
    <row r="26" spans="1:8">
      <c r="A26" s="944" t="s">
        <v>754</v>
      </c>
      <c r="B26" s="943"/>
      <c r="C26" s="943"/>
      <c r="D26" s="943"/>
      <c r="E26" s="943"/>
      <c r="F26" s="943"/>
      <c r="G26" s="943"/>
      <c r="H26" s="943"/>
    </row>
    <row r="27" spans="1:8">
      <c r="A27" s="943"/>
      <c r="B27" s="943"/>
      <c r="C27" s="943"/>
      <c r="D27" s="943"/>
      <c r="E27" s="943"/>
      <c r="F27" s="943"/>
      <c r="G27" s="943"/>
      <c r="H27" s="943"/>
    </row>
    <row r="28" spans="1:8">
      <c r="A28" s="944" t="s">
        <v>755</v>
      </c>
      <c r="B28" s="943"/>
      <c r="C28" s="943"/>
      <c r="D28" s="943"/>
      <c r="E28" s="943"/>
      <c r="F28" s="943"/>
      <c r="G28" s="943"/>
      <c r="H28" s="943"/>
    </row>
    <row r="29" spans="1:8">
      <c r="A29" s="944" t="s">
        <v>756</v>
      </c>
      <c r="B29" s="943"/>
      <c r="C29" s="943"/>
      <c r="D29" s="943"/>
      <c r="E29" s="943"/>
      <c r="F29" s="943"/>
      <c r="G29" s="943"/>
      <c r="H29" s="943"/>
    </row>
    <row r="30" spans="1:8">
      <c r="A30" s="944" t="s">
        <v>757</v>
      </c>
      <c r="B30" s="943"/>
      <c r="C30" s="943"/>
      <c r="D30" s="943"/>
      <c r="E30" s="943"/>
      <c r="F30" s="943"/>
      <c r="G30" s="943"/>
      <c r="H30" s="943"/>
    </row>
    <row r="31" spans="1:8">
      <c r="A31" s="944" t="s">
        <v>758</v>
      </c>
      <c r="B31" s="943"/>
      <c r="C31" s="943"/>
      <c r="D31" s="943"/>
      <c r="E31" s="943"/>
      <c r="F31" s="943"/>
      <c r="G31" s="943"/>
      <c r="H31" s="943"/>
    </row>
    <row r="32" spans="1:8">
      <c r="A32" s="944" t="s">
        <v>759</v>
      </c>
      <c r="B32" s="943"/>
      <c r="C32" s="943"/>
      <c r="D32" s="943"/>
      <c r="E32" s="943"/>
      <c r="F32" s="943"/>
      <c r="G32" s="943"/>
      <c r="H32" s="943"/>
    </row>
    <row r="33" spans="1:8">
      <c r="A33" s="944" t="s">
        <v>760</v>
      </c>
      <c r="B33" s="943"/>
      <c r="C33" s="943"/>
      <c r="D33" s="943"/>
      <c r="E33" s="943"/>
      <c r="F33" s="943"/>
      <c r="G33" s="943"/>
      <c r="H33" s="943"/>
    </row>
    <row r="34" spans="1:8">
      <c r="A34" s="944" t="s">
        <v>761</v>
      </c>
      <c r="B34" s="943"/>
      <c r="C34" s="943"/>
      <c r="D34" s="943"/>
      <c r="E34" s="943"/>
      <c r="F34" s="943"/>
      <c r="G34" s="943"/>
      <c r="H34" s="943"/>
    </row>
    <row r="35" spans="1:8">
      <c r="A35" s="944" t="s">
        <v>762</v>
      </c>
      <c r="B35" s="943"/>
      <c r="C35" s="943"/>
      <c r="D35" s="943"/>
      <c r="E35" s="943"/>
      <c r="F35" s="943"/>
      <c r="G35" s="943"/>
      <c r="H35" s="943"/>
    </row>
    <row r="36" spans="1:8">
      <c r="A36" s="944" t="s">
        <v>763</v>
      </c>
      <c r="B36" s="943"/>
      <c r="C36" s="943"/>
      <c r="D36" s="943"/>
      <c r="E36" s="943"/>
      <c r="F36" s="943"/>
      <c r="G36" s="943"/>
      <c r="H36" s="943"/>
    </row>
    <row r="37" spans="1:8">
      <c r="A37" s="944" t="s">
        <v>764</v>
      </c>
      <c r="B37" s="943"/>
      <c r="C37" s="943"/>
      <c r="D37" s="943"/>
      <c r="E37" s="943"/>
      <c r="F37" s="943"/>
      <c r="G37" s="943"/>
      <c r="H37" s="943"/>
    </row>
    <row r="38" spans="1:8">
      <c r="A38" s="944" t="s">
        <v>765</v>
      </c>
      <c r="B38" s="943"/>
      <c r="C38" s="943"/>
      <c r="D38" s="943"/>
      <c r="E38" s="943"/>
      <c r="F38" s="943"/>
      <c r="G38" s="943"/>
      <c r="H38" s="943"/>
    </row>
    <row r="39" spans="1:8">
      <c r="A39" s="944" t="s">
        <v>766</v>
      </c>
      <c r="B39" s="943"/>
      <c r="C39" s="943"/>
      <c r="D39" s="943"/>
      <c r="E39" s="943"/>
      <c r="F39" s="943"/>
      <c r="G39" s="943"/>
      <c r="H39" s="943"/>
    </row>
    <row r="40" spans="1:8">
      <c r="A40" s="944" t="s">
        <v>767</v>
      </c>
      <c r="B40" s="943"/>
      <c r="C40" s="943"/>
      <c r="D40" s="943"/>
      <c r="E40" s="943"/>
      <c r="F40" s="943"/>
      <c r="G40" s="943"/>
      <c r="H40" s="943"/>
    </row>
    <row r="41" spans="1:8">
      <c r="A41" s="944" t="s">
        <v>768</v>
      </c>
      <c r="B41" s="943"/>
      <c r="C41" s="943"/>
      <c r="D41" s="943"/>
      <c r="E41" s="943"/>
      <c r="F41" s="943"/>
      <c r="G41" s="943"/>
      <c r="H41" s="943"/>
    </row>
    <row r="42" spans="1:8">
      <c r="A42" s="944" t="s">
        <v>769</v>
      </c>
      <c r="B42" s="943"/>
      <c r="C42" s="943"/>
      <c r="D42" s="943"/>
      <c r="E42" s="943"/>
      <c r="F42" s="943"/>
      <c r="G42" s="943"/>
      <c r="H42" s="943"/>
    </row>
    <row r="43" spans="1:8">
      <c r="A43" s="944" t="s">
        <v>770</v>
      </c>
      <c r="B43" s="943"/>
      <c r="C43" s="943"/>
      <c r="D43" s="943"/>
      <c r="E43" s="943"/>
      <c r="F43" s="943"/>
      <c r="G43" s="943"/>
      <c r="H43" s="943"/>
    </row>
    <row r="44" spans="1:8">
      <c r="A44" s="944" t="s">
        <v>771</v>
      </c>
      <c r="B44" s="943"/>
      <c r="C44" s="943"/>
      <c r="D44" s="943"/>
      <c r="E44" s="943"/>
      <c r="F44" s="943"/>
      <c r="G44" s="943"/>
      <c r="H44" s="943"/>
    </row>
    <row r="45" spans="1:8">
      <c r="A45" s="944" t="s">
        <v>772</v>
      </c>
      <c r="B45" s="943"/>
      <c r="C45" s="943"/>
      <c r="D45" s="943"/>
      <c r="E45" s="943"/>
      <c r="F45" s="943"/>
      <c r="G45" s="943"/>
      <c r="H45" s="943"/>
    </row>
    <row r="46" spans="1:8">
      <c r="A46" s="944" t="s">
        <v>773</v>
      </c>
      <c r="B46" s="943"/>
      <c r="C46" s="943"/>
      <c r="D46" s="943"/>
      <c r="E46" s="943"/>
      <c r="F46" s="943"/>
      <c r="G46" s="943"/>
      <c r="H46" s="943"/>
    </row>
    <row r="47" spans="1:8">
      <c r="A47" s="944" t="s">
        <v>774</v>
      </c>
      <c r="B47" s="943"/>
      <c r="C47" s="943"/>
      <c r="D47" s="943"/>
      <c r="E47" s="943"/>
      <c r="F47" s="943"/>
      <c r="G47" s="943"/>
      <c r="H47" s="943"/>
    </row>
    <row r="48" spans="1:8">
      <c r="A48" s="944" t="s">
        <v>775</v>
      </c>
      <c r="B48" s="943"/>
      <c r="C48" s="943"/>
      <c r="D48" s="943"/>
      <c r="E48" s="943"/>
      <c r="F48" s="943"/>
      <c r="G48" s="943"/>
      <c r="H48" s="943"/>
    </row>
    <row r="49" spans="1:8">
      <c r="A49" s="944" t="s">
        <v>776</v>
      </c>
      <c r="B49" s="943"/>
      <c r="C49" s="943"/>
      <c r="D49" s="943"/>
      <c r="E49" s="943"/>
      <c r="F49" s="943"/>
      <c r="G49" s="943"/>
      <c r="H49" s="943"/>
    </row>
    <row r="50" spans="1:8">
      <c r="A50" s="944" t="s">
        <v>777</v>
      </c>
      <c r="B50" s="943"/>
      <c r="C50" s="943"/>
      <c r="D50" s="943"/>
      <c r="E50" s="943"/>
      <c r="F50" s="943"/>
      <c r="G50" s="943"/>
      <c r="H50" s="943"/>
    </row>
    <row r="51" spans="1:8">
      <c r="A51" s="943"/>
      <c r="B51" s="943"/>
      <c r="C51" s="943"/>
      <c r="D51" s="943"/>
      <c r="E51" s="943"/>
      <c r="F51" s="943"/>
      <c r="G51" s="943"/>
      <c r="H51" s="943"/>
    </row>
    <row r="52" spans="1:8">
      <c r="A52" s="944" t="s">
        <v>778</v>
      </c>
      <c r="B52" s="943"/>
      <c r="C52" s="943"/>
      <c r="D52" s="943"/>
      <c r="E52" s="943"/>
      <c r="F52" s="943"/>
      <c r="G52" s="943"/>
      <c r="H52" s="943"/>
    </row>
    <row r="53" spans="1:8">
      <c r="A53" s="944" t="s">
        <v>779</v>
      </c>
      <c r="B53" s="943"/>
      <c r="C53" s="943"/>
      <c r="D53" s="943"/>
      <c r="E53" s="943"/>
      <c r="F53" s="943"/>
      <c r="G53" s="943"/>
      <c r="H53" s="943"/>
    </row>
    <row r="54" spans="1:8">
      <c r="A54" s="944" t="s">
        <v>780</v>
      </c>
      <c r="B54" s="943"/>
      <c r="C54" s="943"/>
      <c r="D54" s="943"/>
      <c r="E54" s="943"/>
      <c r="F54" s="943"/>
      <c r="G54" s="943"/>
      <c r="H54" s="943"/>
    </row>
    <row r="55" spans="1:8">
      <c r="A55" s="944" t="s">
        <v>781</v>
      </c>
      <c r="B55" s="943"/>
      <c r="C55" s="943"/>
      <c r="D55" s="943"/>
      <c r="E55" s="943"/>
      <c r="F55" s="943"/>
      <c r="G55" s="943"/>
      <c r="H55" s="943"/>
    </row>
    <row r="56" spans="1:8">
      <c r="A56" s="943"/>
      <c r="B56" s="943"/>
      <c r="C56" s="943"/>
      <c r="D56" s="943"/>
      <c r="E56" s="943"/>
      <c r="F56" s="943"/>
      <c r="G56" s="943"/>
      <c r="H56" s="943"/>
    </row>
    <row r="57" spans="1:8">
      <c r="A57" s="944" t="s">
        <v>782</v>
      </c>
      <c r="B57" s="943"/>
      <c r="C57" s="943"/>
      <c r="D57" s="943"/>
      <c r="E57" s="943"/>
      <c r="F57" s="943"/>
      <c r="G57" s="943"/>
      <c r="H57" s="943"/>
    </row>
    <row r="58" spans="1:8">
      <c r="A58" s="944" t="s">
        <v>783</v>
      </c>
      <c r="B58" s="943"/>
      <c r="C58" s="943"/>
      <c r="D58" s="943"/>
      <c r="E58" s="943"/>
      <c r="F58" s="943"/>
      <c r="G58" s="943"/>
      <c r="H58" s="943"/>
    </row>
    <row r="59" spans="1:8">
      <c r="A59" s="944" t="s">
        <v>784</v>
      </c>
      <c r="B59" s="943"/>
      <c r="C59" s="943"/>
      <c r="D59" s="943"/>
      <c r="E59" s="943"/>
      <c r="F59" s="943"/>
      <c r="G59" s="943"/>
      <c r="H59" s="943"/>
    </row>
    <row r="60" spans="1:8">
      <c r="A60" s="944" t="s">
        <v>785</v>
      </c>
      <c r="B60" s="943"/>
      <c r="C60" s="943"/>
      <c r="D60" s="943"/>
      <c r="E60" s="943"/>
      <c r="F60" s="943"/>
      <c r="G60" s="943"/>
      <c r="H60" s="943"/>
    </row>
    <row r="61" spans="1:8">
      <c r="A61" s="944" t="s">
        <v>786</v>
      </c>
      <c r="B61" s="943"/>
      <c r="C61" s="943"/>
      <c r="D61" s="943"/>
      <c r="E61" s="943"/>
      <c r="F61" s="943"/>
      <c r="G61" s="943"/>
      <c r="H61" s="943"/>
    </row>
    <row r="62" spans="1:8">
      <c r="A62" s="944" t="s">
        <v>787</v>
      </c>
      <c r="B62" s="943"/>
      <c r="C62" s="943"/>
      <c r="D62" s="943"/>
      <c r="E62" s="943"/>
      <c r="F62" s="943"/>
      <c r="G62" s="943"/>
      <c r="H62" s="943"/>
    </row>
    <row r="63" spans="1:8">
      <c r="A63" s="943"/>
      <c r="B63" s="943"/>
      <c r="C63" s="943"/>
      <c r="D63" s="943"/>
      <c r="E63" s="943"/>
      <c r="F63" s="943"/>
      <c r="G63" s="943"/>
      <c r="H63" s="943"/>
    </row>
    <row r="64" spans="1:8" ht="15.6">
      <c r="A64" s="945" t="s">
        <v>788</v>
      </c>
      <c r="B64" s="943"/>
      <c r="C64" s="943"/>
      <c r="D64" s="943"/>
      <c r="E64" s="943"/>
      <c r="F64" s="943"/>
      <c r="G64" s="943"/>
      <c r="H64" s="943"/>
    </row>
    <row r="65" spans="1:8">
      <c r="A65" s="943"/>
      <c r="B65" s="943"/>
      <c r="C65" s="943"/>
      <c r="D65" s="943"/>
      <c r="E65" s="943"/>
      <c r="F65" s="943"/>
      <c r="G65" s="943"/>
      <c r="H65" s="943"/>
    </row>
    <row r="66" spans="1:8">
      <c r="A66" s="944" t="s">
        <v>789</v>
      </c>
      <c r="B66" s="943"/>
      <c r="C66" s="943"/>
      <c r="D66" s="943"/>
      <c r="E66" s="943"/>
      <c r="F66" s="943"/>
      <c r="G66" s="943"/>
      <c r="H66" s="943"/>
    </row>
    <row r="67" spans="1:8">
      <c r="A67" s="944" t="s">
        <v>790</v>
      </c>
      <c r="B67" s="943"/>
      <c r="C67" s="943"/>
      <c r="D67" s="943"/>
      <c r="E67" s="943"/>
      <c r="F67" s="943"/>
      <c r="G67" s="943"/>
      <c r="H67" s="943"/>
    </row>
    <row r="68" spans="1:8">
      <c r="A68" s="944" t="s">
        <v>791</v>
      </c>
      <c r="B68" s="943"/>
      <c r="C68" s="943"/>
      <c r="D68" s="943"/>
      <c r="E68" s="943"/>
      <c r="F68" s="943"/>
      <c r="G68" s="943"/>
      <c r="H68" s="943"/>
    </row>
    <row r="69" spans="1:8">
      <c r="A69" s="944" t="s">
        <v>792</v>
      </c>
      <c r="B69" s="943"/>
      <c r="C69" s="943"/>
      <c r="D69" s="943"/>
      <c r="E69" s="943"/>
      <c r="F69" s="943"/>
      <c r="G69" s="943"/>
      <c r="H69" s="943"/>
    </row>
    <row r="70" spans="1:8">
      <c r="A70" s="943"/>
      <c r="B70" s="943"/>
      <c r="C70" s="943"/>
      <c r="D70" s="943"/>
      <c r="E70" s="943"/>
      <c r="F70" s="943"/>
      <c r="G70" s="943"/>
      <c r="H70" s="943"/>
    </row>
    <row r="71" spans="1:8">
      <c r="A71" s="944" t="s">
        <v>793</v>
      </c>
      <c r="B71" s="943"/>
      <c r="C71" s="943"/>
      <c r="D71" s="943"/>
      <c r="E71" s="943"/>
      <c r="F71" s="943"/>
      <c r="G71" s="943"/>
      <c r="H71" s="943"/>
    </row>
    <row r="72" spans="1:8">
      <c r="A72" s="943"/>
      <c r="B72" s="943"/>
      <c r="C72" s="943"/>
      <c r="D72" s="943"/>
      <c r="E72" s="943"/>
      <c r="F72" s="943"/>
      <c r="G72" s="943"/>
      <c r="H72" s="943"/>
    </row>
    <row r="73" spans="1:8" ht="15.6">
      <c r="A73" s="945" t="s">
        <v>794</v>
      </c>
      <c r="B73" s="943"/>
      <c r="C73" s="943"/>
      <c r="D73" s="943"/>
      <c r="E73" s="943"/>
      <c r="F73" s="943"/>
      <c r="G73" s="943"/>
      <c r="H73" s="943"/>
    </row>
    <row r="74" spans="1:8">
      <c r="A74" s="943"/>
      <c r="B74" s="943"/>
      <c r="C74" s="943"/>
      <c r="D74" s="943"/>
      <c r="E74" s="943"/>
      <c r="F74" s="943"/>
      <c r="G74" s="943"/>
      <c r="H74" s="943"/>
    </row>
    <row r="75" spans="1:8">
      <c r="A75" s="944" t="s">
        <v>795</v>
      </c>
      <c r="B75" s="943"/>
      <c r="C75" s="943"/>
      <c r="D75" s="943"/>
      <c r="E75" s="943"/>
      <c r="F75" s="943"/>
      <c r="G75" s="943"/>
      <c r="H75" s="943"/>
    </row>
    <row r="76" spans="1:8">
      <c r="A76" s="944" t="s">
        <v>796</v>
      </c>
      <c r="B76" s="943"/>
      <c r="C76" s="943"/>
      <c r="D76" s="943"/>
      <c r="E76" s="943"/>
      <c r="F76" s="943"/>
      <c r="G76" s="943"/>
      <c r="H76" s="943"/>
    </row>
    <row r="77" spans="1:8">
      <c r="A77" s="944" t="s">
        <v>797</v>
      </c>
      <c r="B77" s="943"/>
      <c r="C77" s="943"/>
      <c r="D77" s="943"/>
      <c r="E77" s="943"/>
      <c r="F77" s="943"/>
      <c r="G77" s="943"/>
      <c r="H77" s="943"/>
    </row>
    <row r="78" spans="1:8">
      <c r="A78" s="943"/>
      <c r="B78" s="943"/>
      <c r="C78" s="943"/>
      <c r="D78" s="943"/>
      <c r="E78" s="943"/>
      <c r="F78" s="943"/>
      <c r="G78" s="943"/>
      <c r="H78" s="943"/>
    </row>
    <row r="79" spans="1:8" ht="15.6">
      <c r="A79" s="945" t="s">
        <v>798</v>
      </c>
      <c r="B79" s="943"/>
      <c r="C79" s="943"/>
      <c r="D79" s="943"/>
      <c r="E79" s="943"/>
      <c r="F79" s="943"/>
      <c r="G79" s="943"/>
      <c r="H79" s="943"/>
    </row>
    <row r="80" spans="1:8">
      <c r="A80" s="943"/>
      <c r="B80" s="943"/>
      <c r="C80" s="943"/>
      <c r="D80" s="943"/>
      <c r="E80" s="943"/>
      <c r="F80" s="943"/>
      <c r="G80" s="943"/>
      <c r="H80" s="943"/>
    </row>
    <row r="81" spans="1:8">
      <c r="A81" s="944" t="s">
        <v>799</v>
      </c>
      <c r="B81" s="943"/>
      <c r="C81" s="943"/>
      <c r="D81" s="943"/>
      <c r="E81" s="943"/>
      <c r="F81" s="943"/>
      <c r="G81" s="943"/>
      <c r="H81" s="943"/>
    </row>
    <row r="82" spans="1:8">
      <c r="A82" s="944" t="s">
        <v>800</v>
      </c>
      <c r="B82" s="943"/>
      <c r="C82" s="943"/>
      <c r="D82" s="943"/>
      <c r="E82" s="943"/>
      <c r="F82" s="943"/>
      <c r="G82" s="943"/>
      <c r="H82" s="943"/>
    </row>
    <row r="83" spans="1:8">
      <c r="A83" s="944" t="s">
        <v>801</v>
      </c>
      <c r="B83" s="943"/>
      <c r="C83" s="943"/>
      <c r="D83" s="943"/>
      <c r="E83" s="943"/>
      <c r="F83" s="943"/>
      <c r="G83" s="943"/>
      <c r="H83" s="943"/>
    </row>
    <row r="84" spans="1:8">
      <c r="A84" s="944" t="s">
        <v>802</v>
      </c>
      <c r="B84" s="943"/>
      <c r="C84" s="943"/>
      <c r="D84" s="943"/>
      <c r="E84" s="943"/>
      <c r="F84" s="943"/>
      <c r="G84" s="943"/>
      <c r="H84" s="943"/>
    </row>
    <row r="85" spans="1:8">
      <c r="A85" s="944" t="s">
        <v>803</v>
      </c>
      <c r="B85" s="943"/>
      <c r="C85" s="943"/>
      <c r="D85" s="943"/>
      <c r="E85" s="943"/>
      <c r="F85" s="943"/>
      <c r="G85" s="943"/>
      <c r="H85" s="943"/>
    </row>
    <row r="86" spans="1:8">
      <c r="A86" s="944" t="s">
        <v>804</v>
      </c>
      <c r="B86" s="943"/>
      <c r="C86" s="943"/>
      <c r="D86" s="943"/>
      <c r="E86" s="943"/>
      <c r="F86" s="943"/>
      <c r="G86" s="943"/>
      <c r="H86" s="943"/>
    </row>
    <row r="87" spans="1:8">
      <c r="A87" s="943"/>
      <c r="B87" s="943"/>
      <c r="C87" s="943"/>
      <c r="D87" s="943"/>
      <c r="E87" s="943"/>
      <c r="F87" s="943"/>
      <c r="G87" s="943"/>
      <c r="H87" s="943"/>
    </row>
    <row r="88" spans="1:8">
      <c r="A88" s="944" t="s">
        <v>805</v>
      </c>
      <c r="B88" s="943"/>
      <c r="C88" s="943"/>
      <c r="D88" s="943"/>
      <c r="E88" s="943"/>
      <c r="F88" s="943"/>
      <c r="G88" s="943"/>
      <c r="H88" s="943"/>
    </row>
    <row r="89" spans="1:8">
      <c r="A89" s="944" t="s">
        <v>806</v>
      </c>
      <c r="B89" s="943"/>
      <c r="C89" s="943"/>
      <c r="D89" s="943"/>
      <c r="E89" s="943"/>
      <c r="F89" s="943"/>
      <c r="G89" s="943"/>
      <c r="H89" s="943"/>
    </row>
    <row r="90" spans="1:8">
      <c r="A90" s="944" t="s">
        <v>807</v>
      </c>
      <c r="B90" s="943"/>
      <c r="C90" s="943"/>
      <c r="D90" s="943"/>
      <c r="E90" s="943"/>
      <c r="F90" s="943"/>
      <c r="G90" s="943"/>
      <c r="H90" s="943"/>
    </row>
    <row r="91" spans="1:8">
      <c r="A91" s="944" t="s">
        <v>808</v>
      </c>
      <c r="B91" s="943"/>
      <c r="C91" s="943"/>
      <c r="D91" s="943"/>
      <c r="E91" s="943"/>
      <c r="F91" s="943"/>
      <c r="G91" s="943"/>
      <c r="H91" s="943"/>
    </row>
    <row r="92" spans="1:8">
      <c r="A92" s="944" t="s">
        <v>809</v>
      </c>
      <c r="B92" s="943"/>
      <c r="C92" s="943"/>
      <c r="D92" s="943"/>
      <c r="E92" s="943"/>
      <c r="F92" s="943"/>
      <c r="G92" s="943"/>
      <c r="H92" s="943"/>
    </row>
    <row r="93" spans="1:8">
      <c r="A93" s="944" t="s">
        <v>810</v>
      </c>
      <c r="B93" s="943"/>
      <c r="C93" s="943"/>
      <c r="D93" s="943"/>
      <c r="E93" s="943"/>
      <c r="F93" s="943"/>
      <c r="G93" s="943"/>
      <c r="H93" s="943"/>
    </row>
    <row r="94" spans="1:8">
      <c r="A94" s="944" t="s">
        <v>811</v>
      </c>
      <c r="B94" s="943"/>
      <c r="C94" s="943"/>
      <c r="D94" s="943"/>
      <c r="E94" s="943"/>
      <c r="F94" s="943"/>
      <c r="G94" s="943"/>
      <c r="H94" s="943"/>
    </row>
    <row r="95" spans="1:8">
      <c r="A95" s="943"/>
      <c r="B95" s="943"/>
      <c r="C95" s="943"/>
      <c r="D95" s="943"/>
      <c r="E95" s="943"/>
      <c r="F95" s="943"/>
      <c r="G95" s="943"/>
      <c r="H95" s="943"/>
    </row>
    <row r="96" spans="1:8">
      <c r="A96" s="944" t="s">
        <v>812</v>
      </c>
      <c r="B96" s="943"/>
      <c r="C96" s="943"/>
      <c r="D96" s="943"/>
      <c r="E96" s="943"/>
      <c r="F96" s="943"/>
      <c r="G96" s="943"/>
      <c r="H96" s="943"/>
    </row>
    <row r="97" spans="1:8">
      <c r="A97" s="944" t="s">
        <v>813</v>
      </c>
      <c r="B97" s="943"/>
      <c r="C97" s="943"/>
      <c r="D97" s="943"/>
      <c r="E97" s="943"/>
      <c r="F97" s="943"/>
      <c r="G97" s="943"/>
      <c r="H97" s="943"/>
    </row>
    <row r="98" spans="1:8">
      <c r="A98" s="943"/>
      <c r="B98" s="943"/>
      <c r="C98" s="943"/>
      <c r="D98" s="943"/>
      <c r="E98" s="943"/>
      <c r="F98" s="943"/>
      <c r="G98" s="943"/>
      <c r="H98" s="943"/>
    </row>
    <row r="99" spans="1:8" ht="15.6">
      <c r="A99" s="945" t="s">
        <v>814</v>
      </c>
      <c r="B99" s="943"/>
      <c r="C99" s="943"/>
      <c r="D99" s="943"/>
      <c r="E99" s="943"/>
      <c r="F99" s="943"/>
      <c r="G99" s="943"/>
      <c r="H99" s="943"/>
    </row>
    <row r="100" spans="1:8">
      <c r="A100" s="943"/>
      <c r="B100" s="943"/>
      <c r="C100" s="943"/>
      <c r="D100" s="943"/>
      <c r="E100" s="943"/>
      <c r="F100" s="943"/>
      <c r="G100" s="943"/>
      <c r="H100" s="943"/>
    </row>
    <row r="101" spans="1:8">
      <c r="A101" s="944" t="s">
        <v>815</v>
      </c>
      <c r="B101" s="943"/>
      <c r="C101" s="943"/>
      <c r="D101" s="943"/>
      <c r="E101" s="943"/>
      <c r="F101" s="943"/>
      <c r="G101" s="943"/>
      <c r="H101" s="943"/>
    </row>
    <row r="102" spans="1:8">
      <c r="A102" s="944" t="s">
        <v>816</v>
      </c>
      <c r="B102" s="943"/>
      <c r="C102" s="943"/>
      <c r="D102" s="943"/>
      <c r="E102" s="943"/>
      <c r="F102" s="943"/>
      <c r="G102" s="943"/>
      <c r="H102" s="943"/>
    </row>
    <row r="103" spans="1:8">
      <c r="A103" s="944" t="s">
        <v>817</v>
      </c>
      <c r="B103" s="943"/>
      <c r="C103" s="943"/>
      <c r="D103" s="943"/>
      <c r="E103" s="943"/>
      <c r="F103" s="943"/>
      <c r="G103" s="943"/>
      <c r="H103" s="943"/>
    </row>
    <row r="104" spans="1:8">
      <c r="A104" s="944" t="s">
        <v>818</v>
      </c>
      <c r="B104" s="943"/>
      <c r="C104" s="943"/>
      <c r="D104" s="943"/>
      <c r="E104" s="943"/>
      <c r="F104" s="943"/>
      <c r="G104" s="943"/>
      <c r="H104" s="943"/>
    </row>
    <row r="105" spans="1:8">
      <c r="A105" s="944" t="s">
        <v>819</v>
      </c>
      <c r="B105" s="943"/>
      <c r="C105" s="943"/>
      <c r="D105" s="943"/>
      <c r="E105" s="943"/>
      <c r="F105" s="943"/>
      <c r="G105" s="943"/>
      <c r="H105" s="943"/>
    </row>
    <row r="106" spans="1:8">
      <c r="A106" s="944" t="s">
        <v>820</v>
      </c>
      <c r="B106" s="943"/>
      <c r="C106" s="943"/>
      <c r="D106" s="943"/>
      <c r="E106" s="943"/>
      <c r="F106" s="943"/>
      <c r="G106" s="943"/>
      <c r="H106" s="943"/>
    </row>
    <row r="107" spans="1:8">
      <c r="A107" s="944" t="s">
        <v>821</v>
      </c>
      <c r="B107" s="943"/>
      <c r="C107" s="943"/>
      <c r="D107" s="943"/>
      <c r="E107" s="943"/>
      <c r="F107" s="943"/>
      <c r="G107" s="943"/>
      <c r="H107" s="943"/>
    </row>
    <row r="108" spans="1:8">
      <c r="A108" s="944" t="s">
        <v>822</v>
      </c>
      <c r="B108" s="943"/>
      <c r="C108" s="943"/>
      <c r="D108" s="943"/>
      <c r="E108" s="943"/>
      <c r="F108" s="943"/>
      <c r="G108" s="943"/>
      <c r="H108" s="943"/>
    </row>
    <row r="109" spans="1:8">
      <c r="A109" s="944" t="s">
        <v>823</v>
      </c>
      <c r="B109" s="943"/>
      <c r="C109" s="943"/>
      <c r="D109" s="943"/>
      <c r="E109" s="943"/>
      <c r="F109" s="943"/>
      <c r="G109" s="943"/>
      <c r="H109" s="943"/>
    </row>
    <row r="110" spans="1:8">
      <c r="A110" s="943"/>
      <c r="B110" s="943"/>
      <c r="C110" s="943"/>
      <c r="D110" s="943"/>
      <c r="E110" s="943"/>
      <c r="F110" s="943"/>
      <c r="G110" s="943"/>
      <c r="H110" s="943"/>
    </row>
    <row r="111" spans="1:8" ht="15.6">
      <c r="A111" s="945" t="s">
        <v>824</v>
      </c>
      <c r="B111" s="943"/>
      <c r="C111" s="943"/>
      <c r="D111" s="943"/>
      <c r="E111" s="943"/>
      <c r="F111" s="943"/>
      <c r="G111" s="943"/>
      <c r="H111" s="943"/>
    </row>
    <row r="112" spans="1:8">
      <c r="A112" s="943"/>
      <c r="B112" s="943"/>
      <c r="C112" s="943"/>
      <c r="D112" s="943"/>
      <c r="E112" s="943"/>
      <c r="F112" s="943"/>
      <c r="G112" s="943"/>
      <c r="H112" s="943"/>
    </row>
    <row r="113" spans="1:8">
      <c r="A113" s="944" t="s">
        <v>825</v>
      </c>
      <c r="B113" s="943"/>
      <c r="C113" s="943"/>
      <c r="D113" s="943"/>
      <c r="E113" s="943"/>
      <c r="F113" s="943"/>
      <c r="G113" s="943"/>
      <c r="H113" s="943"/>
    </row>
    <row r="114" spans="1:8">
      <c r="A114" s="943"/>
      <c r="B114" s="943"/>
      <c r="C114" s="943"/>
      <c r="D114" s="943"/>
      <c r="E114" s="943"/>
      <c r="F114" s="943"/>
      <c r="G114" s="943"/>
      <c r="H114" s="943"/>
    </row>
    <row r="115" spans="1:8">
      <c r="A115" s="944" t="s">
        <v>826</v>
      </c>
      <c r="B115" s="943"/>
      <c r="C115" s="943"/>
      <c r="D115" s="943"/>
      <c r="E115" s="943"/>
      <c r="F115" s="943"/>
      <c r="G115" s="943"/>
      <c r="H115" s="943"/>
    </row>
    <row r="116" spans="1:8">
      <c r="A116" s="944" t="s">
        <v>827</v>
      </c>
      <c r="B116" s="943"/>
      <c r="C116" s="943"/>
      <c r="D116" s="943"/>
      <c r="E116" s="943"/>
      <c r="F116" s="943"/>
      <c r="G116" s="943"/>
      <c r="H116" s="943"/>
    </row>
    <row r="117" spans="1:8">
      <c r="A117" s="943"/>
      <c r="B117" s="943"/>
      <c r="C117" s="943"/>
      <c r="D117" s="943"/>
      <c r="E117" s="943"/>
      <c r="F117" s="943"/>
      <c r="G117" s="943"/>
      <c r="H117" s="943"/>
    </row>
    <row r="118" spans="1:8">
      <c r="A118" s="944" t="s">
        <v>828</v>
      </c>
      <c r="B118" s="943"/>
      <c r="C118" s="943"/>
      <c r="D118" s="943"/>
      <c r="E118" s="943"/>
      <c r="F118" s="943"/>
      <c r="G118" s="943"/>
      <c r="H118" s="943"/>
    </row>
    <row r="119" spans="1:8">
      <c r="A119" s="944" t="s">
        <v>829</v>
      </c>
      <c r="B119" s="943"/>
      <c r="C119" s="943"/>
      <c r="D119" s="943"/>
      <c r="E119" s="943"/>
      <c r="F119" s="943"/>
      <c r="G119" s="943"/>
      <c r="H119" s="943"/>
    </row>
    <row r="120" spans="1:8">
      <c r="A120" s="944" t="s">
        <v>830</v>
      </c>
      <c r="B120" s="943"/>
      <c r="C120" s="943"/>
      <c r="D120" s="943"/>
      <c r="E120" s="943"/>
      <c r="F120" s="943"/>
      <c r="G120" s="943"/>
      <c r="H120" s="943"/>
    </row>
    <row r="121" spans="1:8">
      <c r="A121" s="944" t="s">
        <v>831</v>
      </c>
      <c r="B121" s="943"/>
      <c r="C121" s="943"/>
      <c r="D121" s="943"/>
      <c r="E121" s="943"/>
      <c r="F121" s="943"/>
      <c r="G121" s="943"/>
      <c r="H121" s="943"/>
    </row>
    <row r="122" spans="1:8">
      <c r="A122" s="944" t="s">
        <v>832</v>
      </c>
      <c r="B122" s="943"/>
      <c r="C122" s="943"/>
      <c r="D122" s="943"/>
      <c r="E122" s="943"/>
      <c r="F122" s="943"/>
      <c r="G122" s="943"/>
      <c r="H122" s="943"/>
    </row>
    <row r="123" spans="1:8">
      <c r="A123" s="944" t="s">
        <v>833</v>
      </c>
      <c r="B123" s="943"/>
      <c r="C123" s="943"/>
      <c r="D123" s="943"/>
      <c r="E123" s="943"/>
      <c r="F123" s="943"/>
      <c r="G123" s="943"/>
      <c r="H123" s="943"/>
    </row>
    <row r="124" spans="1:8">
      <c r="A124" s="944" t="s">
        <v>834</v>
      </c>
      <c r="B124" s="943"/>
      <c r="C124" s="943"/>
      <c r="D124" s="943"/>
      <c r="E124" s="943"/>
      <c r="F124" s="943"/>
      <c r="G124" s="943"/>
      <c r="H124" s="943"/>
    </row>
    <row r="125" spans="1:8">
      <c r="A125" s="943"/>
      <c r="B125" s="943"/>
      <c r="C125" s="943"/>
      <c r="D125" s="943"/>
      <c r="E125" s="943"/>
      <c r="F125" s="943"/>
      <c r="G125" s="943"/>
      <c r="H125" s="943"/>
    </row>
    <row r="126" spans="1:8">
      <c r="A126" s="946"/>
      <c r="B126" s="947" t="s">
        <v>835</v>
      </c>
      <c r="C126" s="947"/>
      <c r="D126" s="947" t="s">
        <v>836</v>
      </c>
      <c r="E126" s="947"/>
      <c r="F126" s="947"/>
      <c r="G126" s="947" t="s">
        <v>837</v>
      </c>
      <c r="H126" s="947"/>
    </row>
    <row r="127" spans="1:8">
      <c r="A127" s="946" t="s">
        <v>838</v>
      </c>
      <c r="B127" s="946" t="s">
        <v>839</v>
      </c>
      <c r="C127" s="946" t="s">
        <v>840</v>
      </c>
      <c r="D127" s="946" t="s">
        <v>839</v>
      </c>
      <c r="E127" s="946" t="s">
        <v>841</v>
      </c>
      <c r="F127" s="946" t="s">
        <v>842</v>
      </c>
      <c r="G127" s="946" t="s">
        <v>839</v>
      </c>
      <c r="H127" s="946" t="s">
        <v>843</v>
      </c>
    </row>
    <row r="128" spans="1:8">
      <c r="A128" s="946" t="s">
        <v>844</v>
      </c>
      <c r="B128" s="946">
        <v>1499</v>
      </c>
      <c r="C128" s="946">
        <v>0.41</v>
      </c>
      <c r="D128" s="946">
        <v>389</v>
      </c>
      <c r="E128" s="946">
        <v>0.46</v>
      </c>
      <c r="F128" s="946">
        <v>0.26</v>
      </c>
      <c r="G128" s="946">
        <v>702</v>
      </c>
      <c r="H128" s="946">
        <v>0.41</v>
      </c>
    </row>
    <row r="129" spans="1:8">
      <c r="A129" s="946" t="s">
        <v>845</v>
      </c>
      <c r="B129" s="946">
        <v>1618</v>
      </c>
      <c r="C129" s="946">
        <v>0.44</v>
      </c>
      <c r="D129" s="946">
        <v>375</v>
      </c>
      <c r="E129" s="946">
        <v>0.44</v>
      </c>
      <c r="F129" s="946">
        <v>0.23</v>
      </c>
      <c r="G129" s="946">
        <v>782</v>
      </c>
      <c r="H129" s="946">
        <v>0.45</v>
      </c>
    </row>
    <row r="130" spans="1:8">
      <c r="A130" s="946" t="s">
        <v>846</v>
      </c>
      <c r="B130" s="946">
        <v>4</v>
      </c>
      <c r="C130" s="946">
        <v>0</v>
      </c>
      <c r="D130" s="946">
        <v>1</v>
      </c>
      <c r="E130" s="946">
        <v>0</v>
      </c>
      <c r="F130" s="946">
        <v>0.25</v>
      </c>
      <c r="G130" s="946">
        <v>1</v>
      </c>
      <c r="H130" s="946">
        <v>0</v>
      </c>
    </row>
    <row r="131" spans="1:8">
      <c r="A131" s="946" t="s">
        <v>847</v>
      </c>
      <c r="B131" s="946">
        <v>577</v>
      </c>
      <c r="C131" s="946">
        <v>0.16</v>
      </c>
      <c r="D131" s="946">
        <v>88</v>
      </c>
      <c r="E131" s="946">
        <v>0.1</v>
      </c>
      <c r="F131" s="946">
        <v>0.15</v>
      </c>
      <c r="G131" s="946">
        <v>234</v>
      </c>
      <c r="H131" s="946">
        <v>0.14000000000000001</v>
      </c>
    </row>
    <row r="132" spans="1:8">
      <c r="A132" s="946" t="s">
        <v>363</v>
      </c>
      <c r="B132" s="946">
        <v>3698</v>
      </c>
      <c r="C132" s="946"/>
      <c r="D132" s="946">
        <v>853</v>
      </c>
      <c r="E132" s="946"/>
      <c r="F132" s="946"/>
      <c r="G132" s="946">
        <v>1719</v>
      </c>
      <c r="H132" s="946"/>
    </row>
    <row r="133" spans="1:8">
      <c r="A133" s="943"/>
      <c r="B133" s="943"/>
      <c r="C133" s="943"/>
      <c r="D133" s="943"/>
      <c r="E133" s="943"/>
      <c r="F133" s="943"/>
      <c r="G133" s="943"/>
      <c r="H133" s="943"/>
    </row>
    <row r="134" spans="1:8">
      <c r="A134" s="944" t="s">
        <v>848</v>
      </c>
      <c r="B134" s="943"/>
      <c r="C134" s="943"/>
      <c r="D134" s="943"/>
      <c r="E134" s="943"/>
      <c r="F134" s="943"/>
      <c r="G134" s="943"/>
      <c r="H134" s="943"/>
    </row>
    <row r="135" spans="1:8">
      <c r="A135" s="944" t="s">
        <v>849</v>
      </c>
      <c r="B135" s="943"/>
      <c r="C135" s="943"/>
      <c r="D135" s="943"/>
      <c r="E135" s="943"/>
      <c r="F135" s="943"/>
      <c r="G135" s="943"/>
      <c r="H135" s="943"/>
    </row>
    <row r="136" spans="1:8">
      <c r="A136" s="944" t="s">
        <v>850</v>
      </c>
      <c r="B136" s="943"/>
      <c r="C136" s="943"/>
      <c r="D136" s="943"/>
      <c r="E136" s="943"/>
      <c r="F136" s="943"/>
      <c r="G136" s="943"/>
      <c r="H136" s="943"/>
    </row>
    <row r="137" spans="1:8">
      <c r="A137" s="944" t="s">
        <v>851</v>
      </c>
      <c r="B137" s="943"/>
      <c r="C137" s="943"/>
      <c r="D137" s="943"/>
      <c r="E137" s="943"/>
      <c r="F137" s="943"/>
      <c r="G137" s="943"/>
      <c r="H137" s="943"/>
    </row>
    <row r="138" spans="1:8">
      <c r="A138" s="943"/>
      <c r="B138" s="943"/>
      <c r="C138" s="943"/>
      <c r="D138" s="943"/>
      <c r="E138" s="943"/>
      <c r="F138" s="943"/>
      <c r="G138" s="943"/>
      <c r="H138" s="943"/>
    </row>
    <row r="139" spans="1:8" ht="15.6">
      <c r="A139" s="945" t="s">
        <v>852</v>
      </c>
      <c r="B139" s="943"/>
      <c r="C139" s="943"/>
      <c r="D139" s="943"/>
      <c r="E139" s="943"/>
      <c r="F139" s="943"/>
      <c r="G139" s="943"/>
      <c r="H139" s="943"/>
    </row>
    <row r="140" spans="1:8">
      <c r="A140" s="943"/>
      <c r="B140" s="943"/>
      <c r="C140" s="943"/>
      <c r="D140" s="943"/>
      <c r="E140" s="943"/>
      <c r="F140" s="943"/>
      <c r="G140" s="943"/>
      <c r="H140" s="943"/>
    </row>
    <row r="141" spans="1:8">
      <c r="A141" s="944" t="s">
        <v>853</v>
      </c>
      <c r="B141" s="943"/>
      <c r="C141" s="943"/>
      <c r="D141" s="943"/>
      <c r="E141" s="943"/>
      <c r="F141" s="943"/>
      <c r="G141" s="943"/>
      <c r="H141" s="943"/>
    </row>
    <row r="142" spans="1:8">
      <c r="A142" s="944" t="s">
        <v>854</v>
      </c>
      <c r="B142" s="943"/>
      <c r="C142" s="943"/>
      <c r="D142" s="943"/>
      <c r="E142" s="943"/>
      <c r="F142" s="943"/>
      <c r="G142" s="943"/>
      <c r="H142" s="943"/>
    </row>
    <row r="143" spans="1:8">
      <c r="A143" s="943"/>
      <c r="B143" s="943"/>
      <c r="C143" s="943"/>
      <c r="D143" s="943"/>
      <c r="E143" s="943"/>
      <c r="F143" s="943"/>
      <c r="G143" s="943"/>
      <c r="H143" s="943"/>
    </row>
    <row r="144" spans="1:8">
      <c r="A144" s="944" t="s">
        <v>855</v>
      </c>
      <c r="B144" s="943"/>
      <c r="C144" s="943"/>
      <c r="D144" s="943"/>
      <c r="E144" s="943"/>
      <c r="F144" s="943"/>
      <c r="G144" s="943"/>
      <c r="H144" s="943"/>
    </row>
    <row r="145" spans="1:8">
      <c r="A145" s="944" t="s">
        <v>856</v>
      </c>
      <c r="B145" s="943"/>
      <c r="C145" s="943"/>
      <c r="D145" s="943"/>
      <c r="E145" s="943"/>
      <c r="F145" s="943"/>
      <c r="G145" s="943"/>
      <c r="H145" s="943"/>
    </row>
    <row r="146" spans="1:8">
      <c r="A146" s="944" t="s">
        <v>857</v>
      </c>
      <c r="B146" s="943"/>
      <c r="C146" s="943"/>
      <c r="D146" s="943"/>
      <c r="E146" s="943"/>
      <c r="F146" s="943"/>
      <c r="G146" s="943"/>
      <c r="H146" s="943"/>
    </row>
    <row r="147" spans="1:8">
      <c r="A147" s="943"/>
      <c r="B147" s="943"/>
      <c r="C147" s="943"/>
      <c r="D147" s="943"/>
      <c r="E147" s="943"/>
      <c r="F147" s="943"/>
      <c r="G147" s="943"/>
      <c r="H147" s="943"/>
    </row>
    <row r="148" spans="1:8">
      <c r="A148" s="944" t="s">
        <v>858</v>
      </c>
      <c r="B148" s="943"/>
      <c r="C148" s="943"/>
      <c r="D148" s="943"/>
      <c r="E148" s="943"/>
      <c r="F148" s="943"/>
      <c r="G148" s="943"/>
      <c r="H148" s="943"/>
    </row>
    <row r="149" spans="1:8">
      <c r="A149" s="944" t="s">
        <v>859</v>
      </c>
      <c r="B149" s="943"/>
      <c r="C149" s="943"/>
      <c r="D149" s="943"/>
      <c r="E149" s="943"/>
      <c r="F149" s="943"/>
      <c r="G149" s="943"/>
      <c r="H149" s="943"/>
    </row>
    <row r="150" spans="1:8">
      <c r="A150" s="944" t="s">
        <v>860</v>
      </c>
      <c r="B150" s="943"/>
      <c r="C150" s="943"/>
      <c r="D150" s="943"/>
      <c r="E150" s="943"/>
      <c r="F150" s="943"/>
      <c r="G150" s="943"/>
      <c r="H150" s="943"/>
    </row>
    <row r="151" spans="1:8">
      <c r="A151" s="943"/>
      <c r="B151" s="943"/>
      <c r="C151" s="943"/>
      <c r="D151" s="943"/>
      <c r="E151" s="943"/>
      <c r="F151" s="943"/>
      <c r="G151" s="943"/>
      <c r="H151" s="943"/>
    </row>
    <row r="152" spans="1:8">
      <c r="A152" s="944" t="s">
        <v>861</v>
      </c>
      <c r="B152" s="943"/>
      <c r="C152" s="943"/>
      <c r="D152" s="943"/>
      <c r="E152" s="943"/>
      <c r="F152" s="943"/>
      <c r="G152" s="943"/>
      <c r="H152" s="943"/>
    </row>
    <row r="153" spans="1:8">
      <c r="A153" s="944" t="s">
        <v>862</v>
      </c>
      <c r="B153" s="943"/>
      <c r="C153" s="943"/>
      <c r="D153" s="943"/>
      <c r="E153" s="943"/>
      <c r="F153" s="943"/>
      <c r="G153" s="943"/>
      <c r="H153" s="943"/>
    </row>
    <row r="154" spans="1:8">
      <c r="A154" s="944" t="s">
        <v>863</v>
      </c>
      <c r="B154" s="943"/>
      <c r="C154" s="943"/>
      <c r="D154" s="943"/>
      <c r="E154" s="943"/>
      <c r="F154" s="943"/>
      <c r="G154" s="943"/>
      <c r="H154" s="943"/>
    </row>
    <row r="155" spans="1:8">
      <c r="A155" s="943"/>
      <c r="B155" s="943"/>
      <c r="C155" s="943"/>
      <c r="D155" s="943"/>
      <c r="E155" s="943"/>
      <c r="F155" s="943"/>
      <c r="G155" s="943"/>
      <c r="H155" s="943"/>
    </row>
    <row r="156" spans="1:8">
      <c r="A156" s="944" t="s">
        <v>864</v>
      </c>
      <c r="B156" s="943"/>
      <c r="C156" s="943"/>
      <c r="D156" s="943"/>
      <c r="E156" s="943"/>
      <c r="F156" s="943"/>
      <c r="G156" s="943"/>
      <c r="H156" s="943"/>
    </row>
    <row r="157" spans="1:8">
      <c r="A157" s="944" t="s">
        <v>865</v>
      </c>
      <c r="B157" s="943"/>
      <c r="C157" s="943"/>
      <c r="D157" s="943"/>
      <c r="E157" s="943"/>
      <c r="F157" s="943"/>
      <c r="G157" s="943"/>
      <c r="H157" s="943"/>
    </row>
    <row r="158" spans="1:8">
      <c r="A158" s="943"/>
      <c r="B158" s="943"/>
      <c r="C158" s="943"/>
      <c r="D158" s="943"/>
      <c r="E158" s="943"/>
      <c r="F158" s="943"/>
      <c r="G158" s="943"/>
      <c r="H158" s="943"/>
    </row>
    <row r="159" spans="1:8" ht="15.6">
      <c r="A159" s="945" t="s">
        <v>866</v>
      </c>
      <c r="B159" s="943"/>
      <c r="C159" s="943"/>
      <c r="D159" s="943"/>
      <c r="E159" s="943"/>
      <c r="F159" s="943"/>
      <c r="G159" s="943"/>
      <c r="H159" s="943"/>
    </row>
    <row r="160" spans="1:8">
      <c r="A160" s="943"/>
      <c r="B160" s="943"/>
      <c r="C160" s="943"/>
      <c r="D160" s="943"/>
      <c r="E160" s="943"/>
      <c r="F160" s="943"/>
      <c r="G160" s="943"/>
      <c r="H160" s="943"/>
    </row>
    <row r="161" spans="1:8">
      <c r="A161" s="944" t="s">
        <v>867</v>
      </c>
      <c r="B161" s="943"/>
      <c r="C161" s="943"/>
      <c r="D161" s="943"/>
      <c r="E161" s="943"/>
      <c r="F161" s="943"/>
      <c r="G161" s="943"/>
      <c r="H161" s="943"/>
    </row>
    <row r="162" spans="1:8">
      <c r="A162" s="944" t="s">
        <v>868</v>
      </c>
      <c r="B162" s="943"/>
      <c r="C162" s="943"/>
      <c r="D162" s="943"/>
      <c r="E162" s="943"/>
      <c r="F162" s="943"/>
      <c r="G162" s="943"/>
      <c r="H162" s="943"/>
    </row>
    <row r="163" spans="1:8">
      <c r="A163" s="943"/>
      <c r="B163" s="943"/>
      <c r="C163" s="943"/>
      <c r="D163" s="943"/>
      <c r="E163" s="943"/>
      <c r="F163" s="943"/>
      <c r="G163" s="943"/>
      <c r="H163" s="943"/>
    </row>
    <row r="164" spans="1:8">
      <c r="A164" s="944" t="s">
        <v>869</v>
      </c>
      <c r="B164" s="943"/>
      <c r="C164" s="943"/>
      <c r="D164" s="943"/>
      <c r="E164" s="943"/>
      <c r="F164" s="943"/>
      <c r="G164" s="943"/>
      <c r="H164" s="943"/>
    </row>
    <row r="165" spans="1:8">
      <c r="A165" s="944" t="s">
        <v>870</v>
      </c>
      <c r="B165" s="943"/>
      <c r="C165" s="943"/>
      <c r="D165" s="943"/>
      <c r="E165" s="943"/>
      <c r="F165" s="943"/>
      <c r="G165" s="943"/>
      <c r="H165" s="943"/>
    </row>
    <row r="166" spans="1:8">
      <c r="A166" s="943"/>
      <c r="B166" s="943"/>
      <c r="C166" s="943"/>
      <c r="D166" s="943"/>
      <c r="E166" s="943"/>
      <c r="F166" s="943"/>
      <c r="G166" s="943"/>
      <c r="H166" s="943"/>
    </row>
    <row r="167" spans="1:8">
      <c r="A167" s="944" t="s">
        <v>871</v>
      </c>
      <c r="B167" s="943"/>
      <c r="C167" s="943"/>
      <c r="D167" s="943"/>
      <c r="E167" s="943"/>
      <c r="F167" s="943"/>
      <c r="G167" s="943"/>
      <c r="H167" s="943"/>
    </row>
    <row r="168" spans="1:8">
      <c r="A168" s="944" t="s">
        <v>872</v>
      </c>
      <c r="B168" s="943"/>
      <c r="C168" s="943"/>
      <c r="D168" s="943"/>
      <c r="E168" s="943"/>
      <c r="F168" s="943"/>
      <c r="G168" s="943"/>
      <c r="H168" s="943"/>
    </row>
    <row r="169" spans="1:8">
      <c r="A169" s="943"/>
      <c r="B169" s="943"/>
      <c r="C169" s="943"/>
      <c r="D169" s="943"/>
      <c r="E169" s="943"/>
      <c r="F169" s="943"/>
      <c r="G169" s="943"/>
      <c r="H169" s="943"/>
    </row>
    <row r="170" spans="1:8">
      <c r="A170" s="944" t="s">
        <v>873</v>
      </c>
      <c r="B170" s="943"/>
      <c r="C170" s="943"/>
      <c r="D170" s="943"/>
      <c r="E170" s="943"/>
      <c r="F170" s="943"/>
      <c r="G170" s="943"/>
      <c r="H170" s="943"/>
    </row>
    <row r="171" spans="1:8">
      <c r="A171" s="944" t="s">
        <v>874</v>
      </c>
      <c r="B171" s="943"/>
      <c r="C171" s="943"/>
      <c r="D171" s="943"/>
      <c r="E171" s="943"/>
      <c r="F171" s="943"/>
      <c r="G171" s="943"/>
      <c r="H171" s="943"/>
    </row>
    <row r="172" spans="1:8">
      <c r="A172" s="944" t="s">
        <v>875</v>
      </c>
      <c r="B172" s="943"/>
      <c r="C172" s="943"/>
      <c r="D172" s="943"/>
      <c r="E172" s="943"/>
      <c r="F172" s="943"/>
      <c r="G172" s="943"/>
      <c r="H172" s="943"/>
    </row>
    <row r="173" spans="1:8">
      <c r="A173" s="943"/>
      <c r="B173" s="943"/>
      <c r="C173" s="943"/>
      <c r="D173" s="943"/>
      <c r="E173" s="943"/>
      <c r="F173" s="943"/>
      <c r="G173" s="943"/>
      <c r="H173" s="943"/>
    </row>
    <row r="174" spans="1:8">
      <c r="A174" s="944" t="s">
        <v>793</v>
      </c>
      <c r="B174" s="943"/>
      <c r="C174" s="943"/>
      <c r="D174" s="943"/>
      <c r="E174" s="943"/>
      <c r="F174" s="943"/>
      <c r="G174" s="943"/>
      <c r="H174" s="943"/>
    </row>
    <row r="175" spans="1:8">
      <c r="A175" s="943"/>
      <c r="B175" s="943"/>
      <c r="C175" s="943"/>
      <c r="D175" s="943"/>
      <c r="E175" s="943"/>
      <c r="F175" s="943"/>
      <c r="G175" s="943"/>
      <c r="H175" s="943"/>
    </row>
    <row r="176" spans="1:8" ht="15.6">
      <c r="A176" s="945" t="s">
        <v>876</v>
      </c>
      <c r="B176" s="943"/>
      <c r="C176" s="943"/>
      <c r="D176" s="943"/>
      <c r="E176" s="943"/>
      <c r="F176" s="943"/>
      <c r="G176" s="943"/>
      <c r="H176" s="943"/>
    </row>
    <row r="177" spans="1:8">
      <c r="A177" s="943"/>
      <c r="B177" s="943"/>
      <c r="C177" s="943"/>
      <c r="D177" s="943"/>
      <c r="E177" s="943"/>
      <c r="F177" s="943"/>
      <c r="G177" s="943"/>
      <c r="H177" s="943"/>
    </row>
    <row r="178" spans="1:8">
      <c r="A178" s="943"/>
      <c r="B178" s="943"/>
      <c r="C178" s="943"/>
      <c r="D178" s="943"/>
      <c r="E178" s="943"/>
      <c r="F178" s="943"/>
      <c r="G178" s="943"/>
      <c r="H178" s="943"/>
    </row>
    <row r="179" spans="1:8">
      <c r="A179" s="943"/>
      <c r="B179" s="943"/>
      <c r="C179" s="943"/>
      <c r="D179" s="943"/>
      <c r="E179" s="943"/>
      <c r="F179" s="943"/>
      <c r="G179" s="943"/>
      <c r="H179" s="943"/>
    </row>
    <row r="180" spans="1:8">
      <c r="A180" s="943"/>
      <c r="B180" s="943"/>
      <c r="C180" s="943"/>
      <c r="D180" s="943"/>
      <c r="E180" s="943"/>
      <c r="F180" s="943"/>
      <c r="G180" s="943"/>
      <c r="H180" s="943"/>
    </row>
    <row r="181" spans="1:8">
      <c r="A181" s="943"/>
      <c r="B181" s="943"/>
      <c r="C181" s="943"/>
      <c r="D181" s="943"/>
      <c r="E181" s="943"/>
      <c r="F181" s="943"/>
      <c r="G181" s="943"/>
      <c r="H181" s="943"/>
    </row>
    <row r="182" spans="1:8">
      <c r="A182" s="943"/>
      <c r="B182" s="943"/>
      <c r="C182" s="943"/>
      <c r="D182" s="943"/>
      <c r="E182" s="943"/>
      <c r="F182" s="943"/>
      <c r="G182" s="943"/>
      <c r="H182" s="943"/>
    </row>
    <row r="183" spans="1:8">
      <c r="A183" s="943"/>
      <c r="B183" s="943"/>
      <c r="C183" s="943"/>
      <c r="D183" s="943"/>
      <c r="E183" s="943"/>
      <c r="F183" s="943"/>
      <c r="G183" s="943"/>
      <c r="H183" s="943"/>
    </row>
    <row r="184" spans="1:8">
      <c r="A184" s="943"/>
      <c r="B184" s="943"/>
      <c r="C184" s="943"/>
      <c r="D184" s="943"/>
      <c r="E184" s="943"/>
      <c r="F184" s="943"/>
      <c r="G184" s="943"/>
      <c r="H184" s="943"/>
    </row>
    <row r="185" spans="1:8">
      <c r="A185" s="943"/>
      <c r="B185" s="943"/>
      <c r="C185" s="943"/>
      <c r="D185" s="943"/>
      <c r="E185" s="943"/>
      <c r="F185" s="943"/>
      <c r="G185" s="943"/>
      <c r="H185" s="943"/>
    </row>
    <row r="186" spans="1:8">
      <c r="A186" s="943"/>
      <c r="B186" s="943"/>
      <c r="C186" s="943"/>
      <c r="D186" s="943"/>
      <c r="E186" s="943"/>
      <c r="F186" s="943"/>
      <c r="G186" s="943"/>
      <c r="H186" s="943"/>
    </row>
    <row r="187" spans="1:8">
      <c r="A187" s="943"/>
      <c r="B187" s="943"/>
      <c r="C187" s="943"/>
      <c r="D187" s="943"/>
      <c r="E187" s="943"/>
      <c r="F187" s="943"/>
      <c r="G187" s="943"/>
      <c r="H187" s="943"/>
    </row>
    <row r="188" spans="1:8">
      <c r="A188" s="943"/>
      <c r="B188" s="943"/>
      <c r="C188" s="943"/>
      <c r="D188" s="943"/>
      <c r="E188" s="943"/>
      <c r="F188" s="943"/>
      <c r="G188" s="943"/>
      <c r="H188" s="943"/>
    </row>
    <row r="189" spans="1:8">
      <c r="A189" s="943"/>
      <c r="B189" s="943"/>
      <c r="C189" s="943"/>
      <c r="D189" s="943"/>
      <c r="E189" s="943"/>
      <c r="F189" s="943"/>
      <c r="G189" s="943"/>
      <c r="H189" s="943"/>
    </row>
    <row r="190" spans="1:8">
      <c r="A190" s="943"/>
      <c r="B190" s="943"/>
      <c r="C190" s="943"/>
      <c r="D190" s="943"/>
      <c r="E190" s="943"/>
      <c r="F190" s="943"/>
      <c r="G190" s="943"/>
      <c r="H190" s="943"/>
    </row>
    <row r="191" spans="1:8">
      <c r="A191" s="943"/>
      <c r="B191" s="943"/>
      <c r="C191" s="943"/>
      <c r="D191" s="943"/>
      <c r="E191" s="943"/>
      <c r="F191" s="943"/>
      <c r="G191" s="943"/>
      <c r="H191" s="943"/>
    </row>
    <row r="192" spans="1:8">
      <c r="A192" s="943"/>
      <c r="B192" s="943"/>
      <c r="C192" s="943"/>
      <c r="D192" s="943"/>
      <c r="E192" s="943"/>
      <c r="F192" s="943"/>
      <c r="G192" s="943"/>
      <c r="H192" s="943"/>
    </row>
    <row r="193" spans="1:8">
      <c r="A193" s="943"/>
      <c r="B193" s="943"/>
      <c r="C193" s="943"/>
      <c r="D193" s="943"/>
      <c r="E193" s="943"/>
      <c r="F193" s="943"/>
      <c r="G193" s="943"/>
      <c r="H193" s="943"/>
    </row>
    <row r="194" spans="1:8">
      <c r="A194" s="943"/>
      <c r="B194" s="943"/>
      <c r="C194" s="943"/>
      <c r="D194" s="943"/>
      <c r="E194" s="943"/>
      <c r="F194" s="943"/>
      <c r="G194" s="943"/>
      <c r="H194" s="943"/>
    </row>
    <row r="195" spans="1:8">
      <c r="A195" s="943"/>
      <c r="B195" s="943"/>
      <c r="C195" s="943"/>
      <c r="D195" s="943"/>
      <c r="E195" s="943"/>
      <c r="F195" s="943"/>
      <c r="G195" s="943"/>
      <c r="H195" s="943"/>
    </row>
    <row r="196" spans="1:8">
      <c r="A196" s="943"/>
      <c r="B196" s="943"/>
      <c r="C196" s="943"/>
      <c r="D196" s="943"/>
      <c r="E196" s="943"/>
      <c r="F196" s="943"/>
      <c r="G196" s="943"/>
      <c r="H196" s="943"/>
    </row>
    <row r="197" spans="1:8">
      <c r="A197" s="943"/>
      <c r="B197" s="943"/>
      <c r="C197" s="943"/>
      <c r="D197" s="943"/>
      <c r="E197" s="943"/>
      <c r="F197" s="943"/>
      <c r="G197" s="943"/>
      <c r="H197" s="943"/>
    </row>
    <row r="198" spans="1:8">
      <c r="A198" s="943"/>
      <c r="B198" s="943"/>
      <c r="C198" s="943"/>
      <c r="D198" s="943"/>
      <c r="E198" s="943"/>
      <c r="F198" s="943"/>
      <c r="G198" s="943"/>
      <c r="H198" s="943"/>
    </row>
    <row r="199" spans="1:8">
      <c r="A199" s="943"/>
      <c r="B199" s="943"/>
      <c r="C199" s="943"/>
      <c r="D199" s="943"/>
      <c r="E199" s="943"/>
      <c r="F199" s="943"/>
      <c r="G199" s="943"/>
      <c r="H199" s="943"/>
    </row>
    <row r="200" spans="1:8" ht="15.6">
      <c r="A200" s="945" t="s">
        <v>877</v>
      </c>
      <c r="B200" s="943"/>
      <c r="C200" s="943"/>
      <c r="D200" s="943"/>
      <c r="E200" s="943"/>
      <c r="F200" s="943"/>
      <c r="G200" s="943"/>
      <c r="H200" s="943"/>
    </row>
    <row r="201" spans="1:8">
      <c r="A201" s="943"/>
      <c r="B201" s="943"/>
      <c r="C201" s="943"/>
      <c r="D201" s="943"/>
      <c r="E201" s="943"/>
      <c r="F201" s="943"/>
      <c r="G201" s="943"/>
      <c r="H201" s="943"/>
    </row>
    <row r="202" spans="1:8">
      <c r="A202" s="944" t="s">
        <v>878</v>
      </c>
      <c r="B202" s="943"/>
      <c r="C202" s="943"/>
      <c r="D202" s="943"/>
      <c r="E202" s="943"/>
      <c r="F202" s="943"/>
      <c r="G202" s="943"/>
      <c r="H202" s="943"/>
    </row>
    <row r="203" spans="1:8">
      <c r="A203" s="944" t="s">
        <v>879</v>
      </c>
      <c r="B203" s="943"/>
      <c r="C203" s="943"/>
      <c r="D203" s="943"/>
      <c r="E203" s="943"/>
      <c r="F203" s="943"/>
      <c r="G203" s="943"/>
      <c r="H203" s="943"/>
    </row>
    <row r="204" spans="1:8">
      <c r="A204" s="944" t="s">
        <v>880</v>
      </c>
      <c r="B204" s="943"/>
      <c r="C204" s="943"/>
      <c r="D204" s="943"/>
      <c r="E204" s="943"/>
      <c r="F204" s="943"/>
      <c r="G204" s="943"/>
      <c r="H204" s="943"/>
    </row>
    <row r="205" spans="1:8">
      <c r="A205" s="944" t="s">
        <v>881</v>
      </c>
      <c r="B205" s="943"/>
      <c r="C205" s="943"/>
      <c r="D205" s="943"/>
      <c r="E205" s="943"/>
      <c r="F205" s="943"/>
      <c r="G205" s="943"/>
      <c r="H205" s="943"/>
    </row>
    <row r="206" spans="1:8">
      <c r="A206" s="944" t="s">
        <v>882</v>
      </c>
      <c r="B206" s="943"/>
      <c r="C206" s="943"/>
      <c r="D206" s="943"/>
      <c r="E206" s="943"/>
      <c r="F206" s="943"/>
      <c r="G206" s="943"/>
      <c r="H206" s="943"/>
    </row>
    <row r="207" spans="1:8">
      <c r="A207" s="943"/>
      <c r="B207" s="943"/>
      <c r="C207" s="943"/>
      <c r="D207" s="943"/>
      <c r="E207" s="943"/>
      <c r="F207" s="943"/>
      <c r="G207" s="943"/>
      <c r="H207" s="943"/>
    </row>
    <row r="208" spans="1:8">
      <c r="A208" s="944" t="s">
        <v>883</v>
      </c>
      <c r="B208" s="943"/>
      <c r="C208" s="943"/>
      <c r="D208" s="943"/>
      <c r="E208" s="943"/>
      <c r="F208" s="943"/>
      <c r="G208" s="943"/>
      <c r="H208" s="943"/>
    </row>
    <row r="209" spans="1:8">
      <c r="A209" s="944" t="s">
        <v>884</v>
      </c>
      <c r="B209" s="943"/>
      <c r="C209" s="943"/>
      <c r="D209" s="943"/>
      <c r="E209" s="943"/>
      <c r="F209" s="943"/>
      <c r="G209" s="943"/>
      <c r="H209" s="943"/>
    </row>
    <row r="210" spans="1:8">
      <c r="A210" s="944" t="s">
        <v>885</v>
      </c>
      <c r="B210" s="943"/>
      <c r="C210" s="943"/>
      <c r="D210" s="943"/>
      <c r="E210" s="943"/>
      <c r="F210" s="943"/>
      <c r="G210" s="943"/>
      <c r="H210" s="943"/>
    </row>
    <row r="211" spans="1:8">
      <c r="A211" s="943"/>
      <c r="B211" s="943"/>
      <c r="C211" s="943"/>
      <c r="D211" s="943"/>
      <c r="E211" s="943"/>
      <c r="F211" s="943"/>
      <c r="G211" s="943"/>
      <c r="H211" s="943"/>
    </row>
    <row r="212" spans="1:8" ht="15.6">
      <c r="A212" s="945" t="s">
        <v>886</v>
      </c>
      <c r="B212" s="943"/>
      <c r="C212" s="943"/>
      <c r="D212" s="943"/>
      <c r="E212" s="943"/>
      <c r="F212" s="943"/>
      <c r="G212" s="943"/>
      <c r="H212" s="943"/>
    </row>
    <row r="213" spans="1:8">
      <c r="A213" s="943"/>
      <c r="B213" s="943"/>
      <c r="C213" s="943"/>
      <c r="D213" s="943"/>
      <c r="E213" s="943"/>
      <c r="F213" s="943"/>
      <c r="G213" s="943"/>
      <c r="H213" s="943"/>
    </row>
    <row r="214" spans="1:8">
      <c r="A214" s="944" t="s">
        <v>887</v>
      </c>
      <c r="B214" s="943"/>
      <c r="C214" s="943"/>
      <c r="D214" s="943"/>
      <c r="E214" s="943"/>
      <c r="F214" s="943"/>
      <c r="G214" s="943"/>
      <c r="H214" s="943"/>
    </row>
    <row r="215" spans="1:8">
      <c r="A215" s="944" t="s">
        <v>888</v>
      </c>
      <c r="B215" s="943"/>
      <c r="C215" s="943"/>
      <c r="D215" s="943"/>
      <c r="E215" s="943"/>
      <c r="F215" s="943"/>
      <c r="G215" s="943"/>
      <c r="H215" s="943"/>
    </row>
    <row r="216" spans="1:8">
      <c r="A216" s="944" t="s">
        <v>889</v>
      </c>
      <c r="B216" s="943"/>
      <c r="C216" s="943"/>
      <c r="D216" s="943"/>
      <c r="E216" s="943"/>
      <c r="F216" s="943"/>
      <c r="G216" s="943"/>
      <c r="H216" s="943"/>
    </row>
    <row r="217" spans="1:8">
      <c r="A217" s="944" t="s">
        <v>890</v>
      </c>
      <c r="B217" s="943"/>
      <c r="C217" s="943"/>
      <c r="D217" s="943"/>
      <c r="E217" s="943"/>
      <c r="F217" s="943"/>
      <c r="G217" s="943"/>
      <c r="H217" s="943"/>
    </row>
    <row r="218" spans="1:8">
      <c r="A218" s="944" t="s">
        <v>891</v>
      </c>
      <c r="B218" s="943"/>
      <c r="C218" s="943"/>
      <c r="D218" s="943"/>
      <c r="E218" s="943"/>
      <c r="F218" s="943"/>
      <c r="G218" s="943"/>
      <c r="H218" s="943"/>
    </row>
    <row r="219" spans="1:8">
      <c r="A219" s="944" t="s">
        <v>892</v>
      </c>
      <c r="B219" s="943"/>
      <c r="C219" s="943"/>
      <c r="D219" s="943"/>
      <c r="E219" s="943"/>
      <c r="F219" s="943"/>
      <c r="G219" s="943"/>
      <c r="H219" s="943"/>
    </row>
    <row r="220" spans="1:8">
      <c r="A220" s="944" t="s">
        <v>893</v>
      </c>
      <c r="B220" s="943"/>
      <c r="C220" s="943"/>
      <c r="D220" s="943"/>
      <c r="E220" s="943"/>
      <c r="F220" s="943"/>
      <c r="G220" s="943"/>
      <c r="H220" s="943"/>
    </row>
    <row r="221" spans="1:8">
      <c r="A221" s="943"/>
      <c r="B221" s="943"/>
      <c r="C221" s="943"/>
      <c r="D221" s="943"/>
      <c r="E221" s="943"/>
      <c r="F221" s="943"/>
      <c r="G221" s="943"/>
      <c r="H221" s="943"/>
    </row>
    <row r="222" spans="1:8">
      <c r="A222" s="944" t="s">
        <v>894</v>
      </c>
      <c r="B222" s="943"/>
      <c r="C222" s="943"/>
      <c r="D222" s="943"/>
      <c r="E222" s="943"/>
      <c r="F222" s="943"/>
      <c r="G222" s="943"/>
      <c r="H222" s="943"/>
    </row>
    <row r="223" spans="1:8">
      <c r="A223" s="944" t="s">
        <v>895</v>
      </c>
      <c r="B223" s="943"/>
      <c r="C223" s="943"/>
      <c r="D223" s="943"/>
      <c r="E223" s="943"/>
      <c r="F223" s="943"/>
      <c r="G223" s="943"/>
      <c r="H223" s="943"/>
    </row>
    <row r="224" spans="1:8">
      <c r="A224" s="944" t="s">
        <v>896</v>
      </c>
      <c r="B224" s="943"/>
      <c r="C224" s="943"/>
      <c r="D224" s="943"/>
      <c r="E224" s="943"/>
      <c r="F224" s="943"/>
      <c r="G224" s="943"/>
      <c r="H224" s="943"/>
    </row>
    <row r="225" spans="1:8">
      <c r="A225" s="943"/>
      <c r="B225" s="943"/>
      <c r="C225" s="943"/>
      <c r="D225" s="943"/>
      <c r="E225" s="943"/>
      <c r="F225" s="943"/>
      <c r="G225" s="943"/>
      <c r="H225" s="943"/>
    </row>
    <row r="226" spans="1:8">
      <c r="A226" s="944" t="s">
        <v>897</v>
      </c>
      <c r="B226" s="943"/>
      <c r="C226" s="943"/>
      <c r="D226" s="943"/>
      <c r="E226" s="943"/>
      <c r="F226" s="943"/>
      <c r="G226" s="943"/>
      <c r="H226" s="943"/>
    </row>
    <row r="227" spans="1:8">
      <c r="A227" s="944" t="s">
        <v>898</v>
      </c>
      <c r="B227" s="943"/>
      <c r="C227" s="943"/>
      <c r="D227" s="943"/>
      <c r="E227" s="943"/>
      <c r="F227" s="943"/>
      <c r="G227" s="943"/>
      <c r="H227" s="943"/>
    </row>
    <row r="228" spans="1:8">
      <c r="A228" s="944" t="s">
        <v>899</v>
      </c>
      <c r="B228" s="943"/>
      <c r="C228" s="943"/>
      <c r="D228" s="943"/>
      <c r="E228" s="943"/>
      <c r="F228" s="943"/>
      <c r="G228" s="943"/>
      <c r="H228" s="943"/>
    </row>
    <row r="229" spans="1:8">
      <c r="A229" s="944" t="s">
        <v>900</v>
      </c>
      <c r="B229" s="943"/>
      <c r="C229" s="943"/>
      <c r="D229" s="943"/>
      <c r="E229" s="943"/>
      <c r="F229" s="943"/>
      <c r="G229" s="943"/>
      <c r="H229" s="943"/>
    </row>
    <row r="230" spans="1:8">
      <c r="A230" s="944" t="s">
        <v>901</v>
      </c>
      <c r="B230" s="943"/>
      <c r="C230" s="943"/>
      <c r="D230" s="943"/>
      <c r="E230" s="943"/>
      <c r="F230" s="943"/>
      <c r="G230" s="943"/>
      <c r="H230" s="943"/>
    </row>
    <row r="231" spans="1:8">
      <c r="A231" s="943"/>
      <c r="B231" s="943"/>
      <c r="C231" s="943"/>
      <c r="D231" s="943"/>
      <c r="E231" s="943"/>
      <c r="F231" s="943"/>
      <c r="G231" s="943"/>
      <c r="H231" s="943"/>
    </row>
    <row r="232" spans="1:8">
      <c r="A232" s="944" t="s">
        <v>902</v>
      </c>
      <c r="B232" s="943"/>
      <c r="C232" s="943"/>
      <c r="D232" s="943"/>
      <c r="E232" s="943"/>
      <c r="F232" s="943"/>
      <c r="G232" s="943"/>
      <c r="H232" s="943"/>
    </row>
    <row r="233" spans="1:8">
      <c r="A233" s="944" t="s">
        <v>903</v>
      </c>
      <c r="B233" s="943"/>
      <c r="C233" s="943"/>
      <c r="D233" s="943"/>
      <c r="E233" s="943"/>
      <c r="F233" s="943"/>
      <c r="G233" s="943"/>
      <c r="H233" s="943"/>
    </row>
    <row r="234" spans="1:8">
      <c r="A234" s="944" t="s">
        <v>904</v>
      </c>
      <c r="B234" s="943"/>
      <c r="C234" s="943"/>
      <c r="D234" s="943"/>
      <c r="E234" s="943"/>
      <c r="F234" s="943"/>
      <c r="G234" s="943"/>
      <c r="H234" s="943"/>
    </row>
    <row r="235" spans="1:8">
      <c r="A235" s="944" t="s">
        <v>905</v>
      </c>
      <c r="B235" s="943"/>
      <c r="C235" s="943"/>
      <c r="D235" s="943"/>
      <c r="E235" s="943"/>
      <c r="F235" s="943"/>
      <c r="G235" s="943"/>
      <c r="H235" s="943"/>
    </row>
    <row r="236" spans="1:8">
      <c r="A236" s="944" t="s">
        <v>906</v>
      </c>
      <c r="B236" s="943"/>
      <c r="C236" s="943"/>
      <c r="D236" s="943"/>
      <c r="E236" s="943"/>
      <c r="F236" s="943"/>
      <c r="G236" s="943"/>
      <c r="H236" s="943"/>
    </row>
    <row r="237" spans="1:8">
      <c r="A237" s="944" t="s">
        <v>907</v>
      </c>
      <c r="B237" s="943"/>
      <c r="C237" s="943"/>
      <c r="D237" s="943"/>
      <c r="E237" s="943"/>
      <c r="F237" s="943"/>
      <c r="G237" s="943"/>
      <c r="H237" s="943"/>
    </row>
    <row r="238" spans="1:8">
      <c r="A238" s="943"/>
      <c r="B238" s="943"/>
      <c r="C238" s="943"/>
      <c r="D238" s="943"/>
      <c r="E238" s="943"/>
      <c r="F238" s="943"/>
      <c r="G238" s="943"/>
      <c r="H238" s="943"/>
    </row>
    <row r="239" spans="1:8">
      <c r="A239" s="944" t="s">
        <v>908</v>
      </c>
      <c r="B239" s="943"/>
      <c r="C239" s="943"/>
      <c r="D239" s="943"/>
      <c r="E239" s="943"/>
      <c r="F239" s="943"/>
      <c r="G239" s="943"/>
      <c r="H239" s="943"/>
    </row>
    <row r="240" spans="1:8">
      <c r="A240" s="944" t="s">
        <v>909</v>
      </c>
      <c r="B240" s="943"/>
      <c r="C240" s="943"/>
      <c r="D240" s="943"/>
      <c r="E240" s="943"/>
      <c r="F240" s="943"/>
      <c r="G240" s="943"/>
      <c r="H240" s="943"/>
    </row>
    <row r="241" spans="1:8">
      <c r="A241" s="944" t="s">
        <v>910</v>
      </c>
      <c r="B241" s="943"/>
      <c r="C241" s="943"/>
      <c r="D241" s="943"/>
      <c r="E241" s="943"/>
      <c r="F241" s="943"/>
      <c r="G241" s="943"/>
      <c r="H241" s="943"/>
    </row>
    <row r="242" spans="1:8">
      <c r="A242" s="944" t="s">
        <v>911</v>
      </c>
      <c r="B242" s="943"/>
      <c r="C242" s="943"/>
      <c r="D242" s="943"/>
      <c r="E242" s="943"/>
      <c r="F242" s="943"/>
      <c r="G242" s="943"/>
      <c r="H242" s="943"/>
    </row>
    <row r="243" spans="1:8">
      <c r="A243" s="944" t="s">
        <v>912</v>
      </c>
      <c r="B243" s="943"/>
      <c r="C243" s="943"/>
      <c r="D243" s="943"/>
      <c r="E243" s="943"/>
      <c r="F243" s="943"/>
      <c r="G243" s="943"/>
      <c r="H243" s="943"/>
    </row>
    <row r="244" spans="1:8">
      <c r="A244" s="944" t="s">
        <v>913</v>
      </c>
      <c r="B244" s="943"/>
      <c r="C244" s="943"/>
      <c r="D244" s="943"/>
      <c r="E244" s="943"/>
      <c r="F244" s="943"/>
      <c r="G244" s="943"/>
      <c r="H244" s="943"/>
    </row>
    <row r="245" spans="1:8">
      <c r="A245" s="944" t="s">
        <v>914</v>
      </c>
      <c r="B245" s="943"/>
      <c r="C245" s="943"/>
      <c r="D245" s="943"/>
      <c r="E245" s="943"/>
      <c r="F245" s="943"/>
      <c r="G245" s="943"/>
      <c r="H245" s="943"/>
    </row>
    <row r="246" spans="1:8">
      <c r="A246" s="944" t="s">
        <v>915</v>
      </c>
      <c r="B246" s="943"/>
      <c r="C246" s="943"/>
      <c r="D246" s="943"/>
      <c r="E246" s="943"/>
      <c r="F246" s="943"/>
      <c r="G246" s="943"/>
      <c r="H246" s="943"/>
    </row>
    <row r="247" spans="1:8">
      <c r="A247" s="944" t="s">
        <v>916</v>
      </c>
      <c r="B247" s="943"/>
      <c r="C247" s="943"/>
      <c r="D247" s="943"/>
      <c r="E247" s="943"/>
      <c r="F247" s="943"/>
      <c r="G247" s="943"/>
      <c r="H247" s="943"/>
    </row>
    <row r="248" spans="1:8">
      <c r="A248" s="944" t="s">
        <v>917</v>
      </c>
      <c r="B248" s="943"/>
      <c r="C248" s="943"/>
      <c r="D248" s="943"/>
      <c r="E248" s="943"/>
      <c r="F248" s="943"/>
      <c r="G248" s="943"/>
      <c r="H248" s="943"/>
    </row>
    <row r="249" spans="1:8">
      <c r="A249" s="944" t="s">
        <v>918</v>
      </c>
      <c r="B249" s="943"/>
      <c r="C249" s="943"/>
      <c r="D249" s="943"/>
      <c r="E249" s="943"/>
      <c r="F249" s="943"/>
      <c r="G249" s="943"/>
      <c r="H249" s="943"/>
    </row>
    <row r="250" spans="1:8">
      <c r="A250" s="944" t="s">
        <v>919</v>
      </c>
      <c r="B250" s="943"/>
      <c r="C250" s="943"/>
      <c r="D250" s="943"/>
      <c r="E250" s="943"/>
      <c r="F250" s="943"/>
      <c r="G250" s="943"/>
      <c r="H250" s="943"/>
    </row>
    <row r="251" spans="1:8">
      <c r="A251" s="944" t="s">
        <v>920</v>
      </c>
      <c r="B251" s="943"/>
      <c r="C251" s="943"/>
      <c r="D251" s="943"/>
      <c r="E251" s="943"/>
      <c r="F251" s="943"/>
      <c r="G251" s="943"/>
      <c r="H251" s="943"/>
    </row>
    <row r="252" spans="1:8">
      <c r="A252" s="944" t="s">
        <v>921</v>
      </c>
      <c r="B252" s="943"/>
      <c r="C252" s="943"/>
      <c r="D252" s="943"/>
      <c r="E252" s="943"/>
      <c r="F252" s="943"/>
      <c r="G252" s="943"/>
      <c r="H252" s="943"/>
    </row>
    <row r="253" spans="1:8">
      <c r="A253" s="943"/>
      <c r="B253" s="943"/>
      <c r="C253" s="943"/>
      <c r="D253" s="943"/>
      <c r="E253" s="943"/>
      <c r="F253" s="943"/>
      <c r="G253" s="943"/>
      <c r="H253" s="943"/>
    </row>
    <row r="254" spans="1:8">
      <c r="A254" s="944" t="s">
        <v>922</v>
      </c>
      <c r="B254" s="943"/>
      <c r="C254" s="943"/>
      <c r="D254" s="943"/>
      <c r="E254" s="943"/>
      <c r="F254" s="943"/>
      <c r="G254" s="943"/>
      <c r="H254" s="943"/>
    </row>
    <row r="255" spans="1:8">
      <c r="A255" s="944" t="s">
        <v>923</v>
      </c>
      <c r="B255" s="943"/>
      <c r="C255" s="943"/>
      <c r="D255" s="943"/>
      <c r="E255" s="943"/>
      <c r="F255" s="943"/>
      <c r="G255" s="943"/>
      <c r="H255" s="943"/>
    </row>
    <row r="256" spans="1:8">
      <c r="A256" s="943"/>
      <c r="B256" s="943"/>
      <c r="C256" s="943"/>
      <c r="D256" s="943"/>
      <c r="E256" s="943"/>
      <c r="F256" s="943"/>
      <c r="G256" s="943"/>
      <c r="H256" s="943"/>
    </row>
    <row r="257" spans="1:8">
      <c r="A257" s="944" t="s">
        <v>924</v>
      </c>
      <c r="B257" s="943"/>
      <c r="C257" s="943"/>
      <c r="D257" s="943"/>
      <c r="E257" s="943"/>
      <c r="F257" s="943"/>
      <c r="G257" s="943"/>
      <c r="H257" s="943"/>
    </row>
    <row r="258" spans="1:8">
      <c r="A258" s="944" t="s">
        <v>925</v>
      </c>
      <c r="B258" s="943"/>
      <c r="C258" s="943"/>
      <c r="D258" s="943"/>
      <c r="E258" s="943"/>
      <c r="F258" s="943"/>
      <c r="G258" s="943"/>
      <c r="H258" s="943"/>
    </row>
    <row r="259" spans="1:8">
      <c r="A259" s="944" t="s">
        <v>926</v>
      </c>
      <c r="B259" s="943"/>
      <c r="C259" s="943"/>
      <c r="D259" s="943"/>
      <c r="E259" s="943"/>
      <c r="F259" s="943"/>
      <c r="G259" s="943"/>
      <c r="H259" s="943"/>
    </row>
    <row r="260" spans="1:8">
      <c r="A260" s="944" t="s">
        <v>927</v>
      </c>
      <c r="B260" s="943"/>
      <c r="C260" s="943"/>
      <c r="D260" s="943"/>
      <c r="E260" s="943"/>
      <c r="F260" s="943"/>
      <c r="G260" s="943"/>
      <c r="H260" s="943"/>
    </row>
    <row r="261" spans="1:8">
      <c r="A261" s="944" t="s">
        <v>928</v>
      </c>
      <c r="B261" s="943"/>
      <c r="C261" s="943"/>
      <c r="D261" s="943"/>
      <c r="E261" s="943"/>
      <c r="F261" s="943"/>
      <c r="G261" s="943"/>
      <c r="H261" s="943"/>
    </row>
    <row r="262" spans="1:8">
      <c r="A262" s="944" t="s">
        <v>929</v>
      </c>
      <c r="B262" s="943"/>
      <c r="C262" s="943"/>
      <c r="D262" s="943"/>
      <c r="E262" s="943"/>
      <c r="F262" s="943"/>
      <c r="G262" s="943"/>
      <c r="H262" s="943"/>
    </row>
    <row r="263" spans="1:8">
      <c r="A263" s="944" t="s">
        <v>930</v>
      </c>
      <c r="B263" s="943"/>
      <c r="C263" s="943"/>
      <c r="D263" s="943"/>
      <c r="E263" s="943"/>
      <c r="F263" s="943"/>
      <c r="G263" s="943"/>
      <c r="H263" s="943"/>
    </row>
    <row r="264" spans="1:8">
      <c r="A264" s="944" t="s">
        <v>931</v>
      </c>
      <c r="B264" s="943"/>
      <c r="C264" s="943"/>
      <c r="D264" s="943"/>
      <c r="E264" s="943"/>
      <c r="F264" s="943"/>
      <c r="G264" s="943"/>
      <c r="H264" s="943"/>
    </row>
    <row r="265" spans="1:8">
      <c r="A265" s="944" t="s">
        <v>932</v>
      </c>
      <c r="B265" s="943"/>
      <c r="C265" s="943"/>
      <c r="D265" s="943"/>
      <c r="E265" s="943"/>
      <c r="F265" s="943"/>
      <c r="G265" s="943"/>
      <c r="H265" s="943"/>
    </row>
    <row r="266" spans="1:8">
      <c r="A266" s="944" t="s">
        <v>933</v>
      </c>
      <c r="B266" s="943"/>
      <c r="C266" s="943"/>
      <c r="D266" s="943"/>
      <c r="E266" s="943"/>
      <c r="F266" s="943"/>
      <c r="G266" s="943"/>
      <c r="H266" s="943"/>
    </row>
    <row r="267" spans="1:8">
      <c r="A267" s="944" t="s">
        <v>934</v>
      </c>
      <c r="B267" s="943"/>
      <c r="C267" s="943"/>
      <c r="D267" s="943"/>
      <c r="E267" s="943"/>
      <c r="F267" s="943"/>
      <c r="G267" s="943"/>
      <c r="H267" s="943"/>
    </row>
    <row r="268" spans="1:8">
      <c r="A268" s="944" t="s">
        <v>935</v>
      </c>
      <c r="B268" s="943"/>
      <c r="C268" s="943"/>
      <c r="D268" s="943"/>
      <c r="E268" s="943"/>
      <c r="F268" s="943"/>
      <c r="G268" s="943"/>
      <c r="H268" s="943"/>
    </row>
    <row r="269" spans="1:8">
      <c r="A269" s="944" t="s">
        <v>936</v>
      </c>
      <c r="B269" s="943"/>
      <c r="C269" s="943"/>
      <c r="D269" s="943"/>
      <c r="E269" s="943"/>
      <c r="F269" s="943"/>
      <c r="G269" s="943"/>
      <c r="H269" s="943"/>
    </row>
    <row r="270" spans="1:8">
      <c r="A270" s="944" t="s">
        <v>937</v>
      </c>
      <c r="B270" s="943"/>
      <c r="C270" s="943"/>
      <c r="D270" s="943"/>
      <c r="E270" s="943"/>
      <c r="F270" s="943"/>
      <c r="G270" s="943"/>
      <c r="H270" s="943"/>
    </row>
    <row r="271" spans="1:8">
      <c r="A271" s="944" t="s">
        <v>938</v>
      </c>
      <c r="B271" s="943"/>
      <c r="C271" s="943"/>
      <c r="D271" s="943"/>
      <c r="E271" s="943"/>
      <c r="F271" s="943"/>
      <c r="G271" s="943"/>
      <c r="H271" s="943"/>
    </row>
    <row r="272" spans="1:8">
      <c r="A272" s="944" t="s">
        <v>939</v>
      </c>
      <c r="B272" s="943"/>
      <c r="C272" s="943"/>
      <c r="D272" s="943"/>
      <c r="E272" s="943"/>
      <c r="F272" s="943"/>
      <c r="G272" s="943"/>
      <c r="H272" s="943"/>
    </row>
    <row r="273" spans="1:8">
      <c r="A273" s="943"/>
      <c r="B273" s="943"/>
      <c r="C273" s="943"/>
      <c r="D273" s="943"/>
      <c r="E273" s="943"/>
      <c r="F273" s="943"/>
      <c r="G273" s="943"/>
      <c r="H273" s="943"/>
    </row>
    <row r="274" spans="1:8">
      <c r="A274" s="944" t="s">
        <v>940</v>
      </c>
      <c r="B274" s="943"/>
      <c r="C274" s="943"/>
      <c r="D274" s="943"/>
      <c r="E274" s="943"/>
      <c r="F274" s="943"/>
      <c r="G274" s="943"/>
      <c r="H274" s="943"/>
    </row>
    <row r="275" spans="1:8">
      <c r="A275" s="944" t="s">
        <v>941</v>
      </c>
      <c r="B275" s="943"/>
      <c r="C275" s="943"/>
      <c r="D275" s="943"/>
      <c r="E275" s="943"/>
      <c r="F275" s="943"/>
      <c r="G275" s="943"/>
      <c r="H275" s="943"/>
    </row>
    <row r="276" spans="1:8">
      <c r="A276" s="944" t="s">
        <v>942</v>
      </c>
      <c r="B276" s="943"/>
      <c r="C276" s="943"/>
      <c r="D276" s="943"/>
      <c r="E276" s="943"/>
      <c r="F276" s="943"/>
      <c r="G276" s="943"/>
      <c r="H276" s="943"/>
    </row>
    <row r="277" spans="1:8">
      <c r="A277" s="944" t="s">
        <v>943</v>
      </c>
      <c r="B277" s="943"/>
      <c r="C277" s="943"/>
      <c r="D277" s="943"/>
      <c r="E277" s="943"/>
      <c r="F277" s="943"/>
      <c r="G277" s="943"/>
      <c r="H277" s="943"/>
    </row>
    <row r="278" spans="1:8">
      <c r="A278" s="944" t="s">
        <v>944</v>
      </c>
      <c r="B278" s="943"/>
      <c r="C278" s="943"/>
      <c r="D278" s="943"/>
      <c r="E278" s="943"/>
      <c r="F278" s="943"/>
      <c r="G278" s="943"/>
      <c r="H278" s="943"/>
    </row>
    <row r="279" spans="1:8">
      <c r="A279" s="944" t="s">
        <v>945</v>
      </c>
      <c r="B279" s="943"/>
      <c r="C279" s="943"/>
      <c r="D279" s="943"/>
      <c r="E279" s="943"/>
      <c r="F279" s="943"/>
      <c r="G279" s="943"/>
      <c r="H279" s="943"/>
    </row>
    <row r="280" spans="1:8">
      <c r="A280" s="944" t="s">
        <v>804</v>
      </c>
      <c r="B280" s="943"/>
      <c r="C280" s="943"/>
      <c r="D280" s="943"/>
      <c r="E280" s="943"/>
      <c r="F280" s="943"/>
      <c r="G280" s="943"/>
      <c r="H280" s="943"/>
    </row>
    <row r="281" spans="1:8">
      <c r="A281" s="943"/>
      <c r="B281" s="943"/>
      <c r="C281" s="943"/>
      <c r="D281" s="943"/>
      <c r="E281" s="943"/>
      <c r="F281" s="943"/>
      <c r="G281" s="943"/>
      <c r="H281" s="943"/>
    </row>
    <row r="282" spans="1:8">
      <c r="A282" s="944" t="s">
        <v>946</v>
      </c>
      <c r="B282" s="943"/>
      <c r="C282" s="943"/>
      <c r="D282" s="943"/>
      <c r="E282" s="943"/>
      <c r="F282" s="943"/>
      <c r="G282" s="943"/>
      <c r="H282" s="943"/>
    </row>
    <row r="283" spans="1:8">
      <c r="A283" s="944" t="s">
        <v>947</v>
      </c>
      <c r="B283" s="943"/>
      <c r="C283" s="943"/>
      <c r="D283" s="943"/>
      <c r="E283" s="943"/>
      <c r="F283" s="943"/>
      <c r="G283" s="943"/>
      <c r="H283" s="943"/>
    </row>
    <row r="284" spans="1:8">
      <c r="A284" s="944" t="s">
        <v>948</v>
      </c>
      <c r="B284" s="943"/>
      <c r="C284" s="943"/>
      <c r="D284" s="943"/>
      <c r="E284" s="943"/>
      <c r="F284" s="943"/>
      <c r="G284" s="943"/>
      <c r="H284" s="943"/>
    </row>
    <row r="285" spans="1:8">
      <c r="A285" s="944" t="s">
        <v>949</v>
      </c>
      <c r="B285" s="943"/>
      <c r="C285" s="943"/>
      <c r="D285" s="943"/>
      <c r="E285" s="943"/>
      <c r="F285" s="943"/>
      <c r="G285" s="943"/>
      <c r="H285" s="943"/>
    </row>
    <row r="286" spans="1:8">
      <c r="A286" s="944" t="s">
        <v>950</v>
      </c>
      <c r="B286" s="943"/>
      <c r="C286" s="943"/>
      <c r="D286" s="943"/>
      <c r="E286" s="943"/>
      <c r="F286" s="943"/>
      <c r="G286" s="943"/>
      <c r="H286" s="943"/>
    </row>
    <row r="287" spans="1:8">
      <c r="A287" s="944" t="s">
        <v>951</v>
      </c>
      <c r="B287" s="943"/>
      <c r="C287" s="943"/>
      <c r="D287" s="943"/>
      <c r="E287" s="943"/>
      <c r="F287" s="943"/>
      <c r="G287" s="943"/>
      <c r="H287" s="943"/>
    </row>
    <row r="288" spans="1:8">
      <c r="A288" s="944" t="s">
        <v>952</v>
      </c>
      <c r="B288" s="943"/>
      <c r="C288" s="943"/>
      <c r="D288" s="943"/>
      <c r="E288" s="943"/>
      <c r="F288" s="943"/>
      <c r="G288" s="943"/>
      <c r="H288" s="943"/>
    </row>
    <row r="289" spans="1:8">
      <c r="A289" s="944" t="s">
        <v>953</v>
      </c>
      <c r="B289" s="943"/>
      <c r="C289" s="943"/>
      <c r="D289" s="943"/>
      <c r="E289" s="943"/>
      <c r="F289" s="943"/>
      <c r="G289" s="943"/>
      <c r="H289" s="943"/>
    </row>
    <row r="290" spans="1:8">
      <c r="A290" s="944" t="s">
        <v>954</v>
      </c>
      <c r="B290" s="943"/>
      <c r="C290" s="943"/>
      <c r="D290" s="943"/>
      <c r="E290" s="943"/>
      <c r="F290" s="943"/>
      <c r="G290" s="943"/>
      <c r="H290" s="943"/>
    </row>
    <row r="291" spans="1:8">
      <c r="A291" s="943"/>
      <c r="B291" s="943"/>
      <c r="C291" s="943"/>
      <c r="D291" s="943"/>
      <c r="E291" s="943"/>
      <c r="F291" s="943"/>
      <c r="G291" s="943"/>
      <c r="H291" s="943"/>
    </row>
    <row r="292" spans="1:8">
      <c r="A292" s="944" t="s">
        <v>955</v>
      </c>
      <c r="B292" s="943"/>
      <c r="C292" s="943"/>
      <c r="D292" s="943"/>
      <c r="E292" s="943"/>
      <c r="F292" s="943"/>
      <c r="G292" s="943"/>
      <c r="H292" s="943"/>
    </row>
    <row r="293" spans="1:8">
      <c r="A293" s="944" t="s">
        <v>956</v>
      </c>
      <c r="B293" s="943"/>
      <c r="C293" s="943"/>
      <c r="D293" s="943"/>
      <c r="E293" s="943"/>
      <c r="F293" s="943"/>
      <c r="G293" s="943"/>
      <c r="H293" s="943"/>
    </row>
    <row r="294" spans="1:8">
      <c r="A294" s="944" t="s">
        <v>957</v>
      </c>
      <c r="B294" s="943"/>
      <c r="C294" s="943"/>
      <c r="D294" s="943"/>
      <c r="E294" s="943"/>
      <c r="F294" s="943"/>
      <c r="G294" s="943"/>
      <c r="H294" s="943"/>
    </row>
    <row r="295" spans="1:8">
      <c r="A295" s="944" t="s">
        <v>958</v>
      </c>
      <c r="B295" s="943"/>
      <c r="C295" s="943"/>
      <c r="D295" s="943"/>
      <c r="E295" s="943"/>
      <c r="F295" s="943"/>
      <c r="G295" s="943"/>
      <c r="H295" s="943"/>
    </row>
    <row r="296" spans="1:8">
      <c r="A296" s="944" t="s">
        <v>959</v>
      </c>
      <c r="B296" s="943"/>
      <c r="C296" s="943"/>
      <c r="D296" s="943"/>
      <c r="E296" s="943"/>
      <c r="F296" s="943"/>
      <c r="G296" s="943"/>
      <c r="H296" s="943"/>
    </row>
    <row r="297" spans="1:8">
      <c r="A297" s="944" t="s">
        <v>960</v>
      </c>
      <c r="B297" s="943"/>
      <c r="C297" s="943"/>
      <c r="D297" s="943"/>
      <c r="E297" s="943"/>
      <c r="F297" s="943"/>
      <c r="G297" s="943"/>
      <c r="H297" s="943"/>
    </row>
    <row r="298" spans="1:8">
      <c r="A298" s="944" t="s">
        <v>961</v>
      </c>
      <c r="B298" s="943"/>
      <c r="C298" s="943"/>
      <c r="D298" s="943"/>
      <c r="E298" s="943"/>
      <c r="F298" s="943"/>
      <c r="G298" s="943"/>
      <c r="H298" s="943"/>
    </row>
    <row r="299" spans="1:8">
      <c r="A299" s="943"/>
      <c r="B299" s="943"/>
      <c r="C299" s="943"/>
      <c r="D299" s="943"/>
      <c r="E299" s="943"/>
      <c r="F299" s="943"/>
      <c r="G299" s="943"/>
      <c r="H299" s="943"/>
    </row>
    <row r="300" spans="1:8">
      <c r="A300" s="944" t="s">
        <v>962</v>
      </c>
      <c r="B300" s="943"/>
      <c r="C300" s="943"/>
      <c r="D300" s="943"/>
      <c r="E300" s="943"/>
      <c r="F300" s="943"/>
      <c r="G300" s="943"/>
      <c r="H300" s="943"/>
    </row>
    <row r="301" spans="1:8">
      <c r="A301" s="944" t="s">
        <v>963</v>
      </c>
      <c r="B301" s="943"/>
      <c r="C301" s="943"/>
      <c r="D301" s="943"/>
      <c r="E301" s="943"/>
      <c r="F301" s="943"/>
      <c r="G301" s="943"/>
      <c r="H301" s="943"/>
    </row>
    <row r="302" spans="1:8">
      <c r="A302" s="944" t="s">
        <v>964</v>
      </c>
      <c r="B302" s="943"/>
      <c r="C302" s="943"/>
      <c r="D302" s="943"/>
      <c r="E302" s="943"/>
      <c r="F302" s="943"/>
      <c r="G302" s="943"/>
      <c r="H302" s="943"/>
    </row>
    <row r="303" spans="1:8">
      <c r="A303" s="943"/>
      <c r="B303" s="943"/>
      <c r="C303" s="943"/>
      <c r="D303" s="943"/>
      <c r="E303" s="943"/>
      <c r="F303" s="943"/>
      <c r="G303" s="943"/>
      <c r="H303" s="943"/>
    </row>
    <row r="304" spans="1:8">
      <c r="A304" s="944" t="s">
        <v>965</v>
      </c>
      <c r="B304" s="943"/>
      <c r="C304" s="943"/>
      <c r="D304" s="943"/>
      <c r="E304" s="943"/>
      <c r="F304" s="943"/>
      <c r="G304" s="943"/>
      <c r="H304" s="943"/>
    </row>
    <row r="305" spans="1:8">
      <c r="A305" s="944" t="s">
        <v>966</v>
      </c>
      <c r="B305" s="943"/>
      <c r="C305" s="943"/>
      <c r="D305" s="943"/>
      <c r="E305" s="943"/>
      <c r="F305" s="943"/>
      <c r="G305" s="943"/>
      <c r="H305" s="943"/>
    </row>
    <row r="306" spans="1:8">
      <c r="A306" s="943"/>
      <c r="B306" s="943"/>
      <c r="C306" s="943"/>
      <c r="D306" s="943"/>
      <c r="E306" s="943"/>
      <c r="F306" s="943"/>
      <c r="G306" s="943"/>
      <c r="H306" s="943"/>
    </row>
    <row r="307" spans="1:8">
      <c r="A307" s="944" t="s">
        <v>967</v>
      </c>
      <c r="B307" s="943"/>
      <c r="C307" s="943"/>
      <c r="D307" s="943"/>
      <c r="E307" s="943"/>
      <c r="F307" s="943"/>
      <c r="G307" s="943"/>
      <c r="H307" s="943"/>
    </row>
    <row r="308" spans="1:8">
      <c r="A308" s="944" t="s">
        <v>968</v>
      </c>
      <c r="B308" s="943"/>
      <c r="C308" s="943"/>
      <c r="D308" s="943"/>
      <c r="E308" s="943"/>
      <c r="F308" s="943"/>
      <c r="G308" s="943"/>
      <c r="H308" s="943"/>
    </row>
    <row r="309" spans="1:8">
      <c r="A309" s="944" t="s">
        <v>969</v>
      </c>
      <c r="B309" s="943"/>
      <c r="C309" s="943"/>
      <c r="D309" s="943"/>
      <c r="E309" s="943"/>
      <c r="F309" s="943"/>
      <c r="G309" s="943"/>
      <c r="H309" s="943"/>
    </row>
    <row r="310" spans="1:8">
      <c r="A310" s="944" t="s">
        <v>970</v>
      </c>
      <c r="B310" s="943"/>
      <c r="C310" s="943"/>
      <c r="D310" s="943"/>
      <c r="E310" s="943"/>
      <c r="F310" s="943"/>
      <c r="G310" s="943"/>
      <c r="H310" s="943"/>
    </row>
    <row r="311" spans="1:8">
      <c r="A311" s="944" t="s">
        <v>971</v>
      </c>
      <c r="B311" s="943"/>
      <c r="C311" s="943"/>
      <c r="D311" s="943"/>
      <c r="E311" s="943"/>
      <c r="F311" s="943"/>
      <c r="G311" s="943"/>
      <c r="H311" s="943"/>
    </row>
    <row r="312" spans="1:8">
      <c r="A312" s="944" t="s">
        <v>972</v>
      </c>
      <c r="B312" s="943"/>
      <c r="C312" s="943"/>
      <c r="D312" s="943"/>
      <c r="E312" s="943"/>
      <c r="F312" s="943"/>
      <c r="G312" s="943"/>
      <c r="H312" s="943"/>
    </row>
    <row r="313" spans="1:8">
      <c r="A313" s="944" t="s">
        <v>973</v>
      </c>
      <c r="B313" s="943"/>
      <c r="C313" s="943"/>
      <c r="D313" s="943"/>
      <c r="E313" s="943"/>
      <c r="F313" s="943"/>
      <c r="G313" s="943"/>
      <c r="H313" s="943"/>
    </row>
    <row r="314" spans="1:8">
      <c r="A314" s="944" t="s">
        <v>974</v>
      </c>
      <c r="B314" s="943"/>
      <c r="C314" s="943"/>
      <c r="D314" s="943"/>
      <c r="E314" s="943"/>
      <c r="F314" s="943"/>
      <c r="G314" s="943"/>
      <c r="H314" s="943"/>
    </row>
    <row r="315" spans="1:8">
      <c r="A315" s="944" t="s">
        <v>975</v>
      </c>
      <c r="B315" s="943"/>
      <c r="C315" s="943"/>
      <c r="D315" s="943"/>
      <c r="E315" s="943"/>
      <c r="F315" s="943"/>
      <c r="G315" s="943"/>
      <c r="H315" s="943"/>
    </row>
    <row r="316" spans="1:8">
      <c r="A316" s="944" t="s">
        <v>976</v>
      </c>
      <c r="B316" s="943"/>
      <c r="C316" s="943"/>
      <c r="D316" s="943"/>
      <c r="E316" s="943"/>
      <c r="F316" s="943"/>
      <c r="G316" s="943"/>
      <c r="H316" s="943"/>
    </row>
    <row r="317" spans="1:8">
      <c r="A317" s="944" t="s">
        <v>977</v>
      </c>
      <c r="B317" s="943"/>
      <c r="C317" s="943"/>
      <c r="D317" s="943"/>
      <c r="E317" s="943"/>
      <c r="F317" s="943"/>
      <c r="G317" s="943"/>
      <c r="H317" s="943"/>
    </row>
    <row r="318" spans="1:8">
      <c r="A318" s="944" t="s">
        <v>978</v>
      </c>
      <c r="B318" s="943"/>
      <c r="C318" s="943"/>
      <c r="D318" s="943"/>
      <c r="E318" s="943"/>
      <c r="F318" s="943"/>
      <c r="G318" s="943"/>
      <c r="H318" s="943"/>
    </row>
    <row r="319" spans="1:8">
      <c r="A319" s="944" t="s">
        <v>979</v>
      </c>
      <c r="B319" s="943"/>
      <c r="C319" s="943"/>
      <c r="D319" s="943"/>
      <c r="E319" s="943"/>
      <c r="F319" s="943"/>
      <c r="G319" s="943"/>
      <c r="H319" s="943"/>
    </row>
    <row r="320" spans="1:8">
      <c r="A320" s="943"/>
      <c r="B320" s="943"/>
      <c r="C320" s="943"/>
      <c r="D320" s="943"/>
      <c r="E320" s="943"/>
      <c r="F320" s="943"/>
      <c r="G320" s="943"/>
      <c r="H320" s="943"/>
    </row>
    <row r="321" spans="1:8">
      <c r="A321" s="944" t="s">
        <v>980</v>
      </c>
      <c r="B321" s="943"/>
      <c r="C321" s="943"/>
      <c r="D321" s="943"/>
      <c r="E321" s="943"/>
      <c r="F321" s="943"/>
      <c r="G321" s="943"/>
      <c r="H321" s="943"/>
    </row>
    <row r="322" spans="1:8">
      <c r="A322" s="944" t="s">
        <v>981</v>
      </c>
      <c r="B322" s="943"/>
      <c r="C322" s="943"/>
      <c r="D322" s="943"/>
      <c r="E322" s="943"/>
      <c r="F322" s="943"/>
      <c r="G322" s="943"/>
      <c r="H322" s="943"/>
    </row>
    <row r="323" spans="1:8">
      <c r="A323" s="943"/>
      <c r="B323" s="943"/>
      <c r="C323" s="943"/>
      <c r="D323" s="943"/>
      <c r="E323" s="943"/>
      <c r="F323" s="943"/>
      <c r="G323" s="943"/>
      <c r="H323" s="943"/>
    </row>
    <row r="324" spans="1:8">
      <c r="A324" s="944" t="s">
        <v>982</v>
      </c>
      <c r="B324" s="943"/>
      <c r="C324" s="943"/>
      <c r="D324" s="943"/>
      <c r="E324" s="943"/>
      <c r="F324" s="943"/>
      <c r="G324" s="943"/>
      <c r="H324" s="943"/>
    </row>
    <row r="325" spans="1:8">
      <c r="A325" s="944" t="s">
        <v>983</v>
      </c>
      <c r="B325" s="943"/>
      <c r="C325" s="943"/>
      <c r="D325" s="943"/>
      <c r="E325" s="943"/>
      <c r="F325" s="943"/>
      <c r="G325" s="943"/>
      <c r="H325" s="943"/>
    </row>
    <row r="326" spans="1:8">
      <c r="A326" s="944" t="s">
        <v>984</v>
      </c>
      <c r="B326" s="943"/>
      <c r="C326" s="943"/>
      <c r="D326" s="943"/>
      <c r="E326" s="943"/>
      <c r="F326" s="943"/>
      <c r="G326" s="943"/>
      <c r="H326" s="943"/>
    </row>
    <row r="327" spans="1:8">
      <c r="A327" s="944" t="s">
        <v>985</v>
      </c>
      <c r="B327" s="943"/>
      <c r="C327" s="943"/>
      <c r="D327" s="943"/>
      <c r="E327" s="943"/>
      <c r="F327" s="943"/>
      <c r="G327" s="943"/>
      <c r="H327" s="943"/>
    </row>
    <row r="328" spans="1:8">
      <c r="A328" s="944" t="s">
        <v>986</v>
      </c>
      <c r="B328" s="943"/>
      <c r="C328" s="943"/>
      <c r="D328" s="943"/>
      <c r="E328" s="943"/>
      <c r="F328" s="943"/>
      <c r="G328" s="943"/>
      <c r="H328" s="943"/>
    </row>
    <row r="329" spans="1:8">
      <c r="A329" s="944" t="s">
        <v>987</v>
      </c>
      <c r="B329" s="943"/>
      <c r="C329" s="943"/>
      <c r="D329" s="943"/>
      <c r="E329" s="943"/>
      <c r="F329" s="943"/>
      <c r="G329" s="943"/>
      <c r="H329" s="943"/>
    </row>
    <row r="330" spans="1:8">
      <c r="A330" s="944" t="s">
        <v>988</v>
      </c>
      <c r="B330" s="943"/>
      <c r="C330" s="943"/>
      <c r="D330" s="943"/>
      <c r="E330" s="943"/>
      <c r="F330" s="943"/>
      <c r="G330" s="943"/>
      <c r="H330" s="943"/>
    </row>
    <row r="331" spans="1:8">
      <c r="A331" s="944" t="s">
        <v>989</v>
      </c>
      <c r="B331" s="943"/>
      <c r="C331" s="943"/>
      <c r="D331" s="943"/>
      <c r="E331" s="943"/>
      <c r="F331" s="943"/>
      <c r="G331" s="943"/>
      <c r="H331" s="943"/>
    </row>
    <row r="332" spans="1:8">
      <c r="A332" s="943"/>
      <c r="B332" s="943"/>
      <c r="C332" s="943"/>
      <c r="D332" s="943"/>
      <c r="E332" s="943"/>
      <c r="F332" s="943"/>
      <c r="G332" s="943"/>
      <c r="H332" s="943"/>
    </row>
    <row r="333" spans="1:8">
      <c r="A333" s="944" t="s">
        <v>990</v>
      </c>
      <c r="B333" s="943"/>
      <c r="C333" s="943"/>
      <c r="D333" s="943"/>
      <c r="E333" s="943"/>
      <c r="F333" s="943"/>
      <c r="G333" s="943"/>
      <c r="H333" s="943"/>
    </row>
    <row r="334" spans="1:8">
      <c r="A334" s="944" t="s">
        <v>991</v>
      </c>
      <c r="B334" s="943"/>
      <c r="C334" s="943"/>
      <c r="D334" s="943"/>
      <c r="E334" s="943"/>
      <c r="F334" s="943"/>
      <c r="G334" s="943"/>
      <c r="H334" s="943"/>
    </row>
    <row r="335" spans="1:8">
      <c r="A335" s="944" t="s">
        <v>992</v>
      </c>
      <c r="B335" s="943"/>
      <c r="C335" s="943"/>
      <c r="D335" s="943"/>
      <c r="E335" s="943"/>
      <c r="F335" s="943"/>
      <c r="G335" s="943"/>
      <c r="H335" s="943"/>
    </row>
    <row r="336" spans="1:8">
      <c r="A336" s="944" t="s">
        <v>993</v>
      </c>
      <c r="B336" s="943"/>
      <c r="C336" s="943"/>
      <c r="D336" s="943"/>
      <c r="E336" s="943"/>
      <c r="F336" s="943"/>
      <c r="G336" s="943"/>
      <c r="H336" s="943"/>
    </row>
    <row r="337" spans="1:8">
      <c r="A337" s="944" t="s">
        <v>994</v>
      </c>
      <c r="B337" s="943"/>
      <c r="C337" s="943"/>
      <c r="D337" s="943"/>
      <c r="E337" s="943"/>
      <c r="F337" s="943"/>
      <c r="G337" s="943"/>
      <c r="H337" s="943"/>
    </row>
    <row r="338" spans="1:8">
      <c r="A338" s="944" t="s">
        <v>995</v>
      </c>
      <c r="B338" s="943"/>
      <c r="C338" s="943"/>
      <c r="D338" s="943"/>
      <c r="E338" s="943"/>
      <c r="F338" s="943"/>
      <c r="G338" s="943"/>
      <c r="H338" s="943"/>
    </row>
    <row r="339" spans="1:8">
      <c r="A339" s="944" t="s">
        <v>996</v>
      </c>
      <c r="B339" s="943"/>
      <c r="C339" s="943"/>
      <c r="D339" s="943"/>
      <c r="E339" s="943"/>
      <c r="F339" s="943"/>
      <c r="G339" s="943"/>
      <c r="H339" s="943"/>
    </row>
    <row r="340" spans="1:8">
      <c r="A340" s="944" t="s">
        <v>997</v>
      </c>
      <c r="B340" s="943"/>
      <c r="C340" s="943"/>
      <c r="D340" s="943"/>
      <c r="E340" s="943"/>
      <c r="F340" s="943"/>
      <c r="G340" s="943"/>
      <c r="H340" s="943"/>
    </row>
    <row r="341" spans="1:8">
      <c r="A341" s="944" t="s">
        <v>998</v>
      </c>
      <c r="B341" s="943"/>
      <c r="C341" s="943"/>
      <c r="D341" s="943"/>
      <c r="E341" s="943"/>
      <c r="F341" s="943"/>
      <c r="G341" s="943"/>
      <c r="H341" s="943"/>
    </row>
    <row r="342" spans="1:8">
      <c r="A342" s="944" t="s">
        <v>999</v>
      </c>
      <c r="B342" s="943"/>
      <c r="C342" s="943"/>
      <c r="D342" s="943"/>
      <c r="E342" s="943"/>
      <c r="F342" s="943"/>
      <c r="G342" s="943"/>
      <c r="H342" s="943"/>
    </row>
    <row r="343" spans="1:8">
      <c r="A343" s="944" t="s">
        <v>1000</v>
      </c>
      <c r="B343" s="943"/>
      <c r="C343" s="943"/>
      <c r="D343" s="943"/>
      <c r="E343" s="943"/>
      <c r="F343" s="943"/>
      <c r="G343" s="943"/>
      <c r="H343" s="943"/>
    </row>
    <row r="344" spans="1:8">
      <c r="A344" s="944" t="s">
        <v>1001</v>
      </c>
      <c r="B344" s="943"/>
      <c r="C344" s="943"/>
      <c r="D344" s="943"/>
      <c r="E344" s="943"/>
      <c r="F344" s="943"/>
      <c r="G344" s="943"/>
      <c r="H344" s="943"/>
    </row>
    <row r="345" spans="1:8">
      <c r="A345" s="944" t="s">
        <v>1002</v>
      </c>
      <c r="B345" s="943"/>
      <c r="C345" s="943"/>
      <c r="D345" s="943"/>
      <c r="E345" s="943"/>
      <c r="F345" s="943"/>
      <c r="G345" s="943"/>
      <c r="H345" s="943"/>
    </row>
    <row r="346" spans="1:8">
      <c r="A346" s="944" t="s">
        <v>1003</v>
      </c>
      <c r="B346" s="943"/>
      <c r="C346" s="943"/>
      <c r="D346" s="943"/>
      <c r="E346" s="943"/>
      <c r="F346" s="943"/>
      <c r="G346" s="943"/>
      <c r="H346" s="943"/>
    </row>
    <row r="347" spans="1:8">
      <c r="A347" s="944" t="s">
        <v>1004</v>
      </c>
      <c r="B347" s="943"/>
      <c r="C347" s="943"/>
      <c r="D347" s="943"/>
      <c r="E347" s="943"/>
      <c r="F347" s="943"/>
      <c r="G347" s="943"/>
      <c r="H347" s="943"/>
    </row>
    <row r="348" spans="1:8">
      <c r="A348" s="944" t="s">
        <v>1005</v>
      </c>
      <c r="B348" s="943"/>
      <c r="C348" s="943"/>
      <c r="D348" s="943"/>
      <c r="E348" s="943"/>
      <c r="F348" s="943"/>
      <c r="G348" s="943"/>
      <c r="H348" s="943"/>
    </row>
    <row r="349" spans="1:8">
      <c r="A349" s="944" t="s">
        <v>1006</v>
      </c>
      <c r="B349" s="943"/>
      <c r="C349" s="943"/>
      <c r="D349" s="943"/>
      <c r="E349" s="943"/>
      <c r="F349" s="943"/>
      <c r="G349" s="943"/>
      <c r="H349" s="943"/>
    </row>
    <row r="350" spans="1:8">
      <c r="A350" s="944" t="s">
        <v>1007</v>
      </c>
      <c r="B350" s="943"/>
      <c r="C350" s="943"/>
      <c r="D350" s="943"/>
      <c r="E350" s="943"/>
      <c r="F350" s="943"/>
      <c r="G350" s="943"/>
      <c r="H350" s="943"/>
    </row>
    <row r="351" spans="1:8">
      <c r="A351" s="944" t="s">
        <v>1008</v>
      </c>
      <c r="B351" s="943"/>
      <c r="C351" s="943"/>
      <c r="D351" s="943"/>
      <c r="E351" s="943"/>
      <c r="F351" s="943"/>
      <c r="G351" s="943"/>
      <c r="H351" s="943"/>
    </row>
    <row r="352" spans="1:8">
      <c r="A352" s="944" t="s">
        <v>1009</v>
      </c>
      <c r="B352" s="943"/>
      <c r="C352" s="943"/>
      <c r="D352" s="943"/>
      <c r="E352" s="943"/>
      <c r="F352" s="943"/>
      <c r="G352" s="943"/>
      <c r="H352" s="943"/>
    </row>
    <row r="353" spans="1:8">
      <c r="A353" s="944" t="s">
        <v>1010</v>
      </c>
      <c r="B353" s="943"/>
      <c r="C353" s="943"/>
      <c r="D353" s="943"/>
      <c r="E353" s="943"/>
      <c r="F353" s="943"/>
      <c r="G353" s="943"/>
      <c r="H353" s="943"/>
    </row>
    <row r="354" spans="1:8">
      <c r="A354" s="944" t="s">
        <v>1011</v>
      </c>
      <c r="B354" s="943"/>
      <c r="C354" s="943"/>
      <c r="D354" s="943"/>
      <c r="E354" s="943"/>
      <c r="F354" s="943"/>
      <c r="G354" s="943"/>
      <c r="H354" s="943"/>
    </row>
    <row r="355" spans="1:8">
      <c r="A355" s="944" t="s">
        <v>1012</v>
      </c>
      <c r="B355" s="943"/>
      <c r="C355" s="943"/>
      <c r="D355" s="943"/>
      <c r="E355" s="943"/>
      <c r="F355" s="943"/>
      <c r="G355" s="943"/>
      <c r="H355" s="943"/>
    </row>
    <row r="356" spans="1:8">
      <c r="A356" s="944" t="s">
        <v>1013</v>
      </c>
      <c r="B356" s="943"/>
      <c r="C356" s="943"/>
      <c r="D356" s="943"/>
      <c r="E356" s="943"/>
      <c r="F356" s="943"/>
      <c r="G356" s="943"/>
      <c r="H356" s="943"/>
    </row>
    <row r="357" spans="1:8">
      <c r="A357" s="944" t="s">
        <v>1014</v>
      </c>
      <c r="B357" s="943"/>
      <c r="C357" s="943"/>
      <c r="D357" s="943"/>
      <c r="E357" s="943"/>
      <c r="F357" s="943"/>
      <c r="G357" s="943"/>
      <c r="H357" s="943"/>
    </row>
    <row r="358" spans="1:8">
      <c r="A358" s="944" t="s">
        <v>1015</v>
      </c>
      <c r="B358" s="943"/>
      <c r="C358" s="943"/>
      <c r="D358" s="943"/>
      <c r="E358" s="943"/>
      <c r="F358" s="943"/>
      <c r="G358" s="943"/>
      <c r="H358" s="943"/>
    </row>
    <row r="359" spans="1:8">
      <c r="A359" s="944" t="s">
        <v>1016</v>
      </c>
      <c r="B359" s="943"/>
      <c r="C359" s="943"/>
      <c r="D359" s="943"/>
      <c r="E359" s="943"/>
      <c r="F359" s="943"/>
      <c r="G359" s="943"/>
      <c r="H359" s="943"/>
    </row>
    <row r="360" spans="1:8">
      <c r="A360" s="944" t="s">
        <v>1017</v>
      </c>
      <c r="B360" s="943"/>
      <c r="C360" s="943"/>
      <c r="D360" s="943"/>
      <c r="E360" s="943"/>
      <c r="F360" s="943"/>
      <c r="G360" s="943"/>
      <c r="H360" s="943"/>
    </row>
    <row r="361" spans="1:8">
      <c r="A361" s="944" t="s">
        <v>1018</v>
      </c>
      <c r="B361" s="943"/>
      <c r="C361" s="943"/>
      <c r="D361" s="943"/>
      <c r="E361" s="943"/>
      <c r="F361" s="943"/>
      <c r="G361" s="943"/>
      <c r="H361" s="943"/>
    </row>
    <row r="362" spans="1:8">
      <c r="A362" s="944" t="s">
        <v>1019</v>
      </c>
      <c r="B362" s="943"/>
      <c r="C362" s="943"/>
      <c r="D362" s="943"/>
      <c r="E362" s="943"/>
      <c r="F362" s="943"/>
      <c r="G362" s="943"/>
      <c r="H362" s="943"/>
    </row>
    <row r="363" spans="1:8">
      <c r="A363" s="944" t="s">
        <v>1020</v>
      </c>
      <c r="B363" s="943"/>
      <c r="C363" s="943"/>
      <c r="D363" s="943"/>
      <c r="E363" s="943"/>
      <c r="F363" s="943"/>
      <c r="G363" s="943"/>
      <c r="H363" s="943"/>
    </row>
    <row r="364" spans="1:8">
      <c r="A364" s="944" t="s">
        <v>1021</v>
      </c>
      <c r="B364" s="943"/>
      <c r="C364" s="943"/>
      <c r="D364" s="943"/>
      <c r="E364" s="943"/>
      <c r="F364" s="943"/>
      <c r="G364" s="943"/>
      <c r="H364" s="943"/>
    </row>
    <row r="365" spans="1:8">
      <c r="A365" s="944" t="s">
        <v>1022</v>
      </c>
      <c r="B365" s="943"/>
      <c r="C365" s="943"/>
      <c r="D365" s="943"/>
      <c r="E365" s="943"/>
      <c r="F365" s="943"/>
      <c r="G365" s="943"/>
      <c r="H365" s="943"/>
    </row>
    <row r="366" spans="1:8">
      <c r="A366" s="944" t="s">
        <v>1023</v>
      </c>
      <c r="B366" s="943"/>
      <c r="C366" s="943"/>
      <c r="D366" s="943"/>
      <c r="E366" s="943"/>
      <c r="F366" s="943"/>
      <c r="G366" s="943"/>
      <c r="H366" s="943"/>
    </row>
    <row r="367" spans="1:8">
      <c r="A367" s="944" t="s">
        <v>1024</v>
      </c>
      <c r="B367" s="943"/>
      <c r="C367" s="943"/>
      <c r="D367" s="943"/>
      <c r="E367" s="943"/>
      <c r="F367" s="943"/>
      <c r="G367" s="943"/>
      <c r="H367" s="943"/>
    </row>
    <row r="368" spans="1:8">
      <c r="A368" s="944" t="s">
        <v>1025</v>
      </c>
      <c r="B368" s="943"/>
      <c r="C368" s="943"/>
      <c r="D368" s="943"/>
      <c r="E368" s="943"/>
      <c r="F368" s="943"/>
      <c r="G368" s="943"/>
      <c r="H368" s="943"/>
    </row>
    <row r="369" spans="1:8">
      <c r="A369" s="944" t="s">
        <v>1026</v>
      </c>
      <c r="B369" s="943"/>
      <c r="C369" s="943"/>
      <c r="D369" s="943"/>
      <c r="E369" s="943"/>
      <c r="F369" s="943"/>
      <c r="G369" s="943"/>
      <c r="H369" s="943"/>
    </row>
    <row r="370" spans="1:8">
      <c r="A370" s="944" t="s">
        <v>1027</v>
      </c>
      <c r="B370" s="943"/>
      <c r="C370" s="943"/>
      <c r="D370" s="943"/>
      <c r="E370" s="943"/>
      <c r="F370" s="943"/>
      <c r="G370" s="943"/>
      <c r="H370" s="943"/>
    </row>
    <row r="371" spans="1:8">
      <c r="A371" s="944" t="s">
        <v>1028</v>
      </c>
      <c r="B371" s="943"/>
      <c r="C371" s="943"/>
      <c r="D371" s="943"/>
      <c r="E371" s="943"/>
      <c r="F371" s="943"/>
      <c r="G371" s="943"/>
      <c r="H371" s="943"/>
    </row>
    <row r="372" spans="1:8">
      <c r="A372" s="944" t="s">
        <v>1029</v>
      </c>
      <c r="B372" s="943"/>
      <c r="C372" s="943"/>
      <c r="D372" s="943"/>
      <c r="E372" s="943"/>
      <c r="F372" s="943"/>
      <c r="G372" s="943"/>
      <c r="H372" s="943"/>
    </row>
    <row r="373" spans="1:8">
      <c r="A373" s="944" t="s">
        <v>1030</v>
      </c>
      <c r="B373" s="943"/>
      <c r="C373" s="943"/>
      <c r="D373" s="943"/>
      <c r="E373" s="943"/>
      <c r="F373" s="943"/>
      <c r="G373" s="943"/>
      <c r="H373" s="943"/>
    </row>
    <row r="374" spans="1:8">
      <c r="A374" s="944" t="s">
        <v>1031</v>
      </c>
      <c r="B374" s="943"/>
      <c r="C374" s="943"/>
      <c r="D374" s="943"/>
      <c r="E374" s="943"/>
      <c r="F374" s="943"/>
      <c r="G374" s="943"/>
      <c r="H374" s="943"/>
    </row>
    <row r="375" spans="1:8">
      <c r="A375" s="944" t="s">
        <v>1032</v>
      </c>
      <c r="B375" s="943"/>
      <c r="C375" s="943"/>
      <c r="D375" s="943"/>
      <c r="E375" s="943"/>
      <c r="F375" s="943"/>
      <c r="G375" s="943"/>
      <c r="H375" s="943"/>
    </row>
    <row r="376" spans="1:8">
      <c r="A376" s="944" t="s">
        <v>1033</v>
      </c>
      <c r="B376" s="943"/>
      <c r="C376" s="943"/>
      <c r="D376" s="943"/>
      <c r="E376" s="943"/>
      <c r="F376" s="943"/>
      <c r="G376" s="943"/>
      <c r="H376" s="943"/>
    </row>
    <row r="377" spans="1:8">
      <c r="A377" s="944" t="s">
        <v>1034</v>
      </c>
      <c r="B377" s="943"/>
      <c r="C377" s="943"/>
      <c r="D377" s="943"/>
      <c r="E377" s="943"/>
      <c r="F377" s="943"/>
      <c r="G377" s="943"/>
      <c r="H377" s="943"/>
    </row>
    <row r="378" spans="1:8">
      <c r="A378" s="944" t="s">
        <v>1035</v>
      </c>
      <c r="B378" s="943"/>
      <c r="C378" s="943"/>
      <c r="D378" s="943"/>
      <c r="E378" s="943"/>
      <c r="F378" s="943"/>
      <c r="G378" s="943"/>
      <c r="H378" s="943"/>
    </row>
    <row r="379" spans="1:8">
      <c r="A379" s="943"/>
      <c r="B379" s="943"/>
      <c r="C379" s="943"/>
      <c r="D379" s="943"/>
      <c r="E379" s="943"/>
      <c r="F379" s="943"/>
      <c r="G379" s="943"/>
      <c r="H379" s="943"/>
    </row>
    <row r="380" spans="1:8">
      <c r="A380" s="944" t="s">
        <v>1036</v>
      </c>
      <c r="B380" s="943"/>
      <c r="C380" s="943"/>
      <c r="D380" s="943"/>
      <c r="E380" s="943"/>
      <c r="F380" s="943"/>
      <c r="G380" s="943"/>
      <c r="H380" s="943"/>
    </row>
    <row r="381" spans="1:8">
      <c r="A381" s="944" t="s">
        <v>1037</v>
      </c>
      <c r="B381" s="943"/>
      <c r="C381" s="943"/>
      <c r="D381" s="943"/>
      <c r="E381" s="943"/>
      <c r="F381" s="943"/>
      <c r="G381" s="943"/>
      <c r="H381" s="943"/>
    </row>
    <row r="382" spans="1:8">
      <c r="A382" s="944" t="s">
        <v>1038</v>
      </c>
      <c r="B382" s="943"/>
      <c r="C382" s="943"/>
      <c r="D382" s="943"/>
      <c r="E382" s="943"/>
      <c r="F382" s="943"/>
      <c r="G382" s="943"/>
      <c r="H382" s="943"/>
    </row>
    <row r="383" spans="1:8">
      <c r="A383" s="944" t="s">
        <v>1039</v>
      </c>
      <c r="B383" s="943"/>
      <c r="C383" s="943"/>
      <c r="D383" s="943"/>
      <c r="E383" s="943"/>
      <c r="F383" s="943"/>
      <c r="G383" s="943"/>
      <c r="H383" s="943"/>
    </row>
    <row r="384" spans="1:8">
      <c r="A384" s="944" t="s">
        <v>1040</v>
      </c>
      <c r="B384" s="943"/>
      <c r="C384" s="943"/>
      <c r="D384" s="943"/>
      <c r="E384" s="943"/>
      <c r="F384" s="943"/>
      <c r="G384" s="943"/>
      <c r="H384" s="943"/>
    </row>
    <row r="385" spans="1:8">
      <c r="A385" s="944" t="s">
        <v>1041</v>
      </c>
      <c r="B385" s="943"/>
      <c r="C385" s="943"/>
      <c r="D385" s="943"/>
      <c r="E385" s="943"/>
      <c r="F385" s="943"/>
      <c r="G385" s="943"/>
      <c r="H385" s="943"/>
    </row>
    <row r="386" spans="1:8">
      <c r="A386" s="944" t="s">
        <v>1042</v>
      </c>
      <c r="B386" s="943"/>
      <c r="C386" s="943"/>
      <c r="D386" s="943"/>
      <c r="E386" s="943"/>
      <c r="F386" s="943"/>
      <c r="G386" s="943"/>
      <c r="H386" s="943"/>
    </row>
    <row r="387" spans="1:8">
      <c r="A387" s="944" t="s">
        <v>1043</v>
      </c>
      <c r="B387" s="943"/>
      <c r="C387" s="943"/>
      <c r="D387" s="943"/>
      <c r="E387" s="943"/>
      <c r="F387" s="943"/>
      <c r="G387" s="943"/>
      <c r="H387" s="943"/>
    </row>
    <row r="388" spans="1:8">
      <c r="A388" s="943"/>
      <c r="B388" s="943"/>
      <c r="C388" s="943"/>
      <c r="D388" s="943"/>
      <c r="E388" s="943"/>
      <c r="F388" s="943"/>
      <c r="G388" s="943"/>
      <c r="H388" s="943"/>
    </row>
    <row r="389" spans="1:8">
      <c r="A389" s="944" t="s">
        <v>1036</v>
      </c>
      <c r="B389" s="943"/>
      <c r="C389" s="943"/>
      <c r="D389" s="943"/>
      <c r="E389" s="943"/>
      <c r="F389" s="943"/>
      <c r="G389" s="943"/>
      <c r="H389" s="943"/>
    </row>
    <row r="390" spans="1:8">
      <c r="A390" s="944" t="s">
        <v>1044</v>
      </c>
      <c r="B390" s="943"/>
      <c r="C390" s="943"/>
      <c r="D390" s="943"/>
      <c r="E390" s="943"/>
      <c r="F390" s="943"/>
      <c r="G390" s="943"/>
      <c r="H390" s="943"/>
    </row>
    <row r="391" spans="1:8">
      <c r="A391" s="944" t="s">
        <v>1045</v>
      </c>
      <c r="B391" s="943"/>
      <c r="C391" s="943"/>
      <c r="D391" s="943"/>
      <c r="E391" s="943"/>
      <c r="F391" s="943"/>
      <c r="G391" s="943"/>
      <c r="H391" s="943"/>
    </row>
    <row r="392" spans="1:8">
      <c r="A392" s="944" t="s">
        <v>1046</v>
      </c>
      <c r="B392" s="943"/>
      <c r="C392" s="943"/>
      <c r="D392" s="943"/>
      <c r="E392" s="943"/>
      <c r="F392" s="943"/>
      <c r="G392" s="943"/>
      <c r="H392" s="943"/>
    </row>
    <row r="393" spans="1:8">
      <c r="A393" s="943"/>
      <c r="B393" s="943"/>
      <c r="C393" s="943"/>
      <c r="D393" s="943"/>
      <c r="E393" s="943"/>
      <c r="F393" s="943"/>
      <c r="G393" s="943"/>
      <c r="H393" s="943"/>
    </row>
    <row r="394" spans="1:8">
      <c r="A394" s="944" t="s">
        <v>1047</v>
      </c>
      <c r="B394" s="943"/>
      <c r="C394" s="943"/>
      <c r="D394" s="943"/>
      <c r="E394" s="943"/>
      <c r="F394" s="943"/>
      <c r="G394" s="943"/>
      <c r="H394" s="943"/>
    </row>
    <row r="395" spans="1:8">
      <c r="A395" s="944" t="s">
        <v>1048</v>
      </c>
      <c r="B395" s="943"/>
      <c r="C395" s="943"/>
      <c r="D395" s="943"/>
      <c r="E395" s="943"/>
      <c r="F395" s="943"/>
      <c r="G395" s="943"/>
      <c r="H395" s="943"/>
    </row>
    <row r="396" spans="1:8">
      <c r="A396" s="944" t="s">
        <v>1049</v>
      </c>
      <c r="B396" s="943"/>
      <c r="C396" s="943"/>
      <c r="D396" s="943"/>
      <c r="E396" s="943"/>
      <c r="F396" s="943"/>
      <c r="G396" s="943"/>
      <c r="H396" s="943"/>
    </row>
    <row r="397" spans="1:8">
      <c r="A397" s="944" t="s">
        <v>1050</v>
      </c>
      <c r="B397" s="943"/>
      <c r="C397" s="943"/>
      <c r="D397" s="943"/>
      <c r="E397" s="943"/>
      <c r="F397" s="943"/>
      <c r="G397" s="943"/>
      <c r="H397" s="943"/>
    </row>
    <row r="398" spans="1:8">
      <c r="A398" s="944" t="s">
        <v>1051</v>
      </c>
      <c r="B398" s="943"/>
      <c r="C398" s="943"/>
      <c r="D398" s="943"/>
      <c r="E398" s="943"/>
      <c r="F398" s="943"/>
      <c r="G398" s="943"/>
      <c r="H398" s="943"/>
    </row>
    <row r="399" spans="1:8">
      <c r="A399" s="944" t="s">
        <v>1052</v>
      </c>
      <c r="B399" s="943"/>
      <c r="C399" s="943"/>
      <c r="D399" s="943"/>
      <c r="E399" s="943"/>
      <c r="F399" s="943"/>
      <c r="G399" s="943"/>
      <c r="H399" s="943"/>
    </row>
    <row r="400" spans="1:8">
      <c r="A400" s="943"/>
      <c r="B400" s="943"/>
      <c r="C400" s="943"/>
      <c r="D400" s="943"/>
      <c r="E400" s="943"/>
      <c r="F400" s="943"/>
      <c r="G400" s="943"/>
      <c r="H400" s="943"/>
    </row>
    <row r="401" spans="1:8">
      <c r="A401" s="944" t="s">
        <v>1053</v>
      </c>
      <c r="B401" s="943"/>
      <c r="C401" s="943"/>
      <c r="D401" s="943"/>
      <c r="E401" s="943"/>
      <c r="F401" s="943"/>
      <c r="G401" s="943"/>
      <c r="H401" s="943"/>
    </row>
    <row r="402" spans="1:8">
      <c r="A402" s="944" t="s">
        <v>1054</v>
      </c>
      <c r="B402" s="943"/>
      <c r="C402" s="943"/>
      <c r="D402" s="943"/>
      <c r="E402" s="943"/>
      <c r="F402" s="943"/>
      <c r="G402" s="943"/>
      <c r="H402" s="943"/>
    </row>
    <row r="403" spans="1:8">
      <c r="A403" s="944" t="s">
        <v>1055</v>
      </c>
      <c r="B403" s="943"/>
      <c r="C403" s="943"/>
      <c r="D403" s="943"/>
      <c r="E403" s="943"/>
      <c r="F403" s="943"/>
      <c r="G403" s="943"/>
      <c r="H403" s="943"/>
    </row>
    <row r="404" spans="1:8">
      <c r="A404" s="944" t="s">
        <v>1056</v>
      </c>
      <c r="B404" s="943"/>
      <c r="C404" s="943"/>
      <c r="D404" s="943"/>
      <c r="E404" s="943"/>
      <c r="F404" s="943"/>
      <c r="G404" s="943"/>
      <c r="H404" s="943"/>
    </row>
    <row r="405" spans="1:8">
      <c r="A405" s="944" t="s">
        <v>1057</v>
      </c>
      <c r="B405" s="943"/>
      <c r="C405" s="943"/>
      <c r="D405" s="943"/>
      <c r="E405" s="943"/>
      <c r="F405" s="943"/>
      <c r="G405" s="943"/>
      <c r="H405" s="943"/>
    </row>
    <row r="406" spans="1:8">
      <c r="A406" s="943"/>
      <c r="B406" s="943"/>
      <c r="C406" s="943"/>
      <c r="D406" s="943"/>
      <c r="E406" s="943"/>
      <c r="F406" s="943"/>
      <c r="G406" s="943"/>
      <c r="H406" s="943"/>
    </row>
    <row r="407" spans="1:8">
      <c r="A407" s="944" t="s">
        <v>1058</v>
      </c>
      <c r="B407" s="943"/>
      <c r="C407" s="943"/>
      <c r="D407" s="943"/>
      <c r="E407" s="943"/>
      <c r="F407" s="943"/>
      <c r="G407" s="943"/>
      <c r="H407" s="943"/>
    </row>
    <row r="408" spans="1:8">
      <c r="A408" s="944" t="s">
        <v>1059</v>
      </c>
      <c r="B408" s="943"/>
      <c r="C408" s="943"/>
      <c r="D408" s="943"/>
      <c r="E408" s="943"/>
      <c r="F408" s="943"/>
      <c r="G408" s="943"/>
      <c r="H408" s="943"/>
    </row>
    <row r="409" spans="1:8">
      <c r="A409" s="943"/>
      <c r="B409" s="943"/>
      <c r="C409" s="943"/>
      <c r="D409" s="943"/>
      <c r="E409" s="943"/>
      <c r="F409" s="943"/>
      <c r="G409" s="943"/>
      <c r="H409" s="943"/>
    </row>
    <row r="410" spans="1:8">
      <c r="A410" s="944" t="s">
        <v>1060</v>
      </c>
      <c r="B410" s="943"/>
      <c r="C410" s="943"/>
      <c r="D410" s="943"/>
      <c r="E410" s="943"/>
      <c r="F410" s="943"/>
      <c r="G410" s="943"/>
      <c r="H410" s="943"/>
    </row>
    <row r="411" spans="1:8">
      <c r="A411" s="944" t="s">
        <v>1061</v>
      </c>
      <c r="B411" s="943"/>
      <c r="C411" s="943"/>
      <c r="D411" s="943"/>
      <c r="E411" s="943"/>
      <c r="F411" s="943"/>
      <c r="G411" s="943"/>
      <c r="H411" s="943"/>
    </row>
    <row r="412" spans="1:8">
      <c r="A412" s="943"/>
      <c r="B412" s="943"/>
      <c r="C412" s="943"/>
      <c r="D412" s="943"/>
      <c r="E412" s="943"/>
      <c r="F412" s="943"/>
      <c r="G412" s="943"/>
      <c r="H412" s="943"/>
    </row>
    <row r="413" spans="1:8">
      <c r="A413" s="944" t="s">
        <v>1062</v>
      </c>
      <c r="B413" s="943"/>
      <c r="C413" s="943"/>
      <c r="D413" s="943"/>
      <c r="E413" s="943"/>
      <c r="F413" s="943"/>
      <c r="G413" s="943"/>
      <c r="H413" s="943"/>
    </row>
    <row r="414" spans="1:8">
      <c r="A414" s="944" t="s">
        <v>1063</v>
      </c>
      <c r="B414" s="943"/>
      <c r="C414" s="943"/>
      <c r="D414" s="943"/>
      <c r="E414" s="943"/>
      <c r="F414" s="943"/>
      <c r="G414" s="943"/>
      <c r="H414" s="943"/>
    </row>
    <row r="415" spans="1:8">
      <c r="A415" s="944" t="s">
        <v>1064</v>
      </c>
      <c r="B415" s="943"/>
      <c r="C415" s="943"/>
      <c r="D415" s="943"/>
      <c r="E415" s="943"/>
      <c r="F415" s="943"/>
      <c r="G415" s="943"/>
      <c r="H415" s="943"/>
    </row>
    <row r="416" spans="1:8">
      <c r="A416" s="944" t="s">
        <v>1065</v>
      </c>
      <c r="B416" s="943"/>
      <c r="C416" s="943"/>
      <c r="D416" s="943"/>
      <c r="E416" s="943"/>
      <c r="F416" s="943"/>
      <c r="G416" s="943"/>
      <c r="H416" s="943"/>
    </row>
    <row r="417" spans="1:8">
      <c r="A417" s="943"/>
      <c r="B417" s="943"/>
      <c r="C417" s="943"/>
      <c r="D417" s="943"/>
      <c r="E417" s="943"/>
      <c r="F417" s="943"/>
      <c r="G417" s="943"/>
      <c r="H417" s="943"/>
    </row>
    <row r="418" spans="1:8">
      <c r="A418" s="944" t="s">
        <v>1066</v>
      </c>
      <c r="B418" s="943"/>
      <c r="C418" s="943"/>
      <c r="D418" s="943"/>
      <c r="E418" s="943"/>
      <c r="F418" s="943"/>
      <c r="G418" s="943"/>
      <c r="H418" s="943"/>
    </row>
    <row r="419" spans="1:8">
      <c r="A419" s="944" t="s">
        <v>1067</v>
      </c>
      <c r="B419" s="943"/>
      <c r="C419" s="943"/>
      <c r="D419" s="943"/>
      <c r="E419" s="943"/>
      <c r="F419" s="943"/>
      <c r="G419" s="943"/>
      <c r="H419" s="943"/>
    </row>
    <row r="420" spans="1:8">
      <c r="A420" s="943"/>
      <c r="B420" s="943"/>
      <c r="C420" s="943"/>
      <c r="D420" s="943"/>
      <c r="E420" s="943"/>
      <c r="F420" s="943"/>
      <c r="G420" s="943"/>
      <c r="H420" s="943"/>
    </row>
    <row r="421" spans="1:8">
      <c r="A421" s="944" t="s">
        <v>1068</v>
      </c>
      <c r="B421" s="943"/>
      <c r="C421" s="943"/>
      <c r="D421" s="943"/>
      <c r="E421" s="943"/>
      <c r="F421" s="943"/>
      <c r="G421" s="943"/>
      <c r="H421" s="943"/>
    </row>
    <row r="422" spans="1:8">
      <c r="A422" s="944" t="s">
        <v>1069</v>
      </c>
      <c r="B422" s="943"/>
      <c r="C422" s="943"/>
      <c r="D422" s="943"/>
      <c r="E422" s="943"/>
      <c r="F422" s="943"/>
      <c r="G422" s="943"/>
      <c r="H422" s="943"/>
    </row>
    <row r="423" spans="1:8">
      <c r="A423" s="944" t="s">
        <v>1070</v>
      </c>
      <c r="B423" s="943"/>
      <c r="C423" s="943"/>
      <c r="D423" s="943"/>
      <c r="E423" s="943"/>
      <c r="F423" s="943"/>
      <c r="G423" s="943"/>
      <c r="H423" s="943"/>
    </row>
    <row r="424" spans="1:8">
      <c r="A424" s="944" t="s">
        <v>1071</v>
      </c>
      <c r="B424" s="943"/>
      <c r="C424" s="943"/>
      <c r="D424" s="943"/>
      <c r="E424" s="943"/>
      <c r="F424" s="943"/>
      <c r="G424" s="943"/>
      <c r="H424" s="943"/>
    </row>
    <row r="426" spans="1:8">
      <c r="A426" s="948" t="s">
        <v>1072</v>
      </c>
    </row>
  </sheetData>
  <mergeCells count="3">
    <mergeCell ref="B126:C126"/>
    <mergeCell ref="D126:F126"/>
    <mergeCell ref="G126:H1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33CCCC"/>
    <pageSetUpPr fitToPage="1"/>
  </sheetPr>
  <dimension ref="A1:DF89"/>
  <sheetViews>
    <sheetView showGridLines="0" zoomScale="70" zoomScaleNormal="70" workbookViewId="0">
      <selection activeCell="CL34" sqref="CL34"/>
    </sheetView>
  </sheetViews>
  <sheetFormatPr defaultColWidth="9.109375" defaultRowHeight="13.8" outlineLevelRow="1" outlineLevelCol="2"/>
  <cols>
    <col min="1" max="1" width="20.109375" style="3" customWidth="1"/>
    <col min="2" max="2" width="47.6640625" style="3" customWidth="1"/>
    <col min="3" max="5" width="8.33203125" style="3" hidden="1" customWidth="1" outlineLevel="1"/>
    <col min="6" max="6" width="8.33203125" style="3" hidden="1" customWidth="1" outlineLevel="1" collapsed="1"/>
    <col min="7" max="7" width="8.33203125" style="3" hidden="1" customWidth="1" outlineLevel="1"/>
    <col min="8" max="8" width="8.33203125" style="3" hidden="1" customWidth="1" outlineLevel="1" collapsed="1"/>
    <col min="9" max="9" width="8.33203125" style="3" hidden="1" customWidth="1" outlineLevel="1"/>
    <col min="10" max="10" width="9.33203125" style="3" hidden="1" customWidth="1" outlineLevel="1" collapsed="1"/>
    <col min="11" max="11" width="8.33203125" style="3" hidden="1" customWidth="1" outlineLevel="1"/>
    <col min="12" max="12" width="8.33203125" style="3" hidden="1" customWidth="1" outlineLevel="1" collapsed="1"/>
    <col min="13" max="13" width="8.33203125" style="3" hidden="1" customWidth="1" outlineLevel="1"/>
    <col min="14" max="14" width="8.33203125" style="3" hidden="1" customWidth="1" outlineLevel="1" collapsed="1"/>
    <col min="15" max="15" width="8.33203125" style="3" hidden="1" customWidth="1" outlineLevel="1"/>
    <col min="16" max="16" width="8.33203125" style="3" hidden="1" customWidth="1" outlineLevel="1" collapsed="1"/>
    <col min="17" max="17" width="8.33203125" style="3" hidden="1" customWidth="1" outlineLevel="1"/>
    <col min="18" max="18" width="8.33203125" style="3" hidden="1" customWidth="1" outlineLevel="1" collapsed="1"/>
    <col min="19" max="19" width="8.33203125" style="3" hidden="1" customWidth="1" outlineLevel="2"/>
    <col min="20" max="20" width="8.33203125" style="3" hidden="1" customWidth="1" outlineLevel="2" collapsed="1"/>
    <col min="21" max="21" width="8.33203125" style="3" hidden="1" customWidth="1" outlineLevel="2"/>
    <col min="22" max="22" width="8.33203125" style="3" hidden="1" customWidth="1" outlineLevel="1" collapsed="1"/>
    <col min="23" max="23" width="8.33203125" style="3" hidden="1" customWidth="1" outlineLevel="1"/>
    <col min="24" max="24" width="8.109375" style="3" hidden="1" customWidth="1" outlineLevel="1" collapsed="1"/>
    <col min="25" max="25" width="8.109375" style="3" hidden="1" customWidth="1" outlineLevel="1"/>
    <col min="26" max="26" width="8.33203125" style="3" customWidth="1" collapsed="1"/>
    <col min="27" max="27" width="8.33203125" style="3" hidden="1" customWidth="1" outlineLevel="1"/>
    <col min="28" max="28" width="8.33203125" style="3" customWidth="1" collapsed="1"/>
    <col min="29" max="30" width="8.33203125" style="3" customWidth="1"/>
    <col min="31" max="31" width="8.33203125" style="3" hidden="1" customWidth="1" outlineLevel="2"/>
    <col min="32" max="32" width="8.33203125" style="3" customWidth="1" outlineLevel="1" collapsed="1"/>
    <col min="33" max="33" width="6.44140625" style="3" customWidth="1" outlineLevel="1"/>
    <col min="34" max="34" width="8.33203125" style="3" customWidth="1"/>
    <col min="35" max="37" width="8.33203125" style="3" hidden="1" customWidth="1" outlineLevel="2"/>
    <col min="38" max="38" width="8.33203125" style="3" customWidth="1" collapsed="1"/>
    <col min="39" max="41" width="8.33203125" style="3" hidden="1" customWidth="1" outlineLevel="2"/>
    <col min="42" max="42" width="8.33203125" style="3" customWidth="1" collapsed="1"/>
    <col min="43" max="45" width="8.33203125" style="3" hidden="1" customWidth="1" outlineLevel="2"/>
    <col min="46" max="46" width="8.33203125" style="3" hidden="1" customWidth="1" outlineLevel="1"/>
    <col min="47" max="49" width="8.33203125" style="3" hidden="1" customWidth="1" outlineLevel="2"/>
    <col min="50" max="50" width="8.33203125" style="3" hidden="1" customWidth="1" outlineLevel="1"/>
    <col min="51" max="53" width="8.33203125" style="3" hidden="1" customWidth="1" outlineLevel="2"/>
    <col min="54" max="54" width="8.33203125" style="3" hidden="1" customWidth="1" outlineLevel="1"/>
    <col min="55" max="57" width="8.33203125" style="3" hidden="1" customWidth="1" outlineLevel="2"/>
    <col min="58" max="58" width="8.33203125" style="3" hidden="1" customWidth="1" outlineLevel="1"/>
    <col min="59" max="59" width="8.33203125" style="3" hidden="1" customWidth="1" outlineLevel="2"/>
    <col min="60" max="60" width="8.33203125" style="3" hidden="1" customWidth="1" outlineLevel="1"/>
    <col min="61" max="61" width="1.88671875" style="3" customWidth="1" collapsed="1"/>
    <col min="62" max="62" width="39.6640625" style="3" customWidth="1"/>
    <col min="63" max="65" width="8.33203125" style="3" hidden="1" customWidth="1" outlineLevel="1"/>
    <col min="66" max="66" width="9.33203125" style="3" hidden="1" customWidth="1" outlineLevel="1" collapsed="1"/>
    <col min="67" max="69" width="8.33203125" style="3" hidden="1" customWidth="1" outlineLevel="1"/>
    <col min="70" max="70" width="8.33203125" style="3" hidden="1" customWidth="1" outlineLevel="1" collapsed="1"/>
    <col min="71" max="73" width="8.33203125" style="3" hidden="1" customWidth="1" outlineLevel="1"/>
    <col min="74" max="74" width="8.33203125" style="3" hidden="1" customWidth="1" outlineLevel="1" collapsed="1"/>
    <col min="75" max="77" width="8.33203125" style="3" hidden="1" customWidth="1" outlineLevel="2"/>
    <col min="78" max="78" width="8.33203125" style="3" hidden="1" customWidth="1" outlineLevel="1" collapsed="1"/>
    <col min="79" max="79" width="8.33203125" style="3" hidden="1" customWidth="1" outlineLevel="2"/>
    <col min="80" max="80" width="8.33203125" style="3" hidden="1" customWidth="1" outlineLevel="1" collapsed="1"/>
    <col min="81" max="81" width="8.33203125" style="3" hidden="1" customWidth="1" outlineLevel="1"/>
    <col min="82" max="82" width="8.33203125" style="3" customWidth="1" collapsed="1"/>
    <col min="83" max="83" width="8.33203125" style="3" hidden="1" customWidth="1" outlineLevel="1"/>
    <col min="84" max="84" width="8.33203125" style="3" hidden="1" customWidth="1" outlineLevel="1" collapsed="1"/>
    <col min="85" max="85" width="8.33203125" style="3" hidden="1" customWidth="1" outlineLevel="1"/>
    <col min="86" max="86" width="8.33203125" style="3" customWidth="1" collapsed="1"/>
    <col min="87" max="87" width="8.33203125" style="3" hidden="1" customWidth="1" outlineLevel="1"/>
    <col min="88" max="88" width="8.33203125" style="3" customWidth="1" collapsed="1"/>
    <col min="89" max="90" width="8.33203125" style="3" customWidth="1"/>
    <col min="91" max="93" width="8.33203125" style="3" hidden="1" customWidth="1" outlineLevel="2"/>
    <col min="94" max="94" width="8.33203125" style="3" customWidth="1" collapsed="1"/>
    <col min="95" max="97" width="8.33203125" style="3" hidden="1" customWidth="1" outlineLevel="2"/>
    <col min="98" max="98" width="8.33203125" style="3" customWidth="1" collapsed="1"/>
    <col min="99" max="101" width="8.33203125" style="3" hidden="1" customWidth="1" outlineLevel="2"/>
    <col min="102" max="102" width="8.33203125" style="3" hidden="1" customWidth="1" outlineLevel="1"/>
    <col min="103" max="103" width="9.109375" style="3" collapsed="1"/>
    <col min="104" max="104" width="17" style="3" customWidth="1"/>
    <col min="105" max="16384" width="9.109375" style="3"/>
  </cols>
  <sheetData>
    <row r="1" spans="1:109" ht="14.4">
      <c r="A1" s="857"/>
      <c r="B1" s="1"/>
      <c r="C1" s="84"/>
      <c r="D1" s="84"/>
      <c r="E1" s="84"/>
      <c r="F1" s="85"/>
    </row>
    <row r="2" spans="1:109" ht="16.2" thickBot="1">
      <c r="A2" s="650" t="s">
        <v>599</v>
      </c>
      <c r="B2" s="1"/>
      <c r="F2" s="126"/>
    </row>
    <row r="3" spans="1:109" ht="15.6">
      <c r="A3" s="651">
        <f>SOTP!$F$66</f>
        <v>45</v>
      </c>
      <c r="B3" s="1"/>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J3" s="4"/>
      <c r="CZ3" s="5" t="s">
        <v>43</v>
      </c>
      <c r="DA3" s="283">
        <v>38.1</v>
      </c>
      <c r="DC3" s="938">
        <f>+$DA$3*1.3</f>
        <v>49.53</v>
      </c>
      <c r="DE3" s="938">
        <f>+$DA$3*1.402</f>
        <v>53.416199999999996</v>
      </c>
    </row>
    <row r="4" spans="1:109" ht="24" thickBot="1">
      <c r="B4" s="294" t="s">
        <v>398</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6"/>
      <c r="BJ4" s="124"/>
      <c r="BK4" s="125"/>
      <c r="BL4" s="125"/>
      <c r="BM4" s="125"/>
      <c r="BN4" s="124"/>
      <c r="BO4" s="8"/>
      <c r="BP4" s="8"/>
      <c r="BQ4" s="8"/>
      <c r="BR4" s="124"/>
      <c r="BS4" s="8"/>
      <c r="BT4" s="8"/>
      <c r="BU4" s="8"/>
      <c r="BV4" s="124"/>
      <c r="BW4" s="8"/>
      <c r="BX4" s="8"/>
      <c r="BY4" s="8"/>
      <c r="BZ4" s="125"/>
      <c r="CA4" s="125"/>
      <c r="CB4" s="125"/>
      <c r="CC4" s="125"/>
      <c r="CD4" s="125"/>
      <c r="CE4" s="125"/>
      <c r="CF4" s="125"/>
      <c r="CG4" s="125"/>
      <c r="CH4" s="125"/>
      <c r="CI4" s="125"/>
      <c r="CJ4" s="125"/>
      <c r="CK4" s="125"/>
      <c r="CL4" s="125"/>
      <c r="CM4" s="125"/>
      <c r="CN4" s="125"/>
      <c r="CO4" s="125"/>
      <c r="CP4" s="125"/>
      <c r="CQ4" s="125"/>
      <c r="CR4" s="125"/>
      <c r="CS4" s="125"/>
      <c r="CT4" s="125"/>
      <c r="CU4" s="8"/>
      <c r="CV4" s="8"/>
      <c r="CW4" s="8"/>
      <c r="CX4" s="305"/>
      <c r="CZ4" s="9"/>
      <c r="DA4" s="10"/>
      <c r="DC4" s="1"/>
    </row>
    <row r="5" spans="1:109" ht="18">
      <c r="B5" s="11"/>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3"/>
      <c r="BJ5" s="14"/>
      <c r="BK5" s="15"/>
      <c r="BL5" s="15"/>
      <c r="BM5" s="15"/>
      <c r="BO5" s="15"/>
      <c r="BP5" s="15"/>
      <c r="BQ5" s="15"/>
      <c r="BS5" s="15"/>
      <c r="BT5" s="15"/>
      <c r="BU5" s="15"/>
      <c r="BW5" s="15"/>
      <c r="BX5" s="15"/>
      <c r="BY5" s="15"/>
      <c r="BZ5" s="16"/>
      <c r="CA5" s="16"/>
      <c r="CB5" s="16"/>
      <c r="CC5" s="16"/>
      <c r="CD5" s="16"/>
      <c r="CE5" s="16"/>
      <c r="CF5" s="16"/>
      <c r="CG5" s="16"/>
      <c r="CH5" s="16"/>
      <c r="CI5" s="15"/>
      <c r="CJ5" s="15"/>
      <c r="CK5" s="15"/>
      <c r="CL5" s="306"/>
      <c r="CM5" s="15"/>
      <c r="CN5" s="15"/>
      <c r="CO5" s="15"/>
      <c r="CP5" s="306"/>
      <c r="CQ5" s="15"/>
      <c r="CR5" s="15"/>
      <c r="CS5" s="15"/>
      <c r="CT5" s="306"/>
      <c r="CU5" s="15"/>
      <c r="CV5" s="15"/>
      <c r="CW5" s="15"/>
      <c r="CX5" s="306"/>
      <c r="CZ5" s="17" t="s">
        <v>94</v>
      </c>
      <c r="DA5" s="18">
        <f>+A3/DA3-1</f>
        <v>0.18110236220472431</v>
      </c>
    </row>
    <row r="6" spans="1:109" ht="17.100000000000001" customHeight="1">
      <c r="B6" s="19" t="s">
        <v>142</v>
      </c>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1"/>
      <c r="BJ6" s="22" t="s">
        <v>44</v>
      </c>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row>
    <row r="7" spans="1:109" ht="17.100000000000001" customHeight="1">
      <c r="A7" s="824"/>
      <c r="B7" s="40" t="s">
        <v>45</v>
      </c>
      <c r="C7" s="41"/>
      <c r="D7" s="41" t="str">
        <f>'P&amp;L'!P7</f>
        <v>1H19</v>
      </c>
      <c r="E7" s="41" t="str">
        <f>'P&amp;L'!Q7</f>
        <v>2H19</v>
      </c>
      <c r="F7" s="41" t="str">
        <f>'P&amp;L'!R7</f>
        <v>FY19</v>
      </c>
      <c r="G7" s="41"/>
      <c r="H7" s="42" t="str">
        <f>'P&amp;L'!T7</f>
        <v>1H20</v>
      </c>
      <c r="I7" s="42" t="str">
        <f>'P&amp;L'!U7</f>
        <v>2H20</v>
      </c>
      <c r="J7" s="41" t="str">
        <f>'P&amp;L'!V7</f>
        <v>FY20</v>
      </c>
      <c r="K7" s="43"/>
      <c r="L7" s="42" t="str">
        <f>'P&amp;L'!X7</f>
        <v>1H21</v>
      </c>
      <c r="M7" s="42" t="str">
        <f>'P&amp;L'!Y7</f>
        <v>2H21</v>
      </c>
      <c r="N7" s="41" t="str">
        <f>'P&amp;L'!Z7</f>
        <v>FY21</v>
      </c>
      <c r="O7" s="43"/>
      <c r="P7" s="42" t="str">
        <f>'P&amp;L'!AB7</f>
        <v>1H22</v>
      </c>
      <c r="Q7" s="42" t="str">
        <f>'P&amp;L'!AC7</f>
        <v>2H22</v>
      </c>
      <c r="R7" s="41" t="str">
        <f>'P&amp;L'!AD7</f>
        <v>FY22</v>
      </c>
      <c r="S7" s="43"/>
      <c r="T7" s="42" t="str">
        <f>'P&amp;L'!AF7</f>
        <v>1H23</v>
      </c>
      <c r="U7" s="42" t="str">
        <f>'P&amp;L'!AG7</f>
        <v>2H23</v>
      </c>
      <c r="V7" s="41" t="str">
        <f>'P&amp;L'!AH7</f>
        <v>FY23</v>
      </c>
      <c r="W7" s="43"/>
      <c r="X7" s="42" t="str">
        <f>'P&amp;L'!AJ7</f>
        <v>1H24</v>
      </c>
      <c r="Y7" s="42" t="str">
        <f>'P&amp;L'!AK7</f>
        <v>2H24</v>
      </c>
      <c r="Z7" s="41" t="str">
        <f>'P&amp;L'!AL7</f>
        <v>FY24</v>
      </c>
      <c r="AA7" s="43"/>
      <c r="AB7" s="42" t="str">
        <f>'P&amp;L'!AN7</f>
        <v>1H25</v>
      </c>
      <c r="AC7" s="42" t="str">
        <f>'P&amp;L'!AO7</f>
        <v>2H25</v>
      </c>
      <c r="AD7" s="41" t="str">
        <f>'P&amp;L'!AP7</f>
        <v>FY25</v>
      </c>
      <c r="AE7" s="43"/>
      <c r="AF7" s="42" t="str">
        <f>'P&amp;L'!AR7</f>
        <v>1H26E</v>
      </c>
      <c r="AG7" s="42" t="str">
        <f>'P&amp;L'!AS7</f>
        <v>2H26E</v>
      </c>
      <c r="AH7" s="41" t="str">
        <f>'P&amp;L'!AT7</f>
        <v>FY26E</v>
      </c>
      <c r="AI7" s="43"/>
      <c r="AJ7" s="42" t="str">
        <f>'P&amp;L'!AV7</f>
        <v>1H27E</v>
      </c>
      <c r="AK7" s="42" t="str">
        <f>'P&amp;L'!AW7</f>
        <v>2H27E</v>
      </c>
      <c r="AL7" s="41" t="str">
        <f>'P&amp;L'!AX7</f>
        <v>FY27E</v>
      </c>
      <c r="AM7" s="43"/>
      <c r="AN7" s="42" t="str">
        <f>'P&amp;L'!AZ7</f>
        <v>1H28E</v>
      </c>
      <c r="AO7" s="42" t="str">
        <f>'P&amp;L'!BA7</f>
        <v>2H28E</v>
      </c>
      <c r="AP7" s="41" t="str">
        <f>'P&amp;L'!BB7</f>
        <v>FY28E</v>
      </c>
      <c r="AQ7" s="43"/>
      <c r="AR7" s="42" t="str">
        <f>'P&amp;L'!BD7</f>
        <v>1H29E</v>
      </c>
      <c r="AS7" s="42" t="str">
        <f>'P&amp;L'!BE7</f>
        <v>2H29E</v>
      </c>
      <c r="AT7" s="41" t="str">
        <f>'P&amp;L'!BF7</f>
        <v>FY29E</v>
      </c>
      <c r="AU7" s="43"/>
      <c r="AV7" s="42" t="str">
        <f>'P&amp;L'!BH7</f>
        <v>1H30E</v>
      </c>
      <c r="AW7" s="42" t="str">
        <f>'P&amp;L'!BI7</f>
        <v>2H30E</v>
      </c>
      <c r="AX7" s="41" t="str">
        <f>'P&amp;L'!BJ7</f>
        <v>FY30E</v>
      </c>
      <c r="AY7" s="43"/>
      <c r="AZ7" s="42" t="str">
        <f>'P&amp;L'!BL7</f>
        <v>1H31E</v>
      </c>
      <c r="BA7" s="42" t="str">
        <f>'P&amp;L'!BM7</f>
        <v>2H31E</v>
      </c>
      <c r="BB7" s="41" t="str">
        <f>'P&amp;L'!BN7</f>
        <v>FY31E</v>
      </c>
      <c r="BC7" s="43"/>
      <c r="BD7" s="42" t="str">
        <f>'P&amp;L'!BP7</f>
        <v>1H32E</v>
      </c>
      <c r="BE7" s="42" t="str">
        <f>'P&amp;L'!BQ7</f>
        <v>2H32E</v>
      </c>
      <c r="BF7" s="41" t="str">
        <f>'P&amp;L'!BR7</f>
        <v>FY32E</v>
      </c>
      <c r="BG7" s="43"/>
      <c r="BH7" s="43"/>
      <c r="BI7" s="44"/>
      <c r="BJ7" s="45" t="s">
        <v>45</v>
      </c>
      <c r="BK7" s="43"/>
      <c r="BL7" s="41" t="str">
        <f>H7</f>
        <v>1H20</v>
      </c>
      <c r="BM7" s="41" t="str">
        <f>I7</f>
        <v>2H20</v>
      </c>
      <c r="BN7" s="41" t="str">
        <f>J7</f>
        <v>FY20</v>
      </c>
      <c r="BO7" s="43"/>
      <c r="BP7" s="41" t="str">
        <f>L7</f>
        <v>1H21</v>
      </c>
      <c r="BQ7" s="41" t="str">
        <f>M7</f>
        <v>2H21</v>
      </c>
      <c r="BR7" s="41" t="str">
        <f>N7</f>
        <v>FY21</v>
      </c>
      <c r="BS7" s="43"/>
      <c r="BT7" s="41" t="str">
        <f>P7</f>
        <v>1H22</v>
      </c>
      <c r="BU7" s="41" t="str">
        <f>Q7</f>
        <v>2H22</v>
      </c>
      <c r="BV7" s="41" t="str">
        <f>R7</f>
        <v>FY22</v>
      </c>
      <c r="BW7" s="41"/>
      <c r="BX7" s="41" t="str">
        <f>T7</f>
        <v>1H23</v>
      </c>
      <c r="BY7" s="41" t="str">
        <f>U7</f>
        <v>2H23</v>
      </c>
      <c r="BZ7" s="41" t="str">
        <f>V7</f>
        <v>FY23</v>
      </c>
      <c r="CA7" s="43"/>
      <c r="CB7" s="42" t="str">
        <f>X7</f>
        <v>1H24</v>
      </c>
      <c r="CC7" s="42" t="str">
        <f>Y7</f>
        <v>2H24</v>
      </c>
      <c r="CD7" s="41" t="str">
        <f>Z7</f>
        <v>FY24</v>
      </c>
      <c r="CE7" s="43"/>
      <c r="CF7" s="42" t="str">
        <f>AB7</f>
        <v>1H25</v>
      </c>
      <c r="CG7" s="42" t="str">
        <f>AC7</f>
        <v>2H25</v>
      </c>
      <c r="CH7" s="41" t="str">
        <f>AD7</f>
        <v>FY25</v>
      </c>
      <c r="CI7" s="43"/>
      <c r="CJ7" s="42" t="str">
        <f>AF7</f>
        <v>1H26E</v>
      </c>
      <c r="CK7" s="42" t="str">
        <f>AG7</f>
        <v>2H26E</v>
      </c>
      <c r="CL7" s="41" t="str">
        <f>AH7</f>
        <v>FY26E</v>
      </c>
      <c r="CM7" s="43"/>
      <c r="CN7" s="41" t="str">
        <f>AJ7</f>
        <v>1H27E</v>
      </c>
      <c r="CO7" s="41" t="str">
        <f>AK7</f>
        <v>2H27E</v>
      </c>
      <c r="CP7" s="41" t="str">
        <f>AL7</f>
        <v>FY27E</v>
      </c>
      <c r="CQ7" s="43"/>
      <c r="CR7" s="41" t="str">
        <f>AN7</f>
        <v>1H28E</v>
      </c>
      <c r="CS7" s="41" t="str">
        <f>AO7</f>
        <v>2H28E</v>
      </c>
      <c r="CT7" s="41" t="str">
        <f>AP7</f>
        <v>FY28E</v>
      </c>
      <c r="CU7" s="43"/>
      <c r="CV7" s="41" t="str">
        <f>AR7</f>
        <v>1H29E</v>
      </c>
      <c r="CW7" s="41" t="str">
        <f>AS7</f>
        <v>2H29E</v>
      </c>
      <c r="CX7" s="41" t="str">
        <f>AT7</f>
        <v>FY29E</v>
      </c>
      <c r="CY7" s="46"/>
      <c r="CZ7" s="277" t="s">
        <v>706</v>
      </c>
      <c r="DC7" s="935" t="s">
        <v>732</v>
      </c>
      <c r="DE7" s="935" t="s">
        <v>733</v>
      </c>
    </row>
    <row r="8" spans="1:109" ht="17.100000000000001" customHeight="1">
      <c r="B8" s="52" t="s">
        <v>176</v>
      </c>
      <c r="C8" s="48"/>
      <c r="D8" s="53">
        <f>'P&amp;L'!P221</f>
        <v>188.00000000000003</v>
      </c>
      <c r="E8" s="53">
        <f>'P&amp;L'!Q221</f>
        <v>190.3</v>
      </c>
      <c r="F8" s="53">
        <f>'P&amp;L'!R221</f>
        <v>378.3</v>
      </c>
      <c r="G8" s="48"/>
      <c r="H8" s="53">
        <f>'P&amp;L'!T221</f>
        <v>188.00000000000003</v>
      </c>
      <c r="I8" s="53">
        <f>'P&amp;L'!U221</f>
        <v>206.89999999999998</v>
      </c>
      <c r="J8" s="53">
        <f>'P&amp;L'!V221</f>
        <v>394.9</v>
      </c>
      <c r="K8" s="48"/>
      <c r="L8" s="53">
        <f>'P&amp;L'!X221</f>
        <v>205.5</v>
      </c>
      <c r="M8" s="53">
        <f>'P&amp;L'!Y221</f>
        <v>223.7</v>
      </c>
      <c r="N8" s="53">
        <f>'P&amp;L'!Z221</f>
        <v>429.2</v>
      </c>
      <c r="O8" s="48"/>
      <c r="P8" s="53">
        <f>'P&amp;L'!AB221</f>
        <v>219</v>
      </c>
      <c r="Q8" s="53">
        <f>'P&amp;L'!AC221</f>
        <v>238.2</v>
      </c>
      <c r="R8" s="53">
        <f>'P&amp;L'!AD221</f>
        <v>457.2</v>
      </c>
      <c r="S8" s="48"/>
      <c r="T8" s="53">
        <f>'P&amp;L'!AF221</f>
        <v>249.70000000000002</v>
      </c>
      <c r="U8" s="53">
        <f>'P&amp;L'!AG221</f>
        <v>269.97999999999996</v>
      </c>
      <c r="V8" s="53">
        <f>'P&amp;L'!AH221</f>
        <v>519.68000000000006</v>
      </c>
      <c r="W8" s="48"/>
      <c r="X8" s="53">
        <f>'P&amp;L'!AJ221</f>
        <v>274.8</v>
      </c>
      <c r="Y8" s="53">
        <f>'P&amp;L'!AK221</f>
        <v>288.86899999999997</v>
      </c>
      <c r="Z8" s="53">
        <f>'P&amp;L'!AL221</f>
        <v>563.66899999999998</v>
      </c>
      <c r="AA8" s="48"/>
      <c r="AB8" s="53">
        <f>'P&amp;L'!AN221</f>
        <v>302.60000000000002</v>
      </c>
      <c r="AC8" s="53">
        <f>'P&amp;L'!AO221</f>
        <v>308.50000000000006</v>
      </c>
      <c r="AD8" s="53">
        <f>'P&amp;L'!AP221</f>
        <v>611.1</v>
      </c>
      <c r="AE8" s="53">
        <f>'P&amp;L'!AQ221</f>
        <v>0</v>
      </c>
      <c r="AF8" s="53">
        <f>'P&amp;L'!AR221</f>
        <v>314.46284700000001</v>
      </c>
      <c r="AG8" s="53">
        <f>'P&amp;L'!AS221</f>
        <v>318.60910903225817</v>
      </c>
      <c r="AH8" s="53">
        <f>'P&amp;L'!AT221</f>
        <v>633.07195603225819</v>
      </c>
      <c r="AI8" s="53">
        <f>'P&amp;L'!AU221</f>
        <v>0</v>
      </c>
      <c r="AJ8" s="53">
        <f>'P&amp;L'!AV221</f>
        <v>324.34080604736846</v>
      </c>
      <c r="AK8" s="53">
        <f>'P&amp;L'!AW221</f>
        <v>329.19935517176918</v>
      </c>
      <c r="AL8" s="53">
        <f>'P&amp;L'!AX221</f>
        <v>653.54016121913764</v>
      </c>
      <c r="AM8" s="53">
        <f>'P&amp;L'!AY221</f>
        <v>0</v>
      </c>
      <c r="AN8" s="53">
        <f>'P&amp;L'!AZ221</f>
        <v>334.6882825884382</v>
      </c>
      <c r="AO8" s="53">
        <f>'P&amp;L'!BA221</f>
        <v>340.29847607583503</v>
      </c>
      <c r="AP8" s="53">
        <f>'P&amp;L'!BB221</f>
        <v>674.98675866427322</v>
      </c>
      <c r="AQ8" s="48"/>
      <c r="AR8" s="53">
        <f>'P&amp;L'!BD221</f>
        <v>345.48044168133544</v>
      </c>
      <c r="AS8" s="53">
        <f>'P&amp;L'!BE221</f>
        <v>351.88223608801377</v>
      </c>
      <c r="AT8" s="53">
        <f>'P&amp;L'!BF221</f>
        <v>697.36267776934915</v>
      </c>
      <c r="AU8" s="48"/>
      <c r="AV8" s="53">
        <f>'P&amp;L'!BH221</f>
        <v>356.73806362814707</v>
      </c>
      <c r="AW8" s="53">
        <f>'P&amp;L'!BI221</f>
        <v>363.97346082496915</v>
      </c>
      <c r="AX8" s="53">
        <f>'P&amp;L'!BJ221</f>
        <v>720.71152445311623</v>
      </c>
      <c r="AY8" s="48"/>
      <c r="AZ8" s="53">
        <f>'P&amp;L'!BL221</f>
        <v>368.48293866955413</v>
      </c>
      <c r="BA8" s="53">
        <f>'P&amp;L'!BM221</f>
        <v>376.5960890574234</v>
      </c>
      <c r="BB8" s="53">
        <f>'P&amp;L'!BN221</f>
        <v>745.07902772697753</v>
      </c>
      <c r="BC8" s="48"/>
      <c r="BD8" s="53">
        <f>'P&amp;L'!BP221</f>
        <v>380.7379169002316</v>
      </c>
      <c r="BE8" s="53">
        <f>'P&amp;L'!BQ221</f>
        <v>389.77522780532445</v>
      </c>
      <c r="BF8" s="53">
        <f>'P&amp;L'!BR221</f>
        <v>770.51314470555599</v>
      </c>
      <c r="BG8" s="48"/>
      <c r="BH8" s="46"/>
      <c r="BI8" s="49"/>
      <c r="BJ8" s="50" t="str">
        <f>"Share price is " &amp; TEXT(DA3, "A$.00")</f>
        <v>Share price is A$38.10</v>
      </c>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127"/>
      <c r="CZ8" s="868">
        <f>(AL38/Z38)^(1/3)-1</f>
        <v>0.1014822725007396</v>
      </c>
    </row>
    <row r="9" spans="1:109" ht="17.100000000000001" customHeight="1">
      <c r="B9" s="52" t="s">
        <v>183</v>
      </c>
      <c r="C9" s="53"/>
      <c r="D9" s="53">
        <f>'P&amp;L'!P267</f>
        <v>0</v>
      </c>
      <c r="E9" s="53">
        <f>'P&amp;L'!Q267</f>
        <v>0</v>
      </c>
      <c r="F9" s="53">
        <f>'P&amp;L'!R267</f>
        <v>0</v>
      </c>
      <c r="G9" s="53"/>
      <c r="H9" s="53">
        <f>'P&amp;L'!T267</f>
        <v>0</v>
      </c>
      <c r="I9" s="53">
        <f>'P&amp;L'!U267</f>
        <v>19.600000000000001</v>
      </c>
      <c r="J9" s="53">
        <f>'P&amp;L'!V267</f>
        <v>19.600000000000001</v>
      </c>
      <c r="K9" s="53"/>
      <c r="L9" s="53">
        <f>'P&amp;L'!X267</f>
        <v>27.9</v>
      </c>
      <c r="M9" s="53">
        <f>'P&amp;L'!Y267</f>
        <v>30.800000000000004</v>
      </c>
      <c r="N9" s="53">
        <f>'P&amp;L'!Z267</f>
        <v>58.7</v>
      </c>
      <c r="O9" s="53"/>
      <c r="P9" s="53">
        <f>'P&amp;L'!AB267</f>
        <v>33.299999999999997</v>
      </c>
      <c r="Q9" s="53">
        <f>'P&amp;L'!AC267</f>
        <v>36.430000000000007</v>
      </c>
      <c r="R9" s="53">
        <f>'P&amp;L'!AD267</f>
        <v>69.73</v>
      </c>
      <c r="S9" s="53"/>
      <c r="T9" s="53">
        <f>'P&amp;L'!AF267</f>
        <v>37.6</v>
      </c>
      <c r="U9" s="53">
        <f>'P&amp;L'!AG267</f>
        <v>42.449000000000005</v>
      </c>
      <c r="V9" s="53">
        <f>'P&amp;L'!AH267</f>
        <v>80.049000000000007</v>
      </c>
      <c r="W9" s="53"/>
      <c r="X9" s="53">
        <f>'P&amp;L'!AJ267</f>
        <v>43.1</v>
      </c>
      <c r="Y9" s="53">
        <f>'P&amp;L'!AK267</f>
        <v>48.919999999999995</v>
      </c>
      <c r="Z9" s="53">
        <f>'P&amp;L'!AL267</f>
        <v>92.02</v>
      </c>
      <c r="AA9" s="53"/>
      <c r="AB9" s="53">
        <f>'P&amp;L'!AN267</f>
        <v>50.2</v>
      </c>
      <c r="AC9" s="53">
        <f>'P&amp;L'!AO267</f>
        <v>55.599999999999994</v>
      </c>
      <c r="AD9" s="53">
        <f>'P&amp;L'!AP267</f>
        <v>105.8</v>
      </c>
      <c r="AE9" s="53">
        <f>'P&amp;L'!AQ267</f>
        <v>0</v>
      </c>
      <c r="AF9" s="53">
        <f>'P&amp;L'!AR267</f>
        <v>55.220000000000006</v>
      </c>
      <c r="AG9" s="53">
        <f>'P&amp;L'!AS267</f>
        <v>61.16</v>
      </c>
      <c r="AH9" s="53">
        <f>'P&amp;L'!AT267</f>
        <v>116.38</v>
      </c>
      <c r="AI9" s="53">
        <f>'P&amp;L'!AU267</f>
        <v>0</v>
      </c>
      <c r="AJ9" s="53">
        <f>'P&amp;L'!AV267</f>
        <v>60.742000000000012</v>
      </c>
      <c r="AK9" s="53">
        <f>'P&amp;L'!AW267</f>
        <v>67.275999999999996</v>
      </c>
      <c r="AL9" s="53">
        <f>'P&amp;L'!AX267</f>
        <v>128.018</v>
      </c>
      <c r="AM9" s="53">
        <f>'P&amp;L'!AY267</f>
        <v>0</v>
      </c>
      <c r="AN9" s="53">
        <f>'P&amp;L'!AZ267</f>
        <v>66.816200000000023</v>
      </c>
      <c r="AO9" s="53">
        <f>'P&amp;L'!BA267</f>
        <v>74.003600000000006</v>
      </c>
      <c r="AP9" s="53">
        <f>'P&amp;L'!BB267</f>
        <v>140.81980000000004</v>
      </c>
      <c r="AQ9" s="53"/>
      <c r="AR9" s="53">
        <f>'P&amp;L'!BD267</f>
        <v>70.825172000000023</v>
      </c>
      <c r="AS9" s="53">
        <f>'P&amp;L'!BE267</f>
        <v>78.443816000000012</v>
      </c>
      <c r="AT9" s="53">
        <f>'P&amp;L'!BF267</f>
        <v>149.26898800000004</v>
      </c>
      <c r="AU9" s="53"/>
      <c r="AV9" s="53">
        <f>'P&amp;L'!BH267</f>
        <v>75.074682320000022</v>
      </c>
      <c r="AW9" s="53">
        <f>'P&amp;L'!BI267</f>
        <v>83.150444960000016</v>
      </c>
      <c r="AX9" s="53">
        <f>'P&amp;L'!BJ267</f>
        <v>158.22512728000004</v>
      </c>
      <c r="AY9" s="53"/>
      <c r="AZ9" s="53">
        <f>'P&amp;L'!BL267</f>
        <v>79.57916325920003</v>
      </c>
      <c r="BA9" s="53">
        <f>'P&amp;L'!BM267</f>
        <v>88.139471657600026</v>
      </c>
      <c r="BB9" s="53">
        <f>'P&amp;L'!BN267</f>
        <v>167.71863491680006</v>
      </c>
      <c r="BC9" s="53"/>
      <c r="BD9" s="53">
        <f>'P&amp;L'!BP267</f>
        <v>84.353913054752041</v>
      </c>
      <c r="BE9" s="53">
        <f>'P&amp;L'!BQ267</f>
        <v>93.427839957056037</v>
      </c>
      <c r="BF9" s="53">
        <f>'P&amp;L'!BR267</f>
        <v>177.78175301180806</v>
      </c>
      <c r="BG9" s="53"/>
      <c r="BH9" s="53"/>
      <c r="BI9" s="49"/>
      <c r="BJ9" s="61" t="s">
        <v>735</v>
      </c>
      <c r="BK9" s="899"/>
      <c r="BL9" s="900">
        <f>'P&amp;L'!T167</f>
        <v>15.973194472628903</v>
      </c>
      <c r="BM9" s="900">
        <f>'P&amp;L'!U167</f>
        <v>20.821545458048046</v>
      </c>
      <c r="BN9" s="900">
        <f>'P&amp;L'!V167</f>
        <v>20.870201926434536</v>
      </c>
      <c r="BO9" s="900"/>
      <c r="BP9" s="900">
        <f>'P&amp;L'!X167</f>
        <v>20.189832755846375</v>
      </c>
      <c r="BQ9" s="900">
        <f>'P&amp;L'!Y167</f>
        <v>24.910577194153628</v>
      </c>
      <c r="BR9" s="900">
        <f>'P&amp;L'!Z167</f>
        <v>24.985167081714415</v>
      </c>
      <c r="BS9" s="900"/>
      <c r="BT9" s="900">
        <f>'P&amp;L'!AB167</f>
        <v>28.482499874973158</v>
      </c>
      <c r="BU9" s="900">
        <f>'P&amp;L'!AC167</f>
        <v>18.353766838421226</v>
      </c>
      <c r="BV9" s="900">
        <f>'P&amp;L'!AD167</f>
        <v>18.34288955820583</v>
      </c>
      <c r="BW9" s="900"/>
      <c r="BX9" s="900">
        <f>'P&amp;L'!AF167</f>
        <v>21.759177865368279</v>
      </c>
      <c r="BY9" s="900">
        <f>'P&amp;L'!AG167</f>
        <v>23.013839242930199</v>
      </c>
      <c r="BZ9" s="900">
        <f>'P&amp;L'!AH167</f>
        <v>22.832610160564482</v>
      </c>
      <c r="CA9" s="900"/>
      <c r="CB9" s="900"/>
      <c r="CC9" s="900"/>
      <c r="CD9" s="900">
        <f>'P&amp;L'!AL167</f>
        <v>20.353281857571378</v>
      </c>
      <c r="CE9" s="900"/>
      <c r="CF9" s="900"/>
      <c r="CG9" s="900"/>
      <c r="CH9" s="900">
        <f>'P&amp;L'!AP167</f>
        <v>20.814784523435065</v>
      </c>
      <c r="CI9" s="900">
        <f>'P&amp;L'!AQ167</f>
        <v>0</v>
      </c>
      <c r="CJ9" s="900">
        <f>'P&amp;L'!AR167</f>
        <v>20.958281402680363</v>
      </c>
      <c r="CK9" s="900">
        <f>'P&amp;L'!AS167</f>
        <v>19.875012377772617</v>
      </c>
      <c r="CL9" s="900">
        <f>'P&amp;L'!AT167</f>
        <v>19.879185523633176</v>
      </c>
      <c r="CM9" s="900">
        <f>'P&amp;L'!AU167</f>
        <v>0</v>
      </c>
      <c r="CN9" s="900">
        <f>'P&amp;L'!AV167</f>
        <v>19.22519248686028</v>
      </c>
      <c r="CO9" s="900">
        <f>'P&amp;L'!AW167</f>
        <v>18.237536948160646</v>
      </c>
      <c r="CP9" s="900">
        <f>'P&amp;L'!AX167</f>
        <v>18.241163106178579</v>
      </c>
      <c r="CQ9" s="900">
        <f>'P&amp;L'!AY167</f>
        <v>0</v>
      </c>
      <c r="CR9" s="900">
        <f>'P&amp;L'!AZ167</f>
        <v>17.587891512235988</v>
      </c>
      <c r="CS9" s="900">
        <f>'P&amp;L'!BA167</f>
        <v>16.786602676985343</v>
      </c>
      <c r="CT9" s="900">
        <f>'P&amp;L'!BB167</f>
        <v>16.789626191541416</v>
      </c>
      <c r="CU9" s="55"/>
      <c r="CV9" s="55">
        <f>'P&amp;L'!BD167</f>
        <v>16.45873307286109</v>
      </c>
      <c r="CW9" s="55">
        <f>'P&amp;L'!BE167</f>
        <v>16.002116147859589</v>
      </c>
      <c r="CX9" s="55">
        <f>'P&amp;L'!BF167</f>
        <v>16.004775569805165</v>
      </c>
      <c r="CY9" s="127"/>
      <c r="CZ9" s="277" t="s">
        <v>712</v>
      </c>
      <c r="DA9" s="24"/>
    </row>
    <row r="10" spans="1:109" ht="17.100000000000001" customHeight="1">
      <c r="B10" s="52" t="s">
        <v>187</v>
      </c>
      <c r="C10" s="53"/>
      <c r="D10" s="53">
        <f>'P&amp;L'!P302</f>
        <v>28.699999999999996</v>
      </c>
      <c r="E10" s="53">
        <f>'P&amp;L'!Q302</f>
        <v>32.700000000000003</v>
      </c>
      <c r="F10" s="53">
        <f>'P&amp;L'!R302</f>
        <v>61.4</v>
      </c>
      <c r="G10" s="53"/>
      <c r="H10" s="53">
        <f>'P&amp;L'!T302</f>
        <v>29.199999999999996</v>
      </c>
      <c r="I10" s="53">
        <f>'P&amp;L'!U302</f>
        <v>30.1</v>
      </c>
      <c r="J10" s="53">
        <f>'P&amp;L'!V302</f>
        <v>59.3</v>
      </c>
      <c r="K10" s="53"/>
      <c r="L10" s="53">
        <f>'P&amp;L'!X302</f>
        <v>29.3</v>
      </c>
      <c r="M10" s="53">
        <f>'P&amp;L'!Y302</f>
        <v>44.2</v>
      </c>
      <c r="N10" s="53">
        <f>'P&amp;L'!Z302</f>
        <v>73.5</v>
      </c>
      <c r="O10" s="53"/>
      <c r="P10" s="53">
        <f>'P&amp;L'!AB302</f>
        <v>46.3</v>
      </c>
      <c r="Q10" s="53">
        <f>'P&amp;L'!AC302</f>
        <v>57.35</v>
      </c>
      <c r="R10" s="53">
        <f>'P&amp;L'!AD302</f>
        <v>103.65</v>
      </c>
      <c r="S10" s="53"/>
      <c r="T10" s="53">
        <f>'P&amp;L'!AF302</f>
        <v>58.199999999999996</v>
      </c>
      <c r="U10" s="53">
        <f>'P&amp;L'!AG302</f>
        <v>81.100000000000009</v>
      </c>
      <c r="V10" s="53">
        <f>'P&amp;L'!AH302</f>
        <v>139.29999999999998</v>
      </c>
      <c r="W10" s="53"/>
      <c r="X10" s="53">
        <f>'P&amp;L'!AJ302</f>
        <v>84.600000000000009</v>
      </c>
      <c r="Y10" s="53">
        <f>'P&amp;L'!AK302</f>
        <v>91.619000000000014</v>
      </c>
      <c r="Z10" s="53">
        <f>'P&amp;L'!AL302</f>
        <v>176.21900000000002</v>
      </c>
      <c r="AA10" s="53"/>
      <c r="AB10" s="53">
        <f>'P&amp;L'!AN302</f>
        <v>106.6</v>
      </c>
      <c r="AC10" s="53">
        <f>'P&amp;L'!AO302</f>
        <v>113.9</v>
      </c>
      <c r="AD10" s="53">
        <f>'P&amp;L'!AP302</f>
        <v>220.5</v>
      </c>
      <c r="AE10" s="53">
        <f>'P&amp;L'!AQ302</f>
        <v>0</v>
      </c>
      <c r="AF10" s="53">
        <f>'P&amp;L'!AR302</f>
        <v>114.21299211165049</v>
      </c>
      <c r="AG10" s="53">
        <f>'P&amp;L'!AS302</f>
        <v>121.80014631578949</v>
      </c>
      <c r="AH10" s="53">
        <f>'P&amp;L'!AT302</f>
        <v>236.01313842743997</v>
      </c>
      <c r="AI10" s="53">
        <f>'P&amp;L'!AU302</f>
        <v>0</v>
      </c>
      <c r="AJ10" s="53">
        <f>'P&amp;L'!AV302</f>
        <v>120.60031916732953</v>
      </c>
      <c r="AK10" s="53">
        <f>'P&amp;L'!AW302</f>
        <v>129.28316726315791</v>
      </c>
      <c r="AL10" s="53">
        <f>'P&amp;L'!AX302</f>
        <v>249.88348643048744</v>
      </c>
      <c r="AM10" s="53">
        <f>'P&amp;L'!AY302</f>
        <v>0</v>
      </c>
      <c r="AN10" s="53">
        <f>'P&amp;L'!AZ302</f>
        <v>125.38063826451216</v>
      </c>
      <c r="AO10" s="53">
        <f>'P&amp;L'!BA302</f>
        <v>134.99866975269737</v>
      </c>
      <c r="AP10" s="53">
        <f>'P&amp;L'!BB302</f>
        <v>260.37930801720961</v>
      </c>
      <c r="AQ10" s="53"/>
      <c r="AR10" s="53">
        <f>'P&amp;L'!BD302</f>
        <v>128.21540974117838</v>
      </c>
      <c r="AS10" s="53">
        <f>'P&amp;L'!BE302</f>
        <v>138.56221924563027</v>
      </c>
      <c r="AT10" s="53">
        <f>'P&amp;L'!BF302</f>
        <v>266.77762898680868</v>
      </c>
      <c r="AU10" s="53"/>
      <c r="AV10" s="53">
        <f>'P&amp;L'!BH302</f>
        <v>131.13220299583296</v>
      </c>
      <c r="AW10" s="53">
        <f>'P&amp;L'!BI302</f>
        <v>142.24086277233701</v>
      </c>
      <c r="AX10" s="53">
        <f>'P&amp;L'!BJ302</f>
        <v>273.37306576816991</v>
      </c>
      <c r="AY10" s="53"/>
      <c r="AZ10" s="53">
        <f>'P&amp;L'!BL302</f>
        <v>134.13367151797385</v>
      </c>
      <c r="BA10" s="53">
        <f>'P&amp;L'!BM302</f>
        <v>146.03865513524963</v>
      </c>
      <c r="BB10" s="53">
        <f>'P&amp;L'!BN302</f>
        <v>280.17232665322348</v>
      </c>
      <c r="BC10" s="53"/>
      <c r="BD10" s="53">
        <f>'P&amp;L'!BP302</f>
        <v>137.22256238904652</v>
      </c>
      <c r="BE10" s="53">
        <f>'P&amp;L'!BQ302</f>
        <v>149.95980234971913</v>
      </c>
      <c r="BF10" s="53">
        <f>'P&amp;L'!BR302</f>
        <v>287.18236473876561</v>
      </c>
      <c r="BG10" s="53"/>
      <c r="BH10" s="53"/>
      <c r="BI10" s="49"/>
      <c r="BJ10" s="285" t="s">
        <v>720</v>
      </c>
      <c r="BK10" s="286"/>
      <c r="BL10" s="287">
        <f>'P&amp;L'!T166</f>
        <v>16.744083154200815</v>
      </c>
      <c r="BM10" s="287">
        <f>'P&amp;L'!U166</f>
        <v>19.877486697954915</v>
      </c>
      <c r="BN10" s="287">
        <f>'P&amp;L'!V166</f>
        <v>19.968736448750747</v>
      </c>
      <c r="BO10" s="287"/>
      <c r="BP10" s="287">
        <f>'P&amp;L'!X166</f>
        <v>18.897820624301328</v>
      </c>
      <c r="BQ10" s="287">
        <f>'P&amp;L'!Y166</f>
        <v>24.938424733014813</v>
      </c>
      <c r="BR10" s="287">
        <f>'P&amp;L'!Z166</f>
        <v>24.938424733014813</v>
      </c>
      <c r="BS10" s="287"/>
      <c r="BT10" s="287">
        <f>'P&amp;L'!AB166</f>
        <v>28.451866437409564</v>
      </c>
      <c r="BU10" s="287">
        <f>'P&amp;L'!AC166</f>
        <v>18.283753440514467</v>
      </c>
      <c r="BV10" s="287">
        <f>'P&amp;L'!AD166</f>
        <v>18.348093706936144</v>
      </c>
      <c r="BW10" s="287"/>
      <c r="BX10" s="287">
        <f>'P&amp;L'!AF166</f>
        <v>21.719407854823871</v>
      </c>
      <c r="BY10" s="287">
        <f>'P&amp;L'!AG166</f>
        <v>22.832610160564482</v>
      </c>
      <c r="BZ10" s="287">
        <f>'P&amp;L'!AH166</f>
        <v>22.832610160564482</v>
      </c>
      <c r="CA10" s="287"/>
      <c r="CB10" s="287">
        <f>'P&amp;L'!AJ166</f>
        <v>19.021139328836334</v>
      </c>
      <c r="CC10" s="287">
        <f>'P&amp;L'!AK166</f>
        <v>20.353281857571378</v>
      </c>
      <c r="CD10" s="287">
        <f>'P&amp;L'!AL166</f>
        <v>20.353281857571378</v>
      </c>
      <c r="CE10" s="287"/>
      <c r="CF10" s="287">
        <f>'P&amp;L'!AN166</f>
        <v>19.613905401091653</v>
      </c>
      <c r="CG10" s="287">
        <f>'P&amp;L'!AO166</f>
        <v>20.814784523435065</v>
      </c>
      <c r="CH10" s="287">
        <f>'P&amp;L'!AP166</f>
        <v>20.814784523435065</v>
      </c>
      <c r="CI10" s="287">
        <f>'P&amp;L'!AQ166</f>
        <v>0</v>
      </c>
      <c r="CJ10" s="287">
        <f>'P&amp;L'!AR166</f>
        <v>20.975878962925563</v>
      </c>
      <c r="CK10" s="287">
        <f>'P&amp;L'!AS166</f>
        <v>19.875012377772617</v>
      </c>
      <c r="CL10" s="287">
        <f>'P&amp;L'!AT166</f>
        <v>19.879185523633176</v>
      </c>
      <c r="CM10" s="287">
        <f>'P&amp;L'!AU166</f>
        <v>0</v>
      </c>
      <c r="CN10" s="287">
        <f>'P&amp;L'!AV166</f>
        <v>19.22519248686028</v>
      </c>
      <c r="CO10" s="287">
        <f>'P&amp;L'!AW166</f>
        <v>18.237536948160646</v>
      </c>
      <c r="CP10" s="287">
        <f>'P&amp;L'!AX166</f>
        <v>18.241163106178579</v>
      </c>
      <c r="CQ10" s="287">
        <f>'P&amp;L'!AY166</f>
        <v>0</v>
      </c>
      <c r="CR10" s="287">
        <f>'P&amp;L'!AZ166</f>
        <v>17.587891512235988</v>
      </c>
      <c r="CS10" s="287">
        <f>'P&amp;L'!BA166</f>
        <v>16.786602676985343</v>
      </c>
      <c r="CT10" s="287">
        <f>'P&amp;L'!BB166</f>
        <v>16.789626191541416</v>
      </c>
      <c r="CU10" s="287"/>
      <c r="CV10" s="287">
        <f>'P&amp;L'!BD166</f>
        <v>16.45873307286109</v>
      </c>
      <c r="CW10" s="287">
        <f>'P&amp;L'!BE166</f>
        <v>16.002116147859589</v>
      </c>
      <c r="CX10" s="287">
        <f>'P&amp;L'!BF166</f>
        <v>16.004775569805165</v>
      </c>
      <c r="CY10" s="127"/>
      <c r="CZ10" s="868">
        <f>(AL31/Z31)^(1/3)-1</f>
        <v>0.1236348464133521</v>
      </c>
      <c r="DA10" s="24"/>
      <c r="DC10" s="936">
        <f>+$CL10*1.3</f>
        <v>25.84294118072313</v>
      </c>
      <c r="DE10" s="936">
        <f>+$CL10*1.402</f>
        <v>27.870618104133712</v>
      </c>
    </row>
    <row r="11" spans="1:109" ht="17.100000000000001" customHeight="1">
      <c r="B11" s="537" t="s">
        <v>188</v>
      </c>
      <c r="C11" s="53"/>
      <c r="D11" s="53">
        <f>'P&amp;L'!P356</f>
        <v>22.3</v>
      </c>
      <c r="E11" s="53">
        <f>'P&amp;L'!Q356</f>
        <v>28.399999999999995</v>
      </c>
      <c r="F11" s="53">
        <f>'P&amp;L'!R356</f>
        <v>50.699999999999996</v>
      </c>
      <c r="G11" s="53"/>
      <c r="H11" s="53">
        <f>'P&amp;L'!T356</f>
        <v>27.400000000000002</v>
      </c>
      <c r="I11" s="53">
        <f>'P&amp;L'!U356</f>
        <v>31.099999999999998</v>
      </c>
      <c r="J11" s="53">
        <f>'P&amp;L'!V356</f>
        <v>58.499999999999993</v>
      </c>
      <c r="K11" s="53"/>
      <c r="L11" s="53">
        <f>'P&amp;L'!X356</f>
        <v>27.3</v>
      </c>
      <c r="M11" s="53">
        <f>'P&amp;L'!Y356</f>
        <v>31.299999999999997</v>
      </c>
      <c r="N11" s="53">
        <f>'P&amp;L'!Z356</f>
        <v>58.6</v>
      </c>
      <c r="O11" s="53"/>
      <c r="P11" s="53">
        <f>'P&amp;L'!AB356</f>
        <v>28.700000000000003</v>
      </c>
      <c r="Q11" s="53">
        <f>'P&amp;L'!AC356</f>
        <v>30.2</v>
      </c>
      <c r="R11" s="53">
        <f>'P&amp;L'!AD356</f>
        <v>58.9</v>
      </c>
      <c r="S11" s="53"/>
      <c r="T11" s="53">
        <f>'P&amp;L'!AF356</f>
        <v>29.8</v>
      </c>
      <c r="U11" s="53">
        <f>'P&amp;L'!AG356</f>
        <v>40.900000000000006</v>
      </c>
      <c r="V11" s="53">
        <f>'P&amp;L'!AH356</f>
        <v>70.699999999999989</v>
      </c>
      <c r="W11" s="53"/>
      <c r="X11" s="53">
        <f>'P&amp;L'!AJ356</f>
        <v>40.799999999999997</v>
      </c>
      <c r="Y11" s="53">
        <f>'P&amp;L'!AK356</f>
        <v>47.922000000000004</v>
      </c>
      <c r="Z11" s="53">
        <f>'P&amp;L'!AL356</f>
        <v>88.744000000000028</v>
      </c>
      <c r="AA11" s="53"/>
      <c r="AB11" s="53">
        <f>'P&amp;L'!AN356</f>
        <v>48.5</v>
      </c>
      <c r="AC11" s="53">
        <f>'P&amp;L'!AO356</f>
        <v>49.4</v>
      </c>
      <c r="AD11" s="53">
        <f>'P&amp;L'!AP356</f>
        <v>97.921999999999997</v>
      </c>
      <c r="AE11" s="53">
        <f>'P&amp;L'!AQ356</f>
        <v>0</v>
      </c>
      <c r="AF11" s="53">
        <f>'P&amp;L'!AR356</f>
        <v>52.823623897058823</v>
      </c>
      <c r="AG11" s="53">
        <f>'P&amp;L'!AS356</f>
        <v>52.410402142857144</v>
      </c>
      <c r="AH11" s="53">
        <f>'P&amp;L'!AT356</f>
        <v>105.23402603991596</v>
      </c>
      <c r="AI11" s="53">
        <f>'P&amp;L'!AU356</f>
        <v>0</v>
      </c>
      <c r="AJ11" s="53">
        <f>'P&amp;L'!AV356</f>
        <v>54.893295277626052</v>
      </c>
      <c r="AK11" s="53">
        <f>'P&amp;L'!AW356</f>
        <v>54.552787708333334</v>
      </c>
      <c r="AL11" s="53">
        <f>'P&amp;L'!AX356</f>
        <v>109.44608298595938</v>
      </c>
      <c r="AM11" s="53">
        <f>'P&amp;L'!AY356</f>
        <v>0</v>
      </c>
      <c r="AN11" s="53">
        <f>'P&amp;L'!AZ356</f>
        <v>57.064751580380602</v>
      </c>
      <c r="AO11" s="53">
        <f>'P&amp;L'!BA356</f>
        <v>56.800525713750005</v>
      </c>
      <c r="AP11" s="53">
        <f>'P&amp;L'!BB356</f>
        <v>113.86527729413061</v>
      </c>
      <c r="AQ11" s="53"/>
      <c r="AR11" s="53">
        <f>'P&amp;L'!BD356</f>
        <v>59.338716529050338</v>
      </c>
      <c r="AS11" s="53">
        <f>'P&amp;L'!BE356</f>
        <v>59.154752591837507</v>
      </c>
      <c r="AT11" s="53">
        <f>'P&amp;L'!BF356</f>
        <v>118.49346912088785</v>
      </c>
      <c r="AU11" s="53"/>
      <c r="AV11" s="53">
        <f>'P&amp;L'!BH356</f>
        <v>61.720194272546571</v>
      </c>
      <c r="AW11" s="53">
        <f>'P&amp;L'!BI356</f>
        <v>61.620674825677391</v>
      </c>
      <c r="AX11" s="53">
        <f>'P&amp;L'!BJ356</f>
        <v>123.34086909822395</v>
      </c>
      <c r="AY11" s="53"/>
      <c r="AZ11" s="53">
        <f>'P&amp;L'!BL356</f>
        <v>64.214436741558501</v>
      </c>
      <c r="BA11" s="53">
        <f>'P&amp;L'!BM356</f>
        <v>64.203756863294217</v>
      </c>
      <c r="BB11" s="53">
        <f>'P&amp;L'!BN356</f>
        <v>128.41819360485272</v>
      </c>
      <c r="BC11" s="53"/>
      <c r="BD11" s="53">
        <f>'P&amp;L'!BP356</f>
        <v>66.826955989128706</v>
      </c>
      <c r="BE11" s="53">
        <f>'P&amp;L'!BQ356</f>
        <v>66.909733968718555</v>
      </c>
      <c r="BF11" s="53">
        <f>'P&amp;L'!BR356</f>
        <v>133.73668995784729</v>
      </c>
      <c r="BG11" s="53"/>
      <c r="BH11" s="53"/>
      <c r="BI11" s="49"/>
      <c r="BJ11" s="61" t="s">
        <v>719</v>
      </c>
      <c r="BK11" s="899"/>
      <c r="BL11" s="900">
        <f>'P&amp;L'!T163</f>
        <v>19.02659821754893</v>
      </c>
      <c r="BM11" s="900">
        <f>'P&amp;L'!U163</f>
        <v>22.550283938959058</v>
      </c>
      <c r="BN11" s="900">
        <f>'P&amp;L'!V163</f>
        <v>22.586601819893318</v>
      </c>
      <c r="BO11" s="900"/>
      <c r="BP11" s="900">
        <f>'P&amp;L'!X163</f>
        <v>21.812382526726331</v>
      </c>
      <c r="BQ11" s="900">
        <f>'P&amp;L'!Y163</f>
        <v>22.953134432857485</v>
      </c>
      <c r="BR11" s="900">
        <f>'P&amp;L'!Z163</f>
        <v>23.059770797505038</v>
      </c>
      <c r="BS11" s="900"/>
      <c r="BT11" s="900">
        <f>'P&amp;L'!AB163</f>
        <v>24.241403736155927</v>
      </c>
      <c r="BU11" s="900">
        <f>'P&amp;L'!AC163</f>
        <v>16.742786598235803</v>
      </c>
      <c r="BV11" s="900">
        <f>'P&amp;L'!AD163</f>
        <v>16.741635684101158</v>
      </c>
      <c r="BW11" s="900"/>
      <c r="BX11" s="900">
        <f>'P&amp;L'!AF163</f>
        <v>33.142100617828781</v>
      </c>
      <c r="BY11" s="900">
        <f>'P&amp;L'!AG163</f>
        <v>44.988523335883706</v>
      </c>
      <c r="BZ11" s="900">
        <f>'P&amp;L'!AH163</f>
        <v>44.988523335883706</v>
      </c>
      <c r="CA11" s="900"/>
      <c r="CB11" s="900">
        <f>'P&amp;L'!AJ163</f>
        <v>24.536045681655963</v>
      </c>
      <c r="CC11" s="900">
        <f>'P&amp;L'!AK163</f>
        <v>25.220851571826504</v>
      </c>
      <c r="CD11" s="900">
        <f>'P&amp;L'!AL163</f>
        <v>25.220851571826504</v>
      </c>
      <c r="CE11" s="900"/>
      <c r="CF11" s="900">
        <f>'P&amp;L'!AN163</f>
        <v>31.426269137792101</v>
      </c>
      <c r="CG11" s="900">
        <f>'P&amp;L'!AO163</f>
        <v>22.971835545483973</v>
      </c>
      <c r="CH11" s="900">
        <f>'P&amp;L'!AP163</f>
        <v>22.971835545483973</v>
      </c>
      <c r="CI11" s="900">
        <f>'P&amp;L'!AQ163</f>
        <v>0</v>
      </c>
      <c r="CJ11" s="900">
        <f>'P&amp;L'!AR163</f>
        <v>19.352688538418541</v>
      </c>
      <c r="CK11" s="900">
        <f>'P&amp;L'!AS163</f>
        <v>23.121016502388436</v>
      </c>
      <c r="CL11" s="900">
        <f>'P&amp;L'!AT163</f>
        <v>23.126676713235852</v>
      </c>
      <c r="CM11" s="900">
        <f>'P&amp;L'!AU163</f>
        <v>0</v>
      </c>
      <c r="CN11" s="900">
        <f>'P&amp;L'!AV163</f>
        <v>22.25178805341729</v>
      </c>
      <c r="CO11" s="900">
        <f>'P&amp;L'!AW163</f>
        <v>20.942368786517573</v>
      </c>
      <c r="CP11" s="900">
        <f>'P&amp;L'!AX163</f>
        <v>20.947161761428362</v>
      </c>
      <c r="CQ11" s="900">
        <f>'P&amp;L'!AY163</f>
        <v>0</v>
      </c>
      <c r="CR11" s="900">
        <f>'P&amp;L'!AZ163</f>
        <v>20.093820300736322</v>
      </c>
      <c r="CS11" s="900">
        <f>'P&amp;L'!BA163</f>
        <v>19.056907754958633</v>
      </c>
      <c r="CT11" s="900">
        <f>'P&amp;L'!BB163</f>
        <v>19.060814112522792</v>
      </c>
      <c r="CU11" s="55"/>
      <c r="CV11" s="55">
        <f>'P&amp;L'!BD163</f>
        <v>18.639070179174823</v>
      </c>
      <c r="CW11" s="55">
        <f>'P&amp;L'!BE163</f>
        <v>18.058253576188068</v>
      </c>
      <c r="CX11" s="55">
        <f>'P&amp;L'!BF163</f>
        <v>18.06164902579749</v>
      </c>
      <c r="CY11" s="127"/>
      <c r="DA11" s="24"/>
      <c r="DC11" s="937"/>
      <c r="DE11" s="937"/>
    </row>
    <row r="12" spans="1:109" ht="17.100000000000001" customHeight="1">
      <c r="B12" s="52" t="s">
        <v>699</v>
      </c>
      <c r="C12" s="53"/>
      <c r="D12" s="53">
        <f>'P&amp;L'!P421</f>
        <v>0</v>
      </c>
      <c r="E12" s="53">
        <f>'P&amp;L'!Q421</f>
        <v>0</v>
      </c>
      <c r="F12" s="53">
        <f>'P&amp;L'!R421</f>
        <v>0</v>
      </c>
      <c r="G12" s="53"/>
      <c r="H12" s="53">
        <f>'P&amp;L'!T421</f>
        <v>0</v>
      </c>
      <c r="I12" s="53">
        <f>'P&amp;L'!U421</f>
        <v>0</v>
      </c>
      <c r="J12" s="53">
        <f>'P&amp;L'!V421</f>
        <v>0</v>
      </c>
      <c r="K12" s="53"/>
      <c r="L12" s="53">
        <f>'P&amp;L'!X421</f>
        <v>0</v>
      </c>
      <c r="M12" s="53">
        <f>'P&amp;L'!Y421</f>
        <v>0</v>
      </c>
      <c r="N12" s="53">
        <f>'P&amp;L'!Z421</f>
        <v>0</v>
      </c>
      <c r="O12" s="53"/>
      <c r="P12" s="53">
        <f>'P&amp;L'!AB421</f>
        <v>0</v>
      </c>
      <c r="Q12" s="53">
        <f>'P&amp;L'!AC421</f>
        <v>0</v>
      </c>
      <c r="R12" s="53">
        <f>'P&amp;L'!AD421</f>
        <v>0</v>
      </c>
      <c r="S12" s="53"/>
      <c r="T12" s="53">
        <f>'P&amp;L'!AF421</f>
        <v>90.8</v>
      </c>
      <c r="U12" s="53">
        <f>'P&amp;L'!AG421</f>
        <v>210.85</v>
      </c>
      <c r="V12" s="53">
        <f>'P&amp;L'!AH421</f>
        <v>301.65000000000003</v>
      </c>
      <c r="W12" s="53"/>
      <c r="X12" s="53">
        <f>'P&amp;L'!AJ421</f>
        <v>192.4</v>
      </c>
      <c r="Y12" s="53">
        <f>'P&amp;L'!AK421</f>
        <v>218.64099999999999</v>
      </c>
      <c r="Z12" s="53">
        <f>'P&amp;L'!AL421</f>
        <v>411.041</v>
      </c>
      <c r="AA12" s="53"/>
      <c r="AB12" s="53">
        <f>'P&amp;L'!AN421</f>
        <v>204.60000000000002</v>
      </c>
      <c r="AC12" s="53">
        <f>'P&amp;L'!AO421</f>
        <v>261.29999999999995</v>
      </c>
      <c r="AD12" s="53">
        <f>'P&amp;L'!AP421</f>
        <v>465.9</v>
      </c>
      <c r="AE12" s="53">
        <f>'P&amp;L'!AQ421</f>
        <v>0</v>
      </c>
      <c r="AF12" s="53">
        <f>'P&amp;L'!AR421</f>
        <v>226.89600000000004</v>
      </c>
      <c r="AG12" s="53">
        <f>'P&amp;L'!AS421</f>
        <v>269.435</v>
      </c>
      <c r="AH12" s="53">
        <f>'P&amp;L'!AT421</f>
        <v>496.33100000000002</v>
      </c>
      <c r="AI12" s="53">
        <f>'P&amp;L'!AU421</f>
        <v>0</v>
      </c>
      <c r="AJ12" s="53">
        <f>'P&amp;L'!AV421</f>
        <v>237.30080000000007</v>
      </c>
      <c r="AK12" s="53">
        <f>'P&amp;L'!AW421</f>
        <v>281.96674999999999</v>
      </c>
      <c r="AL12" s="53">
        <f>'P&amp;L'!AX421</f>
        <v>519.26755000000003</v>
      </c>
      <c r="AM12" s="53">
        <f>'P&amp;L'!AY421</f>
        <v>0</v>
      </c>
      <c r="AN12" s="53">
        <f>'P&amp;L'!AZ421</f>
        <v>248.22584000000009</v>
      </c>
      <c r="AO12" s="53">
        <f>'P&amp;L'!BA421</f>
        <v>295.12508750000001</v>
      </c>
      <c r="AP12" s="53">
        <f>'P&amp;L'!BB421</f>
        <v>543.35092750000013</v>
      </c>
      <c r="AQ12" s="53"/>
      <c r="AR12" s="53">
        <f>'P&amp;L'!BD421</f>
        <v>259.69713200000012</v>
      </c>
      <c r="AS12" s="53">
        <f>'P&amp;L'!BE421</f>
        <v>308.94134187500003</v>
      </c>
      <c r="AT12" s="53">
        <f>'P&amp;L'!BF421</f>
        <v>568.63847387500016</v>
      </c>
      <c r="AU12" s="53"/>
      <c r="AV12" s="53">
        <f>'P&amp;L'!BH421</f>
        <v>271.74198860000007</v>
      </c>
      <c r="AW12" s="53">
        <f>'P&amp;L'!BI421</f>
        <v>323.44840896875007</v>
      </c>
      <c r="AX12" s="53">
        <f>'P&amp;L'!BJ421</f>
        <v>595.1903975687502</v>
      </c>
      <c r="AY12" s="53"/>
      <c r="AZ12" s="53">
        <f>'P&amp;L'!BL421</f>
        <v>284.3890880300001</v>
      </c>
      <c r="BA12" s="53">
        <f>'P&amp;L'!BM421</f>
        <v>338.68082941718757</v>
      </c>
      <c r="BB12" s="53">
        <f>'P&amp;L'!BN421</f>
        <v>623.06991744718766</v>
      </c>
      <c r="BC12" s="53"/>
      <c r="BD12" s="53">
        <f>'P&amp;L'!BP421</f>
        <v>297.6685424315001</v>
      </c>
      <c r="BE12" s="53">
        <f>'P&amp;L'!BQ421</f>
        <v>354.67487088804694</v>
      </c>
      <c r="BF12" s="53">
        <f>'P&amp;L'!BR421</f>
        <v>652.34341331954704</v>
      </c>
      <c r="BG12" s="53"/>
      <c r="BH12" s="53"/>
      <c r="BI12" s="49"/>
      <c r="BJ12" s="58" t="s">
        <v>721</v>
      </c>
      <c r="BK12" s="56"/>
      <c r="BL12" s="55">
        <f>'P&amp;L'!T177</f>
        <v>11.058425919187032</v>
      </c>
      <c r="BM12" s="55">
        <f>'P&amp;L'!U177</f>
        <v>15.003276329749731</v>
      </c>
      <c r="BN12" s="55">
        <f>'P&amp;L'!V177</f>
        <v>15.003276329749731</v>
      </c>
      <c r="BO12" s="55"/>
      <c r="BP12" s="55">
        <f>'P&amp;L'!X177</f>
        <v>14.833120137601247</v>
      </c>
      <c r="BQ12" s="55">
        <f>'P&amp;L'!Y177</f>
        <v>16.939586766778774</v>
      </c>
      <c r="BR12" s="55">
        <f>'P&amp;L'!Z177</f>
        <v>16.939586766778774</v>
      </c>
      <c r="BS12" s="55"/>
      <c r="BT12" s="55">
        <f>'P&amp;L'!AB177</f>
        <v>19.630578611861853</v>
      </c>
      <c r="BU12" s="55">
        <f>'P&amp;L'!AC177</f>
        <v>12.44219354657478</v>
      </c>
      <c r="BV12" s="55">
        <f>'P&amp;L'!AD177</f>
        <v>12.44219354657478</v>
      </c>
      <c r="BW12" s="55"/>
      <c r="BX12" s="55">
        <f>'P&amp;L'!AF177</f>
        <v>18.953185530577485</v>
      </c>
      <c r="BY12" s="55">
        <f>'P&amp;L'!AG177</f>
        <v>15.428677512389973</v>
      </c>
      <c r="BZ12" s="55">
        <f>'P&amp;L'!AH177</f>
        <v>15.428677512389973</v>
      </c>
      <c r="CA12" s="55"/>
      <c r="CB12" s="55">
        <f>'P&amp;L'!AJ177</f>
        <v>12.477234273681423</v>
      </c>
      <c r="CC12" s="55">
        <f>'P&amp;L'!AK177</f>
        <v>13.206317943836954</v>
      </c>
      <c r="CD12" s="55">
        <f>'P&amp;L'!AL177</f>
        <v>13.206317943836954</v>
      </c>
      <c r="CE12" s="55"/>
      <c r="CF12" s="55">
        <f>'P&amp;L'!AN177</f>
        <v>13.594498942159861</v>
      </c>
      <c r="CG12" s="55">
        <f>'P&amp;L'!AO177</f>
        <v>13.836681503926227</v>
      </c>
      <c r="CH12" s="55">
        <f>'P&amp;L'!AP177</f>
        <v>13.836681503926227</v>
      </c>
      <c r="CI12" s="55">
        <f>'P&amp;L'!AQ177</f>
        <v>0</v>
      </c>
      <c r="CJ12" s="55">
        <f>'P&amp;L'!AR177</f>
        <v>13.922876397187787</v>
      </c>
      <c r="CK12" s="55">
        <f>'P&amp;L'!AS177</f>
        <v>12.87447455101999</v>
      </c>
      <c r="CL12" s="55">
        <f>'P&amp;L'!AT177</f>
        <v>12.87447455101999</v>
      </c>
      <c r="CM12" s="55">
        <f>'P&amp;L'!AU177</f>
        <v>0</v>
      </c>
      <c r="CN12" s="55">
        <f>'P&amp;L'!AV177</f>
        <v>12.730299343725983</v>
      </c>
      <c r="CO12" s="55">
        <f>'P&amp;L'!AW177</f>
        <v>11.683674522405791</v>
      </c>
      <c r="CP12" s="55">
        <f>'P&amp;L'!AX177</f>
        <v>11.683674522405791</v>
      </c>
      <c r="CQ12" s="55">
        <f>'P&amp;L'!AY177</f>
        <v>0</v>
      </c>
      <c r="CR12" s="55">
        <f>'P&amp;L'!AZ177</f>
        <v>11.612694525199299</v>
      </c>
      <c r="CS12" s="55">
        <f>'P&amp;L'!BA177</f>
        <v>10.685785179378508</v>
      </c>
      <c r="CT12" s="55">
        <f>'P&amp;L'!BB177</f>
        <v>10.685785179378508</v>
      </c>
      <c r="CU12" s="55"/>
      <c r="CV12" s="55">
        <f>'P&amp;L'!BD177</f>
        <v>10.76616315817056</v>
      </c>
      <c r="CW12" s="55">
        <f>'P&amp;L'!BE177</f>
        <v>9.9948804340772242</v>
      </c>
      <c r="CX12" s="55">
        <f>'P&amp;L'!BF177</f>
        <v>9.9948804340772242</v>
      </c>
      <c r="CY12" s="127"/>
      <c r="CZ12" s="129" t="s">
        <v>115</v>
      </c>
      <c r="DA12" s="24"/>
      <c r="DC12" s="936">
        <f>+$CL12*1.3</f>
        <v>16.736816916325989</v>
      </c>
      <c r="DE12" s="936">
        <f>+$CL12*1.402</f>
        <v>18.050013320530024</v>
      </c>
    </row>
    <row r="13" spans="1:109" ht="17.100000000000001" customHeight="1">
      <c r="B13" s="52" t="s">
        <v>224</v>
      </c>
      <c r="C13" s="53"/>
      <c r="D13" s="53">
        <f>+'P&amp;L'!P400</f>
        <v>26.167000000000002</v>
      </c>
      <c r="E13" s="53">
        <f>+'P&amp;L'!Q400</f>
        <v>25.033000000000001</v>
      </c>
      <c r="F13" s="53">
        <f>+'P&amp;L'!R400</f>
        <v>51.2</v>
      </c>
      <c r="G13" s="53"/>
      <c r="H13" s="53">
        <f>+'P&amp;L'!T400</f>
        <v>27.533000000000001</v>
      </c>
      <c r="I13" s="53">
        <f>+'P&amp;L'!U400</f>
        <v>23.884999999999998</v>
      </c>
      <c r="J13" s="53">
        <f>+'P&amp;L'!V400</f>
        <v>51.417999999999999</v>
      </c>
      <c r="K13" s="53"/>
      <c r="L13" s="53">
        <f>+'P&amp;L'!X400</f>
        <v>20.943999999999999</v>
      </c>
      <c r="M13" s="53">
        <f>+'P&amp;L'!Y400</f>
        <v>10.814</v>
      </c>
      <c r="N13" s="53">
        <f>+'P&amp;L'!Z400</f>
        <v>31.757999999999999</v>
      </c>
      <c r="O13" s="53"/>
      <c r="P13" s="53">
        <f>+'P&amp;L'!AB400</f>
        <v>0</v>
      </c>
      <c r="Q13" s="53">
        <f>+'P&amp;L'!AC400</f>
        <v>0</v>
      </c>
      <c r="R13" s="53">
        <f>+'P&amp;L'!AD400</f>
        <v>0</v>
      </c>
      <c r="S13" s="53"/>
      <c r="T13" s="53">
        <f>+'P&amp;L'!AF400</f>
        <v>0</v>
      </c>
      <c r="U13" s="53">
        <f>+'P&amp;L'!AG400</f>
        <v>0</v>
      </c>
      <c r="V13" s="53">
        <f>+'P&amp;L'!AH400</f>
        <v>0</v>
      </c>
      <c r="W13" s="53"/>
      <c r="X13" s="53">
        <f>+'P&amp;L'!AJ400</f>
        <v>0</v>
      </c>
      <c r="Y13" s="53">
        <f>+'P&amp;L'!AK400</f>
        <v>0</v>
      </c>
      <c r="Z13" s="53">
        <f>+'P&amp;L'!AL400</f>
        <v>0</v>
      </c>
      <c r="AA13" s="53"/>
      <c r="AB13" s="53">
        <f>+'P&amp;L'!AN400</f>
        <v>0</v>
      </c>
      <c r="AC13" s="53">
        <f>+'P&amp;L'!AO400</f>
        <v>0</v>
      </c>
      <c r="AD13" s="53">
        <f>+'P&amp;L'!AP400</f>
        <v>0</v>
      </c>
      <c r="AE13" s="53">
        <f>+'P&amp;L'!AQ400</f>
        <v>0</v>
      </c>
      <c r="AF13" s="53">
        <f>+'P&amp;L'!AR400</f>
        <v>0</v>
      </c>
      <c r="AG13" s="53">
        <f>+'P&amp;L'!AS400</f>
        <v>0</v>
      </c>
      <c r="AH13" s="53">
        <f>+'P&amp;L'!AT400</f>
        <v>0</v>
      </c>
      <c r="AI13" s="53">
        <f>+'P&amp;L'!AU400</f>
        <v>0</v>
      </c>
      <c r="AJ13" s="53">
        <f>+'P&amp;L'!AV400</f>
        <v>0</v>
      </c>
      <c r="AK13" s="53">
        <f>+'P&amp;L'!AW400</f>
        <v>0</v>
      </c>
      <c r="AL13" s="53">
        <f>+'P&amp;L'!AX400</f>
        <v>0</v>
      </c>
      <c r="AM13" s="53">
        <f>+'P&amp;L'!AY400</f>
        <v>0</v>
      </c>
      <c r="AN13" s="53">
        <f>+'P&amp;L'!AZ400</f>
        <v>0</v>
      </c>
      <c r="AO13" s="53">
        <f>+'P&amp;L'!BA400</f>
        <v>0</v>
      </c>
      <c r="AP13" s="53">
        <f>+'P&amp;L'!BB400</f>
        <v>0</v>
      </c>
      <c r="AQ13" s="53"/>
      <c r="AR13" s="53">
        <f>+'P&amp;L'!BD400</f>
        <v>0</v>
      </c>
      <c r="AS13" s="53">
        <f>+'P&amp;L'!BE400</f>
        <v>0</v>
      </c>
      <c r="AT13" s="53">
        <f>+'P&amp;L'!BF400</f>
        <v>0</v>
      </c>
      <c r="AU13" s="53"/>
      <c r="AV13" s="53">
        <f>+'P&amp;L'!BH400</f>
        <v>0</v>
      </c>
      <c r="AW13" s="53">
        <f>+'P&amp;L'!BI400</f>
        <v>0</v>
      </c>
      <c r="AX13" s="53">
        <f>+'P&amp;L'!BJ400</f>
        <v>0</v>
      </c>
      <c r="AY13" s="53"/>
      <c r="AZ13" s="53">
        <f>+'P&amp;L'!BL400</f>
        <v>0</v>
      </c>
      <c r="BA13" s="53">
        <f>+'P&amp;L'!BM400</f>
        <v>0</v>
      </c>
      <c r="BB13" s="53">
        <f>+'P&amp;L'!BN400</f>
        <v>0</v>
      </c>
      <c r="BC13" s="53"/>
      <c r="BD13" s="53">
        <f>+'P&amp;L'!BP400</f>
        <v>0</v>
      </c>
      <c r="BE13" s="53">
        <f>+'P&amp;L'!BQ400</f>
        <v>0</v>
      </c>
      <c r="BF13" s="53">
        <f>+'P&amp;L'!BR400</f>
        <v>0</v>
      </c>
      <c r="BG13" s="53"/>
      <c r="BH13" s="53"/>
      <c r="BI13" s="49"/>
      <c r="BJ13" s="61" t="s">
        <v>434</v>
      </c>
      <c r="BK13" s="63"/>
      <c r="BL13" s="62">
        <f>'P&amp;L'!T189</f>
        <v>1.0753436958052061</v>
      </c>
      <c r="BM13" s="62">
        <f>'P&amp;L'!U189</f>
        <v>1.4552127990992829</v>
      </c>
      <c r="BN13" s="62">
        <f>'P&amp;L'!V189</f>
        <v>1.4552127990992829</v>
      </c>
      <c r="BO13" s="62"/>
      <c r="BP13" s="62">
        <f>'P&amp;L'!X189</f>
        <v>0.59973755297532794</v>
      </c>
      <c r="BQ13" s="62">
        <f>'P&amp;L'!Y189</f>
        <v>1.7285475535447528</v>
      </c>
      <c r="BR13" s="62">
        <f>'P&amp;L'!Z189</f>
        <v>1.7285475535447528</v>
      </c>
      <c r="BS13" s="62"/>
      <c r="BT13" s="62">
        <f>'P&amp;L'!AB189</f>
        <v>1.3365331768840401</v>
      </c>
      <c r="BU13" s="62">
        <f>'P&amp;L'!AC189</f>
        <v>4.0598479418580373</v>
      </c>
      <c r="BV13" s="62">
        <f>'P&amp;L'!AD189</f>
        <v>4.0598479418580373</v>
      </c>
      <c r="BW13" s="62"/>
      <c r="BX13" s="62">
        <f>'P&amp;L'!AF189</f>
        <v>-5.9600011102080686</v>
      </c>
      <c r="BY13" s="62">
        <f>'P&amp;L'!AG189</f>
        <v>-4.0908672447055743</v>
      </c>
      <c r="BZ13" s="62">
        <f>'P&amp;L'!AH189</f>
        <v>-4.0908672447055743</v>
      </c>
      <c r="CA13" s="62"/>
      <c r="CB13" s="62">
        <f>'P&amp;L'!AJ189</f>
        <v>-4.792998739364255</v>
      </c>
      <c r="CC13" s="62">
        <f>'P&amp;L'!AK189</f>
        <v>-2.5387897136981916</v>
      </c>
      <c r="CD13" s="62">
        <f>'P&amp;L'!AL189</f>
        <v>-2.5387897136981916</v>
      </c>
      <c r="CE13" s="62"/>
      <c r="CF13" s="62">
        <f>'P&amp;L'!AN189</f>
        <v>-5.1335378047689071</v>
      </c>
      <c r="CG13" s="62">
        <f>'P&amp;L'!AO189</f>
        <v>-4.5271002362055617</v>
      </c>
      <c r="CH13" s="62">
        <f>'P&amp;L'!AP189</f>
        <v>-4.5271002362055617</v>
      </c>
      <c r="CI13" s="62">
        <f>'P&amp;L'!AQ189</f>
        <v>0</v>
      </c>
      <c r="CJ13" s="62">
        <f>'P&amp;L'!AR189</f>
        <v>-4.1621214187693685</v>
      </c>
      <c r="CK13" s="62">
        <f>'P&amp;L'!AS189</f>
        <v>-3.0268585367756295</v>
      </c>
      <c r="CL13" s="62">
        <f>'P&amp;L'!AT189</f>
        <v>-3.0268585367756295</v>
      </c>
      <c r="CM13" s="62">
        <f>'P&amp;L'!AU189</f>
        <v>0</v>
      </c>
      <c r="CN13" s="62">
        <f>'P&amp;L'!AV189</f>
        <v>-2.7374909503331679</v>
      </c>
      <c r="CO13" s="62">
        <f>'P&amp;L'!AW189</f>
        <v>-1.5857966901690079</v>
      </c>
      <c r="CP13" s="62">
        <f>'P&amp;L'!AX189</f>
        <v>-1.5857966901690119</v>
      </c>
      <c r="CQ13" s="62">
        <f>'P&amp;L'!AY189</f>
        <v>0</v>
      </c>
      <c r="CR13" s="62">
        <f>'P&amp;L'!AZ189</f>
        <v>-1.3534367171674382</v>
      </c>
      <c r="CS13" s="62">
        <f>'P&amp;L'!BA189</f>
        <v>-0.19102810621630587</v>
      </c>
      <c r="CT13" s="62">
        <f>'P&amp;L'!BB189</f>
        <v>-0.1910281062163019</v>
      </c>
      <c r="CU13" s="62"/>
      <c r="CV13" s="62">
        <f>'P&amp;L'!BD189</f>
        <v>-3.5388233956009887E-2</v>
      </c>
      <c r="CW13" s="62">
        <f>'P&amp;L'!BE189</f>
        <v>1.1231546817200584</v>
      </c>
      <c r="CX13" s="62">
        <f>'P&amp;L'!BF189</f>
        <v>1.1231546817200544</v>
      </c>
      <c r="CY13" s="127"/>
      <c r="CZ13" s="130" t="s">
        <v>116</v>
      </c>
      <c r="DA13" s="24"/>
      <c r="DC13" s="937"/>
    </row>
    <row r="14" spans="1:109" ht="17.100000000000001" customHeight="1">
      <c r="B14" s="52" t="s">
        <v>314</v>
      </c>
      <c r="C14" s="53"/>
      <c r="D14" s="53">
        <f>'P&amp;L'!P460</f>
        <v>2.4569999999999999</v>
      </c>
      <c r="E14" s="53">
        <f>'P&amp;L'!Q460</f>
        <v>2.0880000000000001</v>
      </c>
      <c r="F14" s="53">
        <f>'P&amp;L'!R460</f>
        <v>4.5449999999999999</v>
      </c>
      <c r="G14" s="53"/>
      <c r="H14" s="53">
        <f>'P&amp;L'!T460</f>
        <v>2.4569999999999999</v>
      </c>
      <c r="I14" s="53">
        <f>'P&amp;L'!U460</f>
        <v>2.0300000000000002</v>
      </c>
      <c r="J14" s="53">
        <f>'P&amp;L'!V460</f>
        <v>4.4870000000000001</v>
      </c>
      <c r="K14" s="53"/>
      <c r="L14" s="53">
        <f>'P&amp;L'!X460</f>
        <v>2.1379999999999999</v>
      </c>
      <c r="M14" s="53">
        <f>'P&amp;L'!Y460</f>
        <v>1.419</v>
      </c>
      <c r="N14" s="53">
        <f>'P&amp;L'!Z460</f>
        <v>3.5569999999999999</v>
      </c>
      <c r="O14" s="53"/>
      <c r="P14" s="53">
        <f>'P&amp;L'!AB460</f>
        <v>0.95899999999999996</v>
      </c>
      <c r="Q14" s="53">
        <f>'P&amp;L'!AC460</f>
        <v>1.0230000000000001</v>
      </c>
      <c r="R14" s="53">
        <f>'P&amp;L'!AD460</f>
        <v>1.982</v>
      </c>
      <c r="S14" s="53"/>
      <c r="T14" s="53">
        <f>'P&amp;L'!AF460</f>
        <v>1.153</v>
      </c>
      <c r="U14" s="53">
        <f>'P&amp;L'!AG460</f>
        <v>1.6840000000000002</v>
      </c>
      <c r="V14" s="53">
        <f>'P&amp;L'!AH460</f>
        <v>2.8370000000000002</v>
      </c>
      <c r="W14" s="53"/>
      <c r="X14" s="53">
        <f>'P&amp;L'!AJ460</f>
        <v>1.575</v>
      </c>
      <c r="Y14" s="53">
        <f>'P&amp;L'!AK460</f>
        <v>1.8379999999999999</v>
      </c>
      <c r="Z14" s="53">
        <f>'P&amp;L'!AL460</f>
        <v>3.4129999999999998</v>
      </c>
      <c r="AA14" s="53"/>
      <c r="AB14" s="53">
        <f>'P&amp;L'!AN460</f>
        <v>1.6080000000000001</v>
      </c>
      <c r="AC14" s="53">
        <f>'P&amp;L'!AO460</f>
        <v>0.83499999999999996</v>
      </c>
      <c r="AD14" s="53">
        <f>'P&amp;L'!AP460</f>
        <v>2.4430000000000001</v>
      </c>
      <c r="AE14" s="53">
        <f>'P&amp;L'!AQ460</f>
        <v>0</v>
      </c>
      <c r="AF14" s="53">
        <f>'P&amp;L'!AR460</f>
        <v>1.6562400000000002</v>
      </c>
      <c r="AG14" s="53">
        <f>'P&amp;L'!AS460</f>
        <v>0.86004999999999998</v>
      </c>
      <c r="AH14" s="53">
        <f>'P&amp;L'!AT460</f>
        <v>2.5162900000000001</v>
      </c>
      <c r="AI14" s="53">
        <f>'P&amp;L'!AU460</f>
        <v>0</v>
      </c>
      <c r="AJ14" s="53">
        <f>'P&amp;L'!AV460</f>
        <v>0.87295074999999989</v>
      </c>
      <c r="AK14" s="53">
        <f>'P&amp;L'!AW460</f>
        <v>0.88604501124999979</v>
      </c>
      <c r="AL14" s="53">
        <f>'P&amp;L'!AX460</f>
        <v>1.7589957612499996</v>
      </c>
      <c r="AM14" s="53">
        <f>'P&amp;L'!AY460</f>
        <v>0</v>
      </c>
      <c r="AN14" s="53">
        <f>'P&amp;L'!AZ460</f>
        <v>0.89933568641874972</v>
      </c>
      <c r="AO14" s="53">
        <f>'P&amp;L'!BA460</f>
        <v>0.91282572171503085</v>
      </c>
      <c r="AP14" s="53">
        <f>'P&amp;L'!BB460</f>
        <v>1.8121614081337807</v>
      </c>
      <c r="AQ14" s="53"/>
      <c r="AR14" s="53">
        <f>'P&amp;L'!BD460</f>
        <v>0.92651810754075625</v>
      </c>
      <c r="AS14" s="53">
        <f>'P&amp;L'!BE460</f>
        <v>0.94041587915386748</v>
      </c>
      <c r="AT14" s="53">
        <f>'P&amp;L'!BF460</f>
        <v>1.8669339866946237</v>
      </c>
      <c r="AU14" s="53"/>
      <c r="AV14" s="53">
        <f>'P&amp;L'!BH460</f>
        <v>0.95452211734117542</v>
      </c>
      <c r="AW14" s="53">
        <f>'P&amp;L'!BI460</f>
        <v>0.96883994910129301</v>
      </c>
      <c r="AX14" s="53">
        <f>'P&amp;L'!BJ460</f>
        <v>1.9233620664424684</v>
      </c>
      <c r="AY14" s="53"/>
      <c r="AZ14" s="53">
        <f>'P&amp;L'!BL460</f>
        <v>0.98337254833781229</v>
      </c>
      <c r="BA14" s="53">
        <f>'P&amp;L'!BM460</f>
        <v>0.99812313656287943</v>
      </c>
      <c r="BB14" s="53">
        <f>'P&amp;L'!BN460</f>
        <v>1.9814956849006917</v>
      </c>
      <c r="BC14" s="53"/>
      <c r="BD14" s="53">
        <f>'P&amp;L'!BP460</f>
        <v>1.0130949836113226</v>
      </c>
      <c r="BE14" s="53">
        <f>'P&amp;L'!BQ460</f>
        <v>1.0282914083654924</v>
      </c>
      <c r="BF14" s="53">
        <f>'P&amp;L'!BR460</f>
        <v>2.0413863919768147</v>
      </c>
      <c r="BG14" s="53"/>
      <c r="BH14" s="53"/>
      <c r="BI14" s="49"/>
      <c r="BJ14" s="61" t="s">
        <v>435</v>
      </c>
      <c r="BK14" s="63"/>
      <c r="BL14" s="62">
        <f>'P&amp;L'!T195</f>
        <v>5.5986520078879769</v>
      </c>
      <c r="BM14" s="62">
        <f>'P&amp;L'!U195</f>
        <v>5.8152970524822019</v>
      </c>
      <c r="BN14" s="62">
        <f>'P&amp;L'!V195</f>
        <v>5.8152970524822019</v>
      </c>
      <c r="BO14" s="62"/>
      <c r="BP14" s="62">
        <f>'P&amp;L'!X195</f>
        <v>5.8033427920259593</v>
      </c>
      <c r="BQ14" s="62">
        <f>'P&amp;L'!Y195</f>
        <v>6.4345622848127295</v>
      </c>
      <c r="BR14" s="62">
        <f>'P&amp;L'!Z195</f>
        <v>6.4345622848127295</v>
      </c>
      <c r="BS14" s="62"/>
      <c r="BT14" s="62">
        <f>'P&amp;L'!AB195</f>
        <v>6.4249806440605344</v>
      </c>
      <c r="BU14" s="62">
        <f>'P&amp;L'!AC195</f>
        <v>9.2468572855022995</v>
      </c>
      <c r="BV14" s="62">
        <f>'P&amp;L'!AD195</f>
        <v>9.2468572855022995</v>
      </c>
      <c r="BW14" s="62"/>
      <c r="BX14" s="62">
        <f>'P&amp;L'!AF195</f>
        <v>10.000234609263</v>
      </c>
      <c r="BY14" s="62">
        <f>'P&amp;L'!AG195</f>
        <v>11.806149902560401</v>
      </c>
      <c r="BZ14" s="62">
        <f>'P&amp;L'!AH195</f>
        <v>11.806149902560401</v>
      </c>
      <c r="CA14" s="62"/>
      <c r="CB14" s="62">
        <f>'P&amp;L'!AJ195</f>
        <v>11.555480241707027</v>
      </c>
      <c r="CC14" s="62">
        <f>'P&amp;L'!AK195</f>
        <v>13.073492370413176</v>
      </c>
      <c r="CD14" s="62">
        <f>'P&amp;L'!AL195</f>
        <v>13.073492370413176</v>
      </c>
      <c r="CE14" s="62"/>
      <c r="CF14" s="62">
        <f>'P&amp;L'!AN195</f>
        <v>13.122160317894979</v>
      </c>
      <c r="CG14" s="62">
        <f>'P&amp;L'!AO195</f>
        <v>14.510731919873972</v>
      </c>
      <c r="CH14" s="62">
        <f>'P&amp;L'!AP195</f>
        <v>14.510731919873972</v>
      </c>
      <c r="CI14" s="62">
        <f>'P&amp;L'!AQ195</f>
        <v>0</v>
      </c>
      <c r="CJ14" s="62">
        <f>'P&amp;L'!AR195</f>
        <v>14.445637503761281</v>
      </c>
      <c r="CK14" s="62">
        <f>'P&amp;L'!AS195</f>
        <v>15.071360646670303</v>
      </c>
      <c r="CL14" s="62">
        <f>'P&amp;L'!AT195</f>
        <v>15.071360646670303</v>
      </c>
      <c r="CM14" s="62">
        <f>'P&amp;L'!AU195</f>
        <v>0</v>
      </c>
      <c r="CN14" s="62">
        <f>'P&amp;L'!AV195</f>
        <v>14.931780127481947</v>
      </c>
      <c r="CO14" s="62">
        <f>'P&amp;L'!AW195</f>
        <v>15.634884968385439</v>
      </c>
      <c r="CP14" s="62">
        <f>'P&amp;L'!AX195</f>
        <v>15.634884968385439</v>
      </c>
      <c r="CQ14" s="62">
        <f>'P&amp;L'!AY195</f>
        <v>0</v>
      </c>
      <c r="CR14" s="62">
        <f>'P&amp;L'!AZ195</f>
        <v>15.493115730716802</v>
      </c>
      <c r="CS14" s="62">
        <f>'P&amp;L'!BA195</f>
        <v>16.264879941637076</v>
      </c>
      <c r="CT14" s="62">
        <f>'P&amp;L'!BB195</f>
        <v>16.264879941637076</v>
      </c>
      <c r="CU14" s="62"/>
      <c r="CV14" s="62">
        <f>'P&amp;L'!BD195</f>
        <v>16.091771668764277</v>
      </c>
      <c r="CW14" s="62">
        <f>'P&amp;L'!BE195</f>
        <v>16.907647904143147</v>
      </c>
      <c r="CX14" s="62">
        <f>'P&amp;L'!BF195</f>
        <v>16.90764790414315</v>
      </c>
      <c r="CY14" s="127"/>
      <c r="CZ14" s="130" t="s">
        <v>117</v>
      </c>
      <c r="DA14" s="26"/>
      <c r="DC14" s="937"/>
    </row>
    <row r="15" spans="1:109" ht="17.100000000000001" customHeight="1">
      <c r="B15" s="47" t="s">
        <v>156</v>
      </c>
      <c r="C15" s="53"/>
      <c r="D15" s="59">
        <f t="shared" ref="D15:F15" si="0">SUM(D8:D14)</f>
        <v>267.62400000000002</v>
      </c>
      <c r="E15" s="59">
        <f t="shared" si="0"/>
        <v>278.52100000000002</v>
      </c>
      <c r="F15" s="59">
        <f t="shared" si="0"/>
        <v>546.14499999999998</v>
      </c>
      <c r="G15" s="59"/>
      <c r="H15" s="59">
        <f t="shared" ref="H15:I15" si="1">SUM(H8:H14)</f>
        <v>274.59000000000003</v>
      </c>
      <c r="I15" s="59">
        <f t="shared" si="1"/>
        <v>313.61499999999995</v>
      </c>
      <c r="J15" s="59">
        <f>SUM(J8:J14)</f>
        <v>588.20499999999993</v>
      </c>
      <c r="K15" s="59"/>
      <c r="L15" s="59">
        <f t="shared" ref="L15:N15" si="2">SUM(L8:L14)</f>
        <v>313.08199999999999</v>
      </c>
      <c r="M15" s="59">
        <f t="shared" si="2"/>
        <v>342.233</v>
      </c>
      <c r="N15" s="59">
        <f t="shared" si="2"/>
        <v>655.31500000000005</v>
      </c>
      <c r="O15" s="59"/>
      <c r="P15" s="59">
        <f t="shared" ref="P15:R15" si="3">SUM(P8:P14)</f>
        <v>328.25900000000001</v>
      </c>
      <c r="Q15" s="59">
        <f t="shared" si="3"/>
        <v>363.20300000000003</v>
      </c>
      <c r="R15" s="59">
        <f t="shared" si="3"/>
        <v>691.46199999999988</v>
      </c>
      <c r="S15" s="59"/>
      <c r="T15" s="59">
        <f t="shared" ref="T15:V15" si="4">SUM(T8:T14)</f>
        <v>467.25300000000004</v>
      </c>
      <c r="U15" s="59">
        <f t="shared" si="4"/>
        <v>646.96299999999997</v>
      </c>
      <c r="V15" s="59">
        <f t="shared" si="4"/>
        <v>1114.2160000000001</v>
      </c>
      <c r="W15" s="59"/>
      <c r="X15" s="59">
        <f t="shared" ref="X15:Z15" si="5">SUM(X8:X14)</f>
        <v>637.27500000000009</v>
      </c>
      <c r="Y15" s="59">
        <f t="shared" si="5"/>
        <v>697.80899999999997</v>
      </c>
      <c r="Z15" s="59">
        <f t="shared" si="5"/>
        <v>1335.106</v>
      </c>
      <c r="AA15" s="59"/>
      <c r="AB15" s="59">
        <f t="shared" ref="AB15:AD15" si="6">SUM(AB8:AB14)</f>
        <v>714.10799999999995</v>
      </c>
      <c r="AC15" s="59">
        <f t="shared" si="6"/>
        <v>789.53499999999997</v>
      </c>
      <c r="AD15" s="59">
        <f t="shared" si="6"/>
        <v>1503.6649999999997</v>
      </c>
      <c r="AE15" s="59">
        <f t="shared" ref="AE15:AP15" si="7">SUM(AE8:AE14)</f>
        <v>0</v>
      </c>
      <c r="AF15" s="59">
        <f t="shared" si="7"/>
        <v>765.27170300870944</v>
      </c>
      <c r="AG15" s="59">
        <f t="shared" si="7"/>
        <v>824.2747074909048</v>
      </c>
      <c r="AH15" s="59">
        <f t="shared" si="7"/>
        <v>1589.546410499614</v>
      </c>
      <c r="AI15" s="59">
        <f t="shared" si="7"/>
        <v>0</v>
      </c>
      <c r="AJ15" s="59">
        <f t="shared" si="7"/>
        <v>798.75017124232409</v>
      </c>
      <c r="AK15" s="59">
        <f t="shared" si="7"/>
        <v>863.16410515451025</v>
      </c>
      <c r="AL15" s="59">
        <f t="shared" si="7"/>
        <v>1661.9142763968343</v>
      </c>
      <c r="AM15" s="59">
        <f t="shared" si="7"/>
        <v>0</v>
      </c>
      <c r="AN15" s="59">
        <f t="shared" si="7"/>
        <v>833.07504811974991</v>
      </c>
      <c r="AO15" s="59">
        <f t="shared" si="7"/>
        <v>902.13918476399749</v>
      </c>
      <c r="AP15" s="59">
        <f t="shared" si="7"/>
        <v>1735.2142328837474</v>
      </c>
      <c r="AQ15" s="59"/>
      <c r="AR15" s="59">
        <f t="shared" ref="AR15:AT15" si="8">SUM(AR8:AR14)</f>
        <v>864.48339005910509</v>
      </c>
      <c r="AS15" s="59">
        <f t="shared" si="8"/>
        <v>937.92478167963543</v>
      </c>
      <c r="AT15" s="59">
        <f t="shared" si="8"/>
        <v>1802.4081717387403</v>
      </c>
      <c r="AU15" s="59"/>
      <c r="AV15" s="59">
        <f t="shared" ref="AV15:AX15" si="9">SUM(AV8:AV14)</f>
        <v>897.36165393386796</v>
      </c>
      <c r="AW15" s="59">
        <f t="shared" si="9"/>
        <v>975.40269230083493</v>
      </c>
      <c r="AX15" s="59">
        <f t="shared" si="9"/>
        <v>1872.764346234703</v>
      </c>
      <c r="AY15" s="59"/>
      <c r="AZ15" s="59">
        <f t="shared" ref="AZ15:BB15" si="10">SUM(AZ8:AZ14)</f>
        <v>931.78267076662439</v>
      </c>
      <c r="BA15" s="59">
        <f t="shared" si="10"/>
        <v>1014.6569252673177</v>
      </c>
      <c r="BB15" s="59">
        <f t="shared" si="10"/>
        <v>1946.4395960339421</v>
      </c>
      <c r="BC15" s="59"/>
      <c r="BD15" s="59">
        <f t="shared" ref="BD15:BF15" si="11">SUM(BD8:BD14)</f>
        <v>967.82298574827018</v>
      </c>
      <c r="BE15" s="59">
        <f t="shared" si="11"/>
        <v>1055.7757663772306</v>
      </c>
      <c r="BF15" s="59">
        <f t="shared" si="11"/>
        <v>2023.5987521255008</v>
      </c>
      <c r="BG15" s="59"/>
      <c r="BH15" s="53"/>
      <c r="BI15" s="60"/>
      <c r="BJ15" s="65" t="s">
        <v>47</v>
      </c>
      <c r="BK15" s="67"/>
      <c r="BL15" s="66">
        <f>'P&amp;L'!T190</f>
        <v>10.919857572798866</v>
      </c>
      <c r="BM15" s="66">
        <f>'P&amp;L'!U190</f>
        <v>9.8931922595176225</v>
      </c>
      <c r="BN15" s="66">
        <f>'P&amp;L'!V190</f>
        <v>9.8931922595176225</v>
      </c>
      <c r="BO15" s="66"/>
      <c r="BP15" s="66">
        <f>'P&amp;L'!X190</f>
        <v>26.438231058464812</v>
      </c>
      <c r="BQ15" s="66">
        <f>'P&amp;L'!Y190</f>
        <v>12.685852902936798</v>
      </c>
      <c r="BR15" s="66">
        <f>'P&amp;L'!Z190</f>
        <v>12.685852902936798</v>
      </c>
      <c r="BS15" s="66"/>
      <c r="BT15" s="66">
        <f>'P&amp;L'!AB190</f>
        <v>18.876074635735637</v>
      </c>
      <c r="BU15" s="66">
        <f>'P&amp;L'!AC190</f>
        <v>4.3548429037735188</v>
      </c>
      <c r="BV15" s="66">
        <f>'P&amp;L'!AD190</f>
        <v>4.3548429037735188</v>
      </c>
      <c r="BW15" s="66"/>
      <c r="BX15" s="66">
        <f>'P&amp;L'!AF190</f>
        <v>-3.7802006381192537</v>
      </c>
      <c r="BY15" s="66">
        <f>'P&amp;L'!AG190</f>
        <v>-7.1867401803492061</v>
      </c>
      <c r="BZ15" s="66">
        <f>'P&amp;L'!AH190</f>
        <v>-7.1867401803492061</v>
      </c>
      <c r="CA15" s="66"/>
      <c r="CB15" s="66">
        <f>'P&amp;L'!AJ190</f>
        <v>-5.7375354126731128</v>
      </c>
      <c r="CC15" s="66">
        <f>'P&amp;L'!AK190</f>
        <v>-12.48232566447497</v>
      </c>
      <c r="CD15" s="66">
        <f>'P&amp;L'!AL190</f>
        <v>-12.48232566447497</v>
      </c>
      <c r="CE15" s="66"/>
      <c r="CF15" s="66">
        <f>'P&amp;L'!AN190</f>
        <v>-6.0776799911780346</v>
      </c>
      <c r="CG15" s="66">
        <f>'P&amp;L'!AO190</f>
        <v>-7.8372463936733912</v>
      </c>
      <c r="CH15" s="66">
        <f>'P&amp;L'!AP190</f>
        <v>-7.8372463936733912</v>
      </c>
      <c r="CI15" s="66">
        <f>'P&amp;L'!AQ190</f>
        <v>0</v>
      </c>
      <c r="CJ15" s="66">
        <f>'P&amp;L'!AR190</f>
        <v>-8.9848219783691459</v>
      </c>
      <c r="CK15" s="66">
        <f>'P&amp;L'!AS190</f>
        <v>-13.021850608845192</v>
      </c>
      <c r="CL15" s="66">
        <f>'P&amp;L'!AT190</f>
        <v>-13.021850608845192</v>
      </c>
      <c r="CM15" s="66">
        <f>'P&amp;L'!AU190</f>
        <v>0</v>
      </c>
      <c r="CN15" s="66">
        <f>'P&amp;L'!AV190</f>
        <v>-15.17584043799812</v>
      </c>
      <c r="CO15" s="66">
        <f>'P&amp;L'!AW190</f>
        <v>-27.612043416889854</v>
      </c>
      <c r="CP15" s="66">
        <f>'P&amp;L'!AX190</f>
        <v>-27.612043416889787</v>
      </c>
      <c r="CQ15" s="66">
        <f>'P&amp;L'!AY190</f>
        <v>0</v>
      </c>
      <c r="CR15" s="66">
        <f>'P&amp;L'!AZ190</f>
        <v>-34.099554988502568</v>
      </c>
      <c r="CS15" s="66">
        <f>'P&amp;L'!BA190</f>
        <v>-254.64198212014105</v>
      </c>
      <c r="CT15" s="66">
        <f>'P&amp;L'!BB190</f>
        <v>-254.64198212014634</v>
      </c>
      <c r="CU15" s="66"/>
      <c r="CV15" s="66">
        <f>'P&amp;L'!BD190</f>
        <v>-1448.8018688392044</v>
      </c>
      <c r="CW15" s="66">
        <f>'P&amp;L'!BE190</f>
        <v>48.113718886973402</v>
      </c>
      <c r="CX15" s="66">
        <f>'P&amp;L'!BF190</f>
        <v>48.113718886973572</v>
      </c>
      <c r="CY15" s="127"/>
      <c r="CZ15" s="130" t="s">
        <v>662</v>
      </c>
      <c r="DA15" s="24"/>
      <c r="DC15" s="937"/>
    </row>
    <row r="16" spans="1:109" ht="17.100000000000001" customHeight="1">
      <c r="A16" s="47"/>
      <c r="B16" s="52" t="s">
        <v>176</v>
      </c>
      <c r="C16" s="54"/>
      <c r="D16" s="53">
        <f>'P&amp;L'!P231</f>
        <v>48.000000000000028</v>
      </c>
      <c r="E16" s="53">
        <f>'P&amp;L'!Q231</f>
        <v>57.5</v>
      </c>
      <c r="F16" s="53">
        <f>'P&amp;L'!R231</f>
        <v>105.5</v>
      </c>
      <c r="G16" s="54"/>
      <c r="H16" s="53">
        <f>'P&amp;L'!T231</f>
        <v>48.000000000000028</v>
      </c>
      <c r="I16" s="53">
        <f>'P&amp;L'!U231</f>
        <v>63.899999999999977</v>
      </c>
      <c r="J16" s="53">
        <f>'P&amp;L'!V231</f>
        <v>111.89999999999998</v>
      </c>
      <c r="K16" s="54"/>
      <c r="L16" s="53">
        <f>'P&amp;L'!X231</f>
        <v>65.991000000000014</v>
      </c>
      <c r="M16" s="53">
        <f>'P&amp;L'!Y231</f>
        <v>70.848999999999961</v>
      </c>
      <c r="N16" s="53">
        <f>'P&amp;L'!Z231</f>
        <v>136.83999999999997</v>
      </c>
      <c r="O16" s="54"/>
      <c r="P16" s="53">
        <f>'P&amp;L'!AB231</f>
        <v>68.199999999999989</v>
      </c>
      <c r="Q16" s="53">
        <f>'P&amp;L'!AC231</f>
        <v>86</v>
      </c>
      <c r="R16" s="53">
        <f>'P&amp;L'!AD231</f>
        <v>154.19999999999999</v>
      </c>
      <c r="S16" s="54"/>
      <c r="T16" s="53">
        <f>'P&amp;L'!AF231</f>
        <v>87.800000000000011</v>
      </c>
      <c r="U16" s="53">
        <f>'P&amp;L'!AG231</f>
        <v>94.482999999999976</v>
      </c>
      <c r="V16" s="53">
        <f>'P&amp;L'!AH231</f>
        <v>182.28300000000007</v>
      </c>
      <c r="W16" s="54"/>
      <c r="X16" s="53">
        <f>'P&amp;L'!AJ231</f>
        <v>101.5</v>
      </c>
      <c r="Y16" s="53">
        <f>'P&amp;L'!AK231</f>
        <v>105.93</v>
      </c>
      <c r="Z16" s="53">
        <f>'P&amp;L'!AL231</f>
        <v>207.43</v>
      </c>
      <c r="AA16" s="53"/>
      <c r="AB16" s="53">
        <f>'P&amp;L'!AN231</f>
        <v>113.90000000000003</v>
      </c>
      <c r="AC16" s="53">
        <f>'P&amp;L'!AO231</f>
        <v>117.10000000000002</v>
      </c>
      <c r="AD16" s="53">
        <f>'P&amp;L'!AP231</f>
        <v>231</v>
      </c>
      <c r="AE16" s="53">
        <f>'P&amp;L'!AQ231</f>
        <v>0</v>
      </c>
      <c r="AF16" s="53">
        <f>'P&amp;L'!AR231</f>
        <v>117.923567625</v>
      </c>
      <c r="AG16" s="53">
        <f>'P&amp;L'!AS231</f>
        <v>123.46102975000005</v>
      </c>
      <c r="AH16" s="53">
        <f>'P&amp;L'!AT231</f>
        <v>241.38459737500006</v>
      </c>
      <c r="AI16" s="53">
        <f>'P&amp;L'!AU231</f>
        <v>0</v>
      </c>
      <c r="AJ16" s="53">
        <f>'P&amp;L'!AV231</f>
        <v>123.24950629800001</v>
      </c>
      <c r="AK16" s="53">
        <f>'P&amp;L'!AW231</f>
        <v>129.2107469049194</v>
      </c>
      <c r="AL16" s="53">
        <f>'P&amp;L'!AX231</f>
        <v>252.46025320291943</v>
      </c>
      <c r="AM16" s="53">
        <f>'P&amp;L'!AY231</f>
        <v>0</v>
      </c>
      <c r="AN16" s="53">
        <f>'P&amp;L'!AZ231</f>
        <v>128.8549887965487</v>
      </c>
      <c r="AO16" s="53">
        <f>'P&amp;L'!BA231</f>
        <v>135.43879347818233</v>
      </c>
      <c r="AP16" s="53">
        <f>'P&amp;L'!BB231</f>
        <v>264.29378227473103</v>
      </c>
      <c r="AQ16" s="54"/>
      <c r="AR16" s="53">
        <f>'P&amp;L'!BD231</f>
        <v>133.00997004731414</v>
      </c>
      <c r="AS16" s="53">
        <f>'P&amp;L'!BE231</f>
        <v>140.04912996302949</v>
      </c>
      <c r="AT16" s="53">
        <f>'P&amp;L'!BF231</f>
        <v>273.05910001034363</v>
      </c>
      <c r="AU16" s="54"/>
      <c r="AV16" s="53">
        <f>'P&amp;L'!BH231</f>
        <v>137.34415449683664</v>
      </c>
      <c r="AW16" s="53">
        <f>'P&amp;L'!BI231</f>
        <v>144.86143740833774</v>
      </c>
      <c r="AX16" s="53">
        <f>'P&amp;L'!BJ231</f>
        <v>282.2055919051744</v>
      </c>
      <c r="AY16" s="54"/>
      <c r="AZ16" s="53">
        <f>'P&amp;L'!BL231</f>
        <v>141.86593138777835</v>
      </c>
      <c r="BA16" s="53">
        <f>'P&amp;L'!BM231</f>
        <v>149.88524344485452</v>
      </c>
      <c r="BB16" s="53">
        <f>'P&amp;L'!BN231</f>
        <v>291.75117483263284</v>
      </c>
      <c r="BC16" s="54"/>
      <c r="BD16" s="53">
        <f>'P&amp;L'!BP231</f>
        <v>146.58409800658916</v>
      </c>
      <c r="BE16" s="53">
        <f>'P&amp;L'!BQ231</f>
        <v>155.13054066651912</v>
      </c>
      <c r="BF16" s="53">
        <f>'P&amp;L'!BR231</f>
        <v>301.71463867310831</v>
      </c>
      <c r="BG16" s="54"/>
      <c r="BH16" s="54"/>
      <c r="BI16" s="49"/>
      <c r="BJ16" s="68" t="s">
        <v>48</v>
      </c>
      <c r="BK16" s="70"/>
      <c r="BL16" s="69">
        <f>'P&amp;L'!T196</f>
        <v>2.0973977277844336</v>
      </c>
      <c r="BM16" s="69">
        <f>'P&amp;L'!U196</f>
        <v>2.4756602921694104</v>
      </c>
      <c r="BN16" s="69">
        <f>'P&amp;L'!V196</f>
        <v>2.4756602921694104</v>
      </c>
      <c r="BO16" s="69"/>
      <c r="BP16" s="69">
        <f>'P&amp;L'!X196</f>
        <v>2.7322184072577653</v>
      </c>
      <c r="BQ16" s="69">
        <f>'P&amp;L'!Y196</f>
        <v>3.4078619538357913</v>
      </c>
      <c r="BR16" s="69">
        <f>'P&amp;L'!Z196</f>
        <v>3.4078619538357913</v>
      </c>
      <c r="BS16" s="69"/>
      <c r="BT16" s="69">
        <f>'P&amp;L'!AB196</f>
        <v>3.9266266153380656</v>
      </c>
      <c r="BU16" s="69">
        <f>'P&amp;L'!AC196</f>
        <v>1.9120009592577596</v>
      </c>
      <c r="BV16" s="69">
        <f>'P&amp;L'!AD196</f>
        <v>1.9120009592577596</v>
      </c>
      <c r="BW16" s="69"/>
      <c r="BX16" s="69">
        <f>'P&amp;L'!AF196</f>
        <v>2.2529471437731021</v>
      </c>
      <c r="BY16" s="69">
        <f>'P&amp;L'!AG196</f>
        <v>2.4902275714476585</v>
      </c>
      <c r="BZ16" s="69">
        <f>'P&amp;L'!AH196</f>
        <v>2.4902275714476585</v>
      </c>
      <c r="CA16" s="69"/>
      <c r="CB16" s="69">
        <f>'P&amp;L'!AJ196</f>
        <v>2.3798232029115196</v>
      </c>
      <c r="CC16" s="69">
        <f>'P&amp;L'!AK196</f>
        <v>2.4239888701597541</v>
      </c>
      <c r="CD16" s="69">
        <f>'P&amp;L'!AL196</f>
        <v>2.4239888701597541</v>
      </c>
      <c r="CE16" s="69"/>
      <c r="CF16" s="69">
        <f>'P&amp;L'!AN196</f>
        <v>2.3776572793011734</v>
      </c>
      <c r="CG16" s="69">
        <f>'P&amp;L'!AO196</f>
        <v>2.4450868637030232</v>
      </c>
      <c r="CH16" s="69">
        <f>'P&amp;L'!AP196</f>
        <v>2.4450868637030232</v>
      </c>
      <c r="CI16" s="69">
        <f>'P&amp;L'!AQ196</f>
        <v>0</v>
      </c>
      <c r="CJ16" s="69">
        <f>'P&amp;L'!AR196</f>
        <v>2.5887344875062133</v>
      </c>
      <c r="CK16" s="69">
        <f>'P&amp;L'!AS196</f>
        <v>2.6152449406555718</v>
      </c>
      <c r="CL16" s="69">
        <f>'P&amp;L'!AT196</f>
        <v>2.6152449406555718</v>
      </c>
      <c r="CM16" s="69">
        <f>'P&amp;L'!AU196</f>
        <v>0</v>
      </c>
      <c r="CN16" s="69">
        <f>'P&amp;L'!AV196</f>
        <v>2.7822353067106014</v>
      </c>
      <c r="CO16" s="69">
        <f>'P&amp;L'!AW196</f>
        <v>2.8006018047364387</v>
      </c>
      <c r="CP16" s="69">
        <f>'P&amp;L'!AX196</f>
        <v>2.8006018047364387</v>
      </c>
      <c r="CQ16" s="69">
        <f>'P&amp;L'!AY196</f>
        <v>0</v>
      </c>
      <c r="CR16" s="69">
        <f>'P&amp;L'!AZ196</f>
        <v>2.9788449633154719</v>
      </c>
      <c r="CS16" s="69">
        <f>'P&amp;L'!BA196</f>
        <v>2.9907245415966419</v>
      </c>
      <c r="CT16" s="69">
        <f>'P&amp;L'!BB196</f>
        <v>2.9907245415966419</v>
      </c>
      <c r="CU16" s="69"/>
      <c r="CV16" s="69">
        <f>'P&amp;L'!BD196</f>
        <v>3.1861339164976665</v>
      </c>
      <c r="CW16" s="69">
        <f>'P&amp;L'!BE196</f>
        <v>3.1961363833241947</v>
      </c>
      <c r="CX16" s="69">
        <f>'P&amp;L'!BF196</f>
        <v>3.1961363833241938</v>
      </c>
      <c r="CY16" s="127"/>
      <c r="CZ16" s="130" t="s">
        <v>663</v>
      </c>
      <c r="DA16" s="24"/>
    </row>
    <row r="17" spans="1:105" ht="17.100000000000001" customHeight="1">
      <c r="B17" s="102" t="s">
        <v>183</v>
      </c>
      <c r="C17" s="53"/>
      <c r="D17" s="53">
        <f>'P&amp;L'!P273</f>
        <v>0</v>
      </c>
      <c r="E17" s="53">
        <f>'P&amp;L'!Q273</f>
        <v>0</v>
      </c>
      <c r="F17" s="53">
        <f>'P&amp;L'!R273</f>
        <v>0</v>
      </c>
      <c r="G17" s="53"/>
      <c r="H17" s="53">
        <f>'P&amp;L'!T273</f>
        <v>0</v>
      </c>
      <c r="I17" s="53">
        <f>'P&amp;L'!U273</f>
        <v>7.7000000000000011</v>
      </c>
      <c r="J17" s="53">
        <f>'P&amp;L'!V273</f>
        <v>7.7000000000000011</v>
      </c>
      <c r="K17" s="53"/>
      <c r="L17" s="53">
        <f>'P&amp;L'!X273</f>
        <v>10.7</v>
      </c>
      <c r="M17" s="53">
        <f>'P&amp;L'!Y273</f>
        <v>11.3</v>
      </c>
      <c r="N17" s="53">
        <f>'P&amp;L'!Z273</f>
        <v>22</v>
      </c>
      <c r="O17" s="53"/>
      <c r="P17" s="53">
        <f>'P&amp;L'!AB273</f>
        <v>12.299999999999997</v>
      </c>
      <c r="Q17" s="53">
        <f>'P&amp;L'!AC273</f>
        <v>14.030000000000008</v>
      </c>
      <c r="R17" s="53">
        <f>'P&amp;L'!AD273</f>
        <v>26.330000000000005</v>
      </c>
      <c r="S17" s="53"/>
      <c r="T17" s="53">
        <f>'P&amp;L'!AF273</f>
        <v>14.5</v>
      </c>
      <c r="U17" s="53">
        <f>'P&amp;L'!AG273</f>
        <v>17.575000000000003</v>
      </c>
      <c r="V17" s="53">
        <f>'P&amp;L'!AH273</f>
        <v>32.075000000000003</v>
      </c>
      <c r="W17" s="53"/>
      <c r="X17" s="53">
        <f>'P&amp;L'!AJ273</f>
        <v>17.100000000000001</v>
      </c>
      <c r="Y17" s="836">
        <f>'P&amp;L'!AK273</f>
        <v>21.54</v>
      </c>
      <c r="Z17" s="836">
        <f>'P&amp;L'!AL273</f>
        <v>38.64</v>
      </c>
      <c r="AA17" s="53"/>
      <c r="AB17" s="53">
        <f>'P&amp;L'!AN273</f>
        <v>21.700000000000003</v>
      </c>
      <c r="AC17" s="53">
        <f>'P&amp;L'!AO273</f>
        <v>26.699999999999996</v>
      </c>
      <c r="AD17" s="53">
        <f>'P&amp;L'!AP273</f>
        <v>48.4</v>
      </c>
      <c r="AE17" s="53">
        <f>'P&amp;L'!AQ273</f>
        <v>0</v>
      </c>
      <c r="AF17" s="53">
        <f>'P&amp;L'!AR273</f>
        <v>24.186360000000004</v>
      </c>
      <c r="AG17" s="53">
        <f>'P&amp;L'!AS273</f>
        <v>29.356799999999996</v>
      </c>
      <c r="AH17" s="53">
        <f>'P&amp;L'!AT273</f>
        <v>53.54316</v>
      </c>
      <c r="AI17" s="53">
        <f>'P&amp;L'!AU273</f>
        <v>0</v>
      </c>
      <c r="AJ17" s="53">
        <f>'P&amp;L'!AV273</f>
        <v>26.908706000000006</v>
      </c>
      <c r="AK17" s="53">
        <f>'P&amp;L'!AW273</f>
        <v>32.628859999999996</v>
      </c>
      <c r="AL17" s="53">
        <f>'P&amp;L'!AX273</f>
        <v>59.537565999999998</v>
      </c>
      <c r="AM17" s="53">
        <f>'P&amp;L'!AY273</f>
        <v>0</v>
      </c>
      <c r="AN17" s="53">
        <f>'P&amp;L'!AZ273</f>
        <v>29.933657600000011</v>
      </c>
      <c r="AO17" s="53">
        <f>'P&amp;L'!BA273</f>
        <v>36.261763999999999</v>
      </c>
      <c r="AP17" s="53">
        <f>'P&amp;L'!BB273</f>
        <v>66.195421600000003</v>
      </c>
      <c r="AQ17" s="53"/>
      <c r="AR17" s="53">
        <f>'P&amp;L'!BD273</f>
        <v>31.729677056000011</v>
      </c>
      <c r="AS17" s="53">
        <f>'P&amp;L'!BE273</f>
        <v>38.437469840000006</v>
      </c>
      <c r="AT17" s="53">
        <f>'P&amp;L'!BF273</f>
        <v>70.16714689600002</v>
      </c>
      <c r="AU17" s="53"/>
      <c r="AV17" s="53">
        <f>'P&amp;L'!BH273</f>
        <v>33.633457679360014</v>
      </c>
      <c r="AW17" s="53">
        <f>'P&amp;L'!BI273</f>
        <v>40.743718030400004</v>
      </c>
      <c r="AX17" s="53">
        <f>'P&amp;L'!BJ273</f>
        <v>74.377175709760024</v>
      </c>
      <c r="AY17" s="53"/>
      <c r="AZ17" s="53">
        <f>'P&amp;L'!BL273</f>
        <v>35.651465140121616</v>
      </c>
      <c r="BA17" s="53">
        <f>'P&amp;L'!BM273</f>
        <v>43.188341112224009</v>
      </c>
      <c r="BB17" s="53">
        <f>'P&amp;L'!BN273</f>
        <v>78.839806252345625</v>
      </c>
      <c r="BC17" s="53"/>
      <c r="BD17" s="53">
        <f>'P&amp;L'!BP273</f>
        <v>37.790553048528913</v>
      </c>
      <c r="BE17" s="53">
        <f>'P&amp;L'!BQ273</f>
        <v>45.77964157895746</v>
      </c>
      <c r="BF17" s="53">
        <f>'P&amp;L'!BR273</f>
        <v>83.570194627486373</v>
      </c>
      <c r="BG17" s="53"/>
      <c r="BH17" s="53"/>
      <c r="BI17" s="49"/>
      <c r="BJ17" s="71" t="s">
        <v>650</v>
      </c>
      <c r="BK17" s="73"/>
      <c r="BL17" s="72">
        <f>'P&amp;L'!T97</f>
        <v>0.46680392160711881</v>
      </c>
      <c r="BM17" s="72">
        <f>'P&amp;L'!U97</f>
        <v>0.93421918431246687</v>
      </c>
      <c r="BN17" s="72">
        <f>'P&amp;L'!V97</f>
        <v>0.72402673572012455</v>
      </c>
      <c r="BO17" s="72"/>
      <c r="BP17" s="72">
        <f>'P&amp;L'!X97</f>
        <v>0.39581827180203544</v>
      </c>
      <c r="BQ17" s="72">
        <f>'P&amp;L'!Y97</f>
        <v>0.82187221168007218</v>
      </c>
      <c r="BR17" s="72">
        <f>'P&amp;L'!Z97</f>
        <v>0.6259267630862414</v>
      </c>
      <c r="BS17" s="72"/>
      <c r="BT17" s="72">
        <f>'P&amp;L'!AB97</f>
        <v>0.41452841531307288</v>
      </c>
      <c r="BU17" s="72">
        <f>'P&amp;L'!AC97</f>
        <v>0.83057808557264268</v>
      </c>
      <c r="BV17" s="72">
        <f>'P&amp;L'!AD97</f>
        <v>0.6589861849385692</v>
      </c>
      <c r="BW17" s="72"/>
      <c r="BX17" s="72">
        <f>'P&amp;L'!AF97</f>
        <v>0.3694310494210315</v>
      </c>
      <c r="BY17" s="72">
        <f>'P&amp;L'!AG97</f>
        <v>0.61768834711344933</v>
      </c>
      <c r="BZ17" s="72">
        <f>'P&amp;L'!AH97</f>
        <v>0.52832789128397351</v>
      </c>
      <c r="CA17" s="72"/>
      <c r="CB17" s="72">
        <f>'P&amp;L'!AJ97</f>
        <v>0.30863319584696319</v>
      </c>
      <c r="CC17" s="72">
        <f>'P&amp;L'!AK97</f>
        <v>0.68317657691658296</v>
      </c>
      <c r="CD17" s="72">
        <f>'P&amp;L'!AL97</f>
        <v>0.5291049532508082</v>
      </c>
      <c r="CE17" s="72"/>
      <c r="CF17" s="72">
        <f>'P&amp;L'!AN97</f>
        <v>0.36598709612506464</v>
      </c>
      <c r="CG17" s="72">
        <f>'P&amp;L'!AO97</f>
        <v>0.63728218379381241</v>
      </c>
      <c r="CH17" s="72">
        <f>'P&amp;L'!AP97</f>
        <v>0.5295066333128623</v>
      </c>
      <c r="CI17" s="72">
        <f>'P&amp;L'!AQ97</f>
        <v>0</v>
      </c>
      <c r="CJ17" s="72">
        <f>'P&amp;L'!AR97</f>
        <v>0.4</v>
      </c>
      <c r="CK17" s="72">
        <f>'P&amp;L'!AS97</f>
        <v>0.7</v>
      </c>
      <c r="CL17" s="72">
        <f>'P&amp;L'!AT97</f>
        <v>0.57690914284924522</v>
      </c>
      <c r="CM17" s="72">
        <f>'P&amp;L'!AU97</f>
        <v>0</v>
      </c>
      <c r="CN17" s="72">
        <f>'P&amp;L'!AV97</f>
        <v>0.4</v>
      </c>
      <c r="CO17" s="72">
        <f>'P&amp;L'!AW97</f>
        <v>0.7</v>
      </c>
      <c r="CP17" s="72">
        <f>'P&amp;L'!AX97</f>
        <v>0.57774581735292452</v>
      </c>
      <c r="CQ17" s="72">
        <f>'P&amp;L'!AY97</f>
        <v>0</v>
      </c>
      <c r="CR17" s="72">
        <f>'P&amp;L'!AZ97</f>
        <v>0.4</v>
      </c>
      <c r="CS17" s="72">
        <f>'P&amp;L'!BA97</f>
        <v>0.7</v>
      </c>
      <c r="CT17" s="72">
        <f>'P&amp;L'!BB97</f>
        <v>0.57727212068998179</v>
      </c>
      <c r="CU17" s="72"/>
      <c r="CV17" s="72">
        <f>'P&amp;L'!BD97</f>
        <v>0.4</v>
      </c>
      <c r="CW17" s="72">
        <f>'P&amp;L'!BE97</f>
        <v>0.7</v>
      </c>
      <c r="CX17" s="72">
        <f>'P&amp;L'!BF97</f>
        <v>0.57731515423385249</v>
      </c>
      <c r="CY17" s="127"/>
      <c r="CZ17" s="130" t="s">
        <v>118</v>
      </c>
      <c r="DA17" s="24"/>
    </row>
    <row r="18" spans="1:105" ht="17.100000000000001" customHeight="1">
      <c r="B18" s="52" t="s">
        <v>187</v>
      </c>
      <c r="C18" s="53"/>
      <c r="D18" s="53">
        <f>'P&amp;L'!P310</f>
        <v>8.0999999999999943</v>
      </c>
      <c r="E18" s="53">
        <f>'P&amp;L'!Q310</f>
        <v>12.600000000000001</v>
      </c>
      <c r="F18" s="53">
        <f>'P&amp;L'!R310</f>
        <v>20.699999999999996</v>
      </c>
      <c r="G18" s="53"/>
      <c r="H18" s="53">
        <f>'P&amp;L'!T310</f>
        <v>8.0999999999999943</v>
      </c>
      <c r="I18" s="53">
        <f>'P&amp;L'!U310</f>
        <v>10.200000000000003</v>
      </c>
      <c r="J18" s="53">
        <f>'P&amp;L'!V310</f>
        <v>18.299999999999997</v>
      </c>
      <c r="K18" s="53"/>
      <c r="L18" s="53">
        <f>'P&amp;L'!X310</f>
        <v>8</v>
      </c>
      <c r="M18" s="53">
        <f>'P&amp;L'!Y310</f>
        <v>15.400000000000002</v>
      </c>
      <c r="N18" s="53">
        <f>'P&amp;L'!Z310</f>
        <v>23.4</v>
      </c>
      <c r="O18" s="53"/>
      <c r="P18" s="53">
        <f>'P&amp;L'!AB310</f>
        <v>15.099999999999998</v>
      </c>
      <c r="Q18" s="53">
        <f>'P&amp;L'!AC310</f>
        <v>23.250000000000007</v>
      </c>
      <c r="R18" s="53">
        <f>'P&amp;L'!AD310</f>
        <v>38.350000000000009</v>
      </c>
      <c r="S18" s="53"/>
      <c r="T18" s="53">
        <f>'P&amp;L'!AF310</f>
        <v>18.399999999999999</v>
      </c>
      <c r="U18" s="53">
        <f>'P&amp;L'!AG310</f>
        <v>35.100000000000009</v>
      </c>
      <c r="V18" s="53">
        <f>'P&amp;L'!AH310</f>
        <v>53.499999999999986</v>
      </c>
      <c r="W18" s="53"/>
      <c r="X18" s="53">
        <f>'P&amp;L'!AJ310</f>
        <v>34.100000000000009</v>
      </c>
      <c r="Y18" s="836">
        <f>'P&amp;L'!AK310</f>
        <v>41.042000000000016</v>
      </c>
      <c r="Z18" s="836">
        <f>'P&amp;L'!AL310</f>
        <v>75.142000000000024</v>
      </c>
      <c r="AA18" s="53"/>
      <c r="AB18" s="53">
        <f>'P&amp;L'!AN310</f>
        <v>43.099999999999994</v>
      </c>
      <c r="AC18" s="53">
        <f>'P&amp;L'!AO310</f>
        <v>54.400000000000006</v>
      </c>
      <c r="AD18" s="53">
        <f>'P&amp;L'!AP310</f>
        <v>97.5</v>
      </c>
      <c r="AE18" s="53">
        <f>'P&amp;L'!AQ310</f>
        <v>0</v>
      </c>
      <c r="AF18" s="53">
        <f>'P&amp;L'!AR310</f>
        <v>47.055752750000003</v>
      </c>
      <c r="AG18" s="53">
        <f>'P&amp;L'!AS310</f>
        <v>57.855069500000006</v>
      </c>
      <c r="AH18" s="53">
        <f>'P&amp;L'!AT310</f>
        <v>104.91082225000001</v>
      </c>
      <c r="AI18" s="53">
        <f>'P&amp;L'!AU310</f>
        <v>0</v>
      </c>
      <c r="AJ18" s="53">
        <f>'P&amp;L'!AV310</f>
        <v>50.049132454441754</v>
      </c>
      <c r="AK18" s="53">
        <f>'P&amp;L'!AW310</f>
        <v>61.40950445</v>
      </c>
      <c r="AL18" s="53">
        <f>'P&amp;L'!AX310</f>
        <v>111.45863690444176</v>
      </c>
      <c r="AM18" s="53">
        <f>'P&amp;L'!AY310</f>
        <v>0</v>
      </c>
      <c r="AN18" s="53">
        <f>'P&amp;L'!AZ310</f>
        <v>52.659868071095104</v>
      </c>
      <c r="AO18" s="53">
        <f>'P&amp;L'!BA310</f>
        <v>64.799361481294738</v>
      </c>
      <c r="AP18" s="53">
        <f>'P&amp;L'!BB310</f>
        <v>117.45922955238984</v>
      </c>
      <c r="AQ18" s="53"/>
      <c r="AR18" s="53">
        <f>'P&amp;L'!BD310</f>
        <v>53.850472091294918</v>
      </c>
      <c r="AS18" s="53">
        <f>'P&amp;L'!BE310</f>
        <v>66.509865237902531</v>
      </c>
      <c r="AT18" s="53">
        <f>'P&amp;L'!BF310</f>
        <v>120.36033732919745</v>
      </c>
      <c r="AU18" s="53"/>
      <c r="AV18" s="53">
        <f>'P&amp;L'!BH310</f>
        <v>55.07552525824984</v>
      </c>
      <c r="AW18" s="53">
        <f>'P&amp;L'!BI310</f>
        <v>68.275614130721763</v>
      </c>
      <c r="AX18" s="53">
        <f>'P&amp;L'!BJ310</f>
        <v>123.3511393889716</v>
      </c>
      <c r="AY18" s="53"/>
      <c r="AZ18" s="53">
        <f>'P&amp;L'!BL310</f>
        <v>56.336142037549017</v>
      </c>
      <c r="BA18" s="53">
        <f>'P&amp;L'!BM310</f>
        <v>70.098554464919815</v>
      </c>
      <c r="BB18" s="53">
        <f>'P&amp;L'!BN310</f>
        <v>126.43469650246882</v>
      </c>
      <c r="BC18" s="53"/>
      <c r="BD18" s="53">
        <f>'P&amp;L'!BP310</f>
        <v>57.633476203399532</v>
      </c>
      <c r="BE18" s="53">
        <f>'P&amp;L'!BQ310</f>
        <v>71.980705127865178</v>
      </c>
      <c r="BF18" s="53">
        <f>'P&amp;L'!BR310</f>
        <v>129.61418133126472</v>
      </c>
      <c r="BG18" s="53"/>
      <c r="BH18" s="53"/>
      <c r="BI18" s="49"/>
      <c r="BJ18" s="288" t="s">
        <v>49</v>
      </c>
      <c r="BK18" s="289"/>
      <c r="BL18" s="290">
        <f>'P&amp;L'!T99</f>
        <v>4.0025207364638153E-2</v>
      </c>
      <c r="BM18" s="290">
        <f>'P&amp;L'!U99</f>
        <v>3.473018122208562E-2</v>
      </c>
      <c r="BN18" s="290">
        <f>'P&amp;L'!V99</f>
        <v>3.473018122208562E-2</v>
      </c>
      <c r="BO18" s="290"/>
      <c r="BP18" s="290">
        <f>'P&amp;L'!X99</f>
        <v>3.2479818365287592E-2</v>
      </c>
      <c r="BQ18" s="290">
        <f>'P&amp;L'!Y99</f>
        <v>2.5081972446313178E-2</v>
      </c>
      <c r="BR18" s="290">
        <f>'P&amp;L'!Z99</f>
        <v>2.5081972446313178E-2</v>
      </c>
      <c r="BS18" s="290"/>
      <c r="BT18" s="290">
        <f>'P&amp;L'!AB99</f>
        <v>2.2197118338387143E-2</v>
      </c>
      <c r="BU18" s="290">
        <f>'P&amp;L'!AC99</f>
        <v>3.1674208144796386E-2</v>
      </c>
      <c r="BV18" s="290">
        <f>'P&amp;L'!AD99</f>
        <v>3.1674208144796386E-2</v>
      </c>
      <c r="BW18" s="290"/>
      <c r="BX18" s="290">
        <f>'P&amp;L'!AF99</f>
        <v>2.4855747891699958E-2</v>
      </c>
      <c r="BY18" s="290">
        <f>'P&amp;L'!AG99</f>
        <v>2.1768707482993199E-2</v>
      </c>
      <c r="BZ18" s="290">
        <f>'P&amp;L'!AH99</f>
        <v>2.1768707482993199E-2</v>
      </c>
      <c r="CA18" s="290"/>
      <c r="CB18" s="290">
        <f>'P&amp;L'!AJ99</f>
        <v>2.4363636363636365E-2</v>
      </c>
      <c r="CC18" s="290">
        <f>'P&amp;L'!AK99</f>
        <v>2.4928999684443041E-2</v>
      </c>
      <c r="CD18" s="290">
        <f>'P&amp;L'!AL99</f>
        <v>2.4928999684443041E-2</v>
      </c>
      <c r="CE18" s="290"/>
      <c r="CF18" s="290">
        <f>'P&amp;L'!AN99</f>
        <v>2.6923076923076921E-2</v>
      </c>
      <c r="CG18" s="290">
        <f>'P&amp;L'!AO99</f>
        <v>2.5648252536640364E-2</v>
      </c>
      <c r="CH18" s="290">
        <f>'P&amp;L'!AP99</f>
        <v>2.5648252536640364E-2</v>
      </c>
      <c r="CI18" s="290">
        <f>'P&amp;L'!AQ99</f>
        <v>0</v>
      </c>
      <c r="CJ18" s="290">
        <f>'P&amp;L'!AR99</f>
        <v>2.6206067399866084E-2</v>
      </c>
      <c r="CK18" s="290">
        <f>'P&amp;L'!AS99</f>
        <v>2.9396325459317588E-2</v>
      </c>
      <c r="CL18" s="290">
        <f>'P&amp;L'!AT99</f>
        <v>2.9396325459317588E-2</v>
      </c>
      <c r="CM18" s="290">
        <f>'P&amp;L'!AU99</f>
        <v>0</v>
      </c>
      <c r="CN18" s="290">
        <f>'P&amp;L'!AV99</f>
        <v>2.7440966748314678E-2</v>
      </c>
      <c r="CO18" s="290">
        <f>'P&amp;L'!AW99</f>
        <v>3.1758530183727034E-2</v>
      </c>
      <c r="CP18" s="290">
        <f>'P&amp;L'!AX99</f>
        <v>3.1758530183727034E-2</v>
      </c>
      <c r="CQ18" s="290">
        <f>'P&amp;L'!AY99</f>
        <v>0</v>
      </c>
      <c r="CR18" s="290">
        <f>'P&amp;L'!AZ99</f>
        <v>2.6867980202515823E-2</v>
      </c>
      <c r="CS18" s="290">
        <f>'P&amp;L'!BA99</f>
        <v>3.4383202099737532E-2</v>
      </c>
      <c r="CT18" s="290">
        <f>'P&amp;L'!BB99</f>
        <v>3.4383202099737532E-2</v>
      </c>
      <c r="CU18" s="290"/>
      <c r="CV18" s="290">
        <f>'P&amp;L'!BD99</f>
        <v>2.594082319436861E-2</v>
      </c>
      <c r="CW18" s="290">
        <f>'P&amp;L'!BE99</f>
        <v>3.6220472440944874E-2</v>
      </c>
      <c r="CX18" s="290">
        <f>'P&amp;L'!BF99</f>
        <v>3.6220472440944874E-2</v>
      </c>
      <c r="CY18" s="127"/>
      <c r="CZ18" s="130" t="s">
        <v>119</v>
      </c>
      <c r="DA18" s="24"/>
    </row>
    <row r="19" spans="1:105" ht="17.100000000000001" customHeight="1">
      <c r="B19" s="52" t="s">
        <v>188</v>
      </c>
      <c r="C19" s="53"/>
      <c r="D19" s="53">
        <f>'P&amp;L'!P363</f>
        <v>7.3000000000000007</v>
      </c>
      <c r="E19" s="53">
        <f>'P&amp;L'!Q363</f>
        <v>9.7999999999999936</v>
      </c>
      <c r="F19" s="53">
        <f>'P&amp;L'!R363</f>
        <v>17.099999999999994</v>
      </c>
      <c r="G19" s="53"/>
      <c r="H19" s="53">
        <f>'P&amp;L'!T363</f>
        <v>8.3000000000000007</v>
      </c>
      <c r="I19" s="53">
        <f>'P&amp;L'!U363</f>
        <v>10.900000000000002</v>
      </c>
      <c r="J19" s="53">
        <f>'P&amp;L'!V363</f>
        <v>19.199999999999996</v>
      </c>
      <c r="K19" s="53"/>
      <c r="L19" s="53">
        <f>'P&amp;L'!X363</f>
        <v>7.3000000000000007</v>
      </c>
      <c r="M19" s="53">
        <f>'P&amp;L'!Y363</f>
        <v>9.5999999999999943</v>
      </c>
      <c r="N19" s="53">
        <f>'P&amp;L'!Z363</f>
        <v>16.899999999999999</v>
      </c>
      <c r="O19" s="53"/>
      <c r="P19" s="53">
        <f>'P&amp;L'!AB363</f>
        <v>6.7000000000000028</v>
      </c>
      <c r="Q19" s="53">
        <f>'P&amp;L'!AC363</f>
        <v>8.6999999999999993</v>
      </c>
      <c r="R19" s="53">
        <f>'P&amp;L'!AD363</f>
        <v>15.399999999999999</v>
      </c>
      <c r="S19" s="53"/>
      <c r="T19" s="53">
        <f>'P&amp;L'!AF363</f>
        <v>6.8000000000000007</v>
      </c>
      <c r="U19" s="53">
        <f>'P&amp;L'!AG363</f>
        <v>13.800000000000004</v>
      </c>
      <c r="V19" s="53">
        <f>'P&amp;L'!AH363</f>
        <v>20.599999999999987</v>
      </c>
      <c r="W19" s="53"/>
      <c r="X19" s="53">
        <f>'P&amp;L'!AJ363</f>
        <v>14.899999999999999</v>
      </c>
      <c r="Y19" s="836">
        <f>'P&amp;L'!AK363</f>
        <v>17.471000000000004</v>
      </c>
      <c r="Z19" s="858">
        <f>'P&amp;L'!AL363</f>
        <v>32.371000000000024</v>
      </c>
      <c r="AA19" s="53"/>
      <c r="AB19" s="53">
        <f>'P&amp;L'!AN363</f>
        <v>17.600000000000001</v>
      </c>
      <c r="AC19" s="53">
        <f>'P&amp;L'!AO363</f>
        <v>16.099999999999994</v>
      </c>
      <c r="AD19" s="53">
        <f>'P&amp;L'!AP363</f>
        <v>33.699999999999989</v>
      </c>
      <c r="AE19" s="53">
        <f>'P&amp;L'!AQ363</f>
        <v>0</v>
      </c>
      <c r="AF19" s="53">
        <f>'P&amp;L'!AR363</f>
        <v>17.960032125000001</v>
      </c>
      <c r="AG19" s="53">
        <f>'P&amp;L'!AS363</f>
        <v>18.343640749999999</v>
      </c>
      <c r="AH19" s="53">
        <f>'P&amp;L'!AT363</f>
        <v>36.303672875000004</v>
      </c>
      <c r="AI19" s="53">
        <f>'P&amp;L'!AU363</f>
        <v>0</v>
      </c>
      <c r="AJ19" s="53">
        <f>'P&amp;L'!AV363</f>
        <v>19.212653347169116</v>
      </c>
      <c r="AK19" s="53">
        <f>'P&amp;L'!AW363</f>
        <v>19.639003575</v>
      </c>
      <c r="AL19" s="53">
        <f>'P&amp;L'!AX363</f>
        <v>38.851656922169113</v>
      </c>
      <c r="AM19" s="53">
        <f>'P&amp;L'!AY363</f>
        <v>0</v>
      </c>
      <c r="AN19" s="53">
        <f>'P&amp;L'!AZ363</f>
        <v>20.257986811035114</v>
      </c>
      <c r="AO19" s="53">
        <f>'P&amp;L'!BA363</f>
        <v>20.732191885518752</v>
      </c>
      <c r="AP19" s="53">
        <f>'P&amp;L'!BB363</f>
        <v>40.990178696553869</v>
      </c>
      <c r="AQ19" s="53"/>
      <c r="AR19" s="53">
        <f>'P&amp;L'!BD363</f>
        <v>21.06524436781287</v>
      </c>
      <c r="AS19" s="53">
        <f>'P&amp;L'!BE363</f>
        <v>21.591484696020689</v>
      </c>
      <c r="AT19" s="53">
        <f>'P&amp;L'!BF363</f>
        <v>42.656729063833559</v>
      </c>
      <c r="AU19" s="53"/>
      <c r="AV19" s="53">
        <f>'P&amp;L'!BH363</f>
        <v>21.910668966754031</v>
      </c>
      <c r="AW19" s="53">
        <f>'P&amp;L'!BI363</f>
        <v>22.491546311372247</v>
      </c>
      <c r="AX19" s="53">
        <f>'P&amp;L'!BJ363</f>
        <v>44.402215278126278</v>
      </c>
      <c r="AY19" s="53"/>
      <c r="AZ19" s="53">
        <f>'P&amp;L'!BL363</f>
        <v>22.796125043253266</v>
      </c>
      <c r="BA19" s="53">
        <f>'P&amp;L'!BM363</f>
        <v>23.434371255102388</v>
      </c>
      <c r="BB19" s="53">
        <f>'P&amp;L'!BN363</f>
        <v>46.230496298355654</v>
      </c>
      <c r="BC19" s="53"/>
      <c r="BD19" s="53">
        <f>'P&amp;L'!BP363</f>
        <v>23.723569376140688</v>
      </c>
      <c r="BE19" s="53">
        <f>'P&amp;L'!BQ363</f>
        <v>24.422052898582272</v>
      </c>
      <c r="BF19" s="53">
        <f>'P&amp;L'!BR363</f>
        <v>48.14562227472296</v>
      </c>
      <c r="BG19" s="53"/>
      <c r="BH19" s="53"/>
      <c r="BI19" s="49"/>
      <c r="BJ19" s="71"/>
      <c r="BK19" s="76"/>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127"/>
      <c r="CZ19" s="130"/>
      <c r="DA19" s="24"/>
    </row>
    <row r="20" spans="1:105" ht="17.100000000000001" customHeight="1">
      <c r="B20" s="52" t="s">
        <v>699</v>
      </c>
      <c r="C20" s="53"/>
      <c r="D20" s="53">
        <f>'P&amp;L'!P426</f>
        <v>0</v>
      </c>
      <c r="E20" s="53">
        <f>'P&amp;L'!Q426</f>
        <v>0</v>
      </c>
      <c r="F20" s="53">
        <f>'P&amp;L'!R426</f>
        <v>0</v>
      </c>
      <c r="G20" s="53"/>
      <c r="H20" s="53">
        <f>'P&amp;L'!T426</f>
        <v>0</v>
      </c>
      <c r="I20" s="53">
        <f>'P&amp;L'!U426</f>
        <v>0</v>
      </c>
      <c r="J20" s="53">
        <f>'P&amp;L'!V426</f>
        <v>0</v>
      </c>
      <c r="K20" s="53"/>
      <c r="L20" s="53">
        <f>'P&amp;L'!X426</f>
        <v>0</v>
      </c>
      <c r="M20" s="53">
        <f>'P&amp;L'!Y426</f>
        <v>0</v>
      </c>
      <c r="N20" s="53">
        <f>'P&amp;L'!Z426</f>
        <v>0</v>
      </c>
      <c r="O20" s="53"/>
      <c r="P20" s="53">
        <f>'P&amp;L'!AB426</f>
        <v>0</v>
      </c>
      <c r="Q20" s="53">
        <f>'P&amp;L'!AC426</f>
        <v>0</v>
      </c>
      <c r="R20" s="53">
        <f>'P&amp;L'!AD426</f>
        <v>0</v>
      </c>
      <c r="S20" s="53"/>
      <c r="T20" s="53">
        <f>'P&amp;L'!AF426</f>
        <v>18.314999999999998</v>
      </c>
      <c r="U20" s="53">
        <f>'P&amp;L'!AG426</f>
        <v>60.39500000000001</v>
      </c>
      <c r="V20" s="53">
        <f>'P&amp;L'!AH426</f>
        <v>78.710000000000036</v>
      </c>
      <c r="W20" s="53"/>
      <c r="X20" s="53">
        <f>'P&amp;L'!AJ426</f>
        <v>39.200000000000017</v>
      </c>
      <c r="Y20" s="836">
        <f>'P&amp;L'!AK426</f>
        <v>60.21599999999998</v>
      </c>
      <c r="Z20" s="836">
        <f>'P&amp;L'!AL426</f>
        <v>99.415999999999997</v>
      </c>
      <c r="AA20" s="53"/>
      <c r="AB20" s="53">
        <f>'P&amp;L'!AN426</f>
        <v>31.900000000000034</v>
      </c>
      <c r="AC20" s="53">
        <f>'P&amp;L'!AO426</f>
        <v>77.699999999999932</v>
      </c>
      <c r="AD20" s="53">
        <f>'P&amp;L'!AP426</f>
        <v>109.59999999999997</v>
      </c>
      <c r="AE20" s="53">
        <f>'P&amp;L'!AQ426</f>
        <v>0</v>
      </c>
      <c r="AF20" s="53">
        <f>'P&amp;L'!AR426</f>
        <v>45.379200000000012</v>
      </c>
      <c r="AG20" s="53">
        <f>'P&amp;L'!AS426</f>
        <v>82.177674999999994</v>
      </c>
      <c r="AH20" s="53">
        <f>'P&amp;L'!AT426</f>
        <v>127.55687499999999</v>
      </c>
      <c r="AI20" s="53">
        <f>'P&amp;L'!AU426</f>
        <v>0</v>
      </c>
      <c r="AJ20" s="53">
        <f>'P&amp;L'!AV426</f>
        <v>48.646664000000008</v>
      </c>
      <c r="AK20" s="53">
        <f>'P&amp;L'!AW426</f>
        <v>90.22936</v>
      </c>
      <c r="AL20" s="53">
        <f>'P&amp;L'!AX426</f>
        <v>138.87602399999997</v>
      </c>
      <c r="AM20" s="53">
        <f>'P&amp;L'!AY426</f>
        <v>0</v>
      </c>
      <c r="AN20" s="53">
        <f>'P&amp;L'!AZ426</f>
        <v>53.368555600000022</v>
      </c>
      <c r="AO20" s="53">
        <f>'P&amp;L'!BA426</f>
        <v>97.391278875000012</v>
      </c>
      <c r="AP20" s="53">
        <f>'P&amp;L'!BB426</f>
        <v>150.75983447500005</v>
      </c>
      <c r="AQ20" s="53"/>
      <c r="AR20" s="53">
        <f>'P&amp;L'!BD426</f>
        <v>55.834883380000029</v>
      </c>
      <c r="AS20" s="53">
        <f>'P&amp;L'!BE426</f>
        <v>101.95064281875001</v>
      </c>
      <c r="AT20" s="53">
        <f>'P&amp;L'!BF426</f>
        <v>157.78552619875006</v>
      </c>
      <c r="AU20" s="53"/>
      <c r="AV20" s="53">
        <f>'P&amp;L'!BH426</f>
        <v>58.424527549000011</v>
      </c>
      <c r="AW20" s="53">
        <f>'P&amp;L'!BI426</f>
        <v>106.73797495968753</v>
      </c>
      <c r="AX20" s="53">
        <f>'P&amp;L'!BJ426</f>
        <v>165.16250250868757</v>
      </c>
      <c r="AY20" s="53"/>
      <c r="AZ20" s="53">
        <f>'P&amp;L'!BL426</f>
        <v>61.143653926450021</v>
      </c>
      <c r="BA20" s="53">
        <f>'P&amp;L'!BM426</f>
        <v>111.7646737076719</v>
      </c>
      <c r="BB20" s="53">
        <f>'P&amp;L'!BN426</f>
        <v>172.90832763412192</v>
      </c>
      <c r="BC20" s="53"/>
      <c r="BD20" s="53">
        <f>'P&amp;L'!BP426</f>
        <v>63.998736622772519</v>
      </c>
      <c r="BE20" s="53">
        <f>'P&amp;L'!BQ426</f>
        <v>117.04270739305549</v>
      </c>
      <c r="BF20" s="53">
        <f>'P&amp;L'!BR426</f>
        <v>181.04144401582801</v>
      </c>
      <c r="BG20" s="53"/>
      <c r="BH20" s="53"/>
      <c r="BI20" s="49"/>
      <c r="BJ20" s="560" t="s">
        <v>50</v>
      </c>
      <c r="BK20" s="561"/>
      <c r="BL20" s="562">
        <f>'P&amp;L'!T131</f>
        <v>73.796870999999996</v>
      </c>
      <c r="BM20" s="562">
        <f>'P&amp;L'!U131</f>
        <v>73.818757000000005</v>
      </c>
      <c r="BN20" s="562">
        <f>'P&amp;L'!V131</f>
        <v>73.818757000000005</v>
      </c>
      <c r="BO20" s="562"/>
      <c r="BP20" s="562">
        <f>'P&amp;L'!X131</f>
        <v>74.379200999999995</v>
      </c>
      <c r="BQ20" s="562">
        <f>'P&amp;L'!Y131</f>
        <v>74.403507000000005</v>
      </c>
      <c r="BR20" s="562">
        <f>'P&amp;L'!Z131</f>
        <v>74.403507000000005</v>
      </c>
      <c r="BS20" s="562"/>
      <c r="BT20" s="562">
        <f>'P&amp;L'!AB131</f>
        <v>74.459057000000001</v>
      </c>
      <c r="BU20" s="562">
        <f>'P&amp;L'!AC131</f>
        <v>92.409126000000001</v>
      </c>
      <c r="BV20" s="862">
        <f>'P&amp;L'!AD131</f>
        <v>92.409126000000001</v>
      </c>
      <c r="BW20" s="862"/>
      <c r="BX20" s="862">
        <f>'P&amp;L'!AF131</f>
        <v>101.530518</v>
      </c>
      <c r="BY20" s="862">
        <f>'P&amp;L'!AG131</f>
        <v>108.40562</v>
      </c>
      <c r="BZ20" s="862">
        <f>'P&amp;L'!AH131</f>
        <v>108.40562</v>
      </c>
      <c r="CA20" s="862"/>
      <c r="CB20" s="862">
        <f>'P&amp;L'!AJ131</f>
        <v>108.40562</v>
      </c>
      <c r="CC20" s="862">
        <f>'P&amp;L'!AK131</f>
        <v>115.678348</v>
      </c>
      <c r="CD20" s="862">
        <f>'P&amp;L'!AL131</f>
        <v>115.678348</v>
      </c>
      <c r="CE20" s="862"/>
      <c r="CF20" s="862">
        <f>'P&amp;L'!AN131</f>
        <v>116.587434</v>
      </c>
      <c r="CG20" s="862">
        <f>'P&amp;L'!AO131</f>
        <v>116.587434</v>
      </c>
      <c r="CH20" s="862">
        <f>'P&amp;L'!AP131</f>
        <v>116.587434</v>
      </c>
      <c r="CI20" s="862">
        <f>'P&amp;L'!AQ131</f>
        <v>0</v>
      </c>
      <c r="CJ20" s="862">
        <f>'P&amp;L'!AR131</f>
        <v>116.30887988233155</v>
      </c>
      <c r="CK20" s="862">
        <f>'P&amp;L'!AS131</f>
        <v>116.04639488072063</v>
      </c>
      <c r="CL20" s="862">
        <f>'P&amp;L'!AT131</f>
        <v>116.04639488072063</v>
      </c>
      <c r="CM20" s="862">
        <f>'P&amp;L'!AU131</f>
        <v>0</v>
      </c>
      <c r="CN20" s="862">
        <f>'P&amp;L'!AV131</f>
        <v>115.79237713722618</v>
      </c>
      <c r="CO20" s="862">
        <f>'P&amp;L'!AW131</f>
        <v>115.55137358552368</v>
      </c>
      <c r="CP20" s="862">
        <f>'P&amp;L'!AX131</f>
        <v>115.55137358552368</v>
      </c>
      <c r="CQ20" s="862">
        <f>'P&amp;L'!AY131</f>
        <v>0</v>
      </c>
      <c r="CR20" s="862">
        <f>'P&amp;L'!AZ131</f>
        <v>115.31814434194061</v>
      </c>
      <c r="CS20" s="862">
        <f>'P&amp;L'!BA131</f>
        <v>115.09686422468911</v>
      </c>
      <c r="CT20" s="862">
        <f>'P&amp;L'!BB131</f>
        <v>115.09686422468911</v>
      </c>
      <c r="CU20" s="862"/>
      <c r="CV20" s="862">
        <f>'P&amp;L'!BD131</f>
        <v>114.88272217573605</v>
      </c>
      <c r="CW20" s="862">
        <f>'P&amp;L'!BE131</f>
        <v>114.67955135130241</v>
      </c>
      <c r="CX20" s="862">
        <f>'P&amp;L'!BF131</f>
        <v>114.67955135130241</v>
      </c>
      <c r="CY20" s="127"/>
      <c r="CZ20" s="130"/>
      <c r="DA20" s="24"/>
    </row>
    <row r="21" spans="1:105" ht="17.100000000000001" customHeight="1">
      <c r="B21" s="52" t="s">
        <v>224</v>
      </c>
      <c r="C21" s="53"/>
      <c r="D21" s="53">
        <f>+'P&amp;L'!P404</f>
        <v>1.6330000000000027</v>
      </c>
      <c r="E21" s="53">
        <f>+'P&amp;L'!Q404</f>
        <v>0.5210000000000008</v>
      </c>
      <c r="F21" s="53">
        <f>+'P&amp;L'!R404</f>
        <v>2.1540000000000035</v>
      </c>
      <c r="G21" s="53"/>
      <c r="H21" s="53">
        <f>+'P&amp;L'!T404</f>
        <v>3.3550000000000004</v>
      </c>
      <c r="I21" s="53">
        <f>+'P&amp;L'!U404</f>
        <v>3.9209999999999958</v>
      </c>
      <c r="J21" s="53">
        <f>+'P&amp;L'!V404</f>
        <v>7.2759999999999962</v>
      </c>
      <c r="K21" s="53"/>
      <c r="L21" s="53">
        <f>+'P&amp;L'!X404</f>
        <v>3.9929999999999986</v>
      </c>
      <c r="M21" s="53">
        <f>+'P&amp;L'!Y404</f>
        <v>1.8369999999999997</v>
      </c>
      <c r="N21" s="53">
        <f>+'P&amp;L'!Z404</f>
        <v>5.8299999999999983</v>
      </c>
      <c r="O21" s="53"/>
      <c r="P21" s="53">
        <f>+'P&amp;L'!AB404</f>
        <v>0</v>
      </c>
      <c r="Q21" s="53">
        <f>+'P&amp;L'!AC404</f>
        <v>0</v>
      </c>
      <c r="R21" s="53">
        <f>+'P&amp;L'!AD404</f>
        <v>0</v>
      </c>
      <c r="S21" s="53"/>
      <c r="T21" s="53">
        <f>+'P&amp;L'!AF404</f>
        <v>0</v>
      </c>
      <c r="U21" s="53">
        <f>+'P&amp;L'!AG404</f>
        <v>0</v>
      </c>
      <c r="V21" s="53">
        <f>+'P&amp;L'!AH404</f>
        <v>0</v>
      </c>
      <c r="W21" s="53"/>
      <c r="X21" s="53">
        <f>+'P&amp;L'!AJ404</f>
        <v>0</v>
      </c>
      <c r="Y21" s="836">
        <f>+'P&amp;L'!AK404</f>
        <v>0</v>
      </c>
      <c r="Z21" s="836">
        <f>+'P&amp;L'!AL404</f>
        <v>0</v>
      </c>
      <c r="AA21" s="53"/>
      <c r="AB21" s="53">
        <f>+'P&amp;L'!AN404</f>
        <v>0</v>
      </c>
      <c r="AC21" s="53">
        <f>+'P&amp;L'!AO404</f>
        <v>0</v>
      </c>
      <c r="AD21" s="53">
        <f>+'P&amp;L'!AP404</f>
        <v>0</v>
      </c>
      <c r="AE21" s="53">
        <f>+'P&amp;L'!AQ404</f>
        <v>0</v>
      </c>
      <c r="AF21" s="53">
        <f>+'P&amp;L'!AR404</f>
        <v>0</v>
      </c>
      <c r="AG21" s="53">
        <f>+'P&amp;L'!AS404</f>
        <v>0</v>
      </c>
      <c r="AH21" s="53">
        <f>+'P&amp;L'!AT404</f>
        <v>0</v>
      </c>
      <c r="AI21" s="53">
        <f>+'P&amp;L'!AU404</f>
        <v>0</v>
      </c>
      <c r="AJ21" s="53">
        <f>+'P&amp;L'!AV404</f>
        <v>0</v>
      </c>
      <c r="AK21" s="53">
        <f>+'P&amp;L'!AW404</f>
        <v>0</v>
      </c>
      <c r="AL21" s="53">
        <f>+'P&amp;L'!AX404</f>
        <v>0</v>
      </c>
      <c r="AM21" s="53">
        <f>+'P&amp;L'!AY404</f>
        <v>0</v>
      </c>
      <c r="AN21" s="53">
        <f>+'P&amp;L'!AZ404</f>
        <v>0</v>
      </c>
      <c r="AO21" s="53">
        <f>+'P&amp;L'!BA404</f>
        <v>0</v>
      </c>
      <c r="AP21" s="53">
        <f>+'P&amp;L'!BB404</f>
        <v>0</v>
      </c>
      <c r="AQ21" s="53"/>
      <c r="AR21" s="53">
        <f>+'P&amp;L'!BD404</f>
        <v>0</v>
      </c>
      <c r="AS21" s="53">
        <f>+'P&amp;L'!BE404</f>
        <v>0</v>
      </c>
      <c r="AT21" s="53">
        <f>+'P&amp;L'!BF404</f>
        <v>0</v>
      </c>
      <c r="AU21" s="53"/>
      <c r="AV21" s="53">
        <f>+'P&amp;L'!BH404</f>
        <v>0</v>
      </c>
      <c r="AW21" s="53">
        <f>+'P&amp;L'!BI404</f>
        <v>0</v>
      </c>
      <c r="AX21" s="53">
        <f>+'P&amp;L'!BJ404</f>
        <v>0</v>
      </c>
      <c r="AY21" s="53"/>
      <c r="AZ21" s="53">
        <f>+'P&amp;L'!BL404</f>
        <v>0</v>
      </c>
      <c r="BA21" s="53">
        <f>+'P&amp;L'!BM404</f>
        <v>0</v>
      </c>
      <c r="BB21" s="53">
        <f>+'P&amp;L'!BN404</f>
        <v>0</v>
      </c>
      <c r="BC21" s="53"/>
      <c r="BD21" s="53">
        <f>+'P&amp;L'!BP404</f>
        <v>0</v>
      </c>
      <c r="BE21" s="53">
        <f>+'P&amp;L'!BQ404</f>
        <v>0</v>
      </c>
      <c r="BF21" s="53">
        <f>+'P&amp;L'!BR404</f>
        <v>0</v>
      </c>
      <c r="BG21" s="53"/>
      <c r="BH21" s="53"/>
      <c r="BI21" s="49"/>
      <c r="BJ21" s="78" t="s">
        <v>51</v>
      </c>
      <c r="BK21" s="79"/>
      <c r="BL21" s="293">
        <f>'P&amp;L'!T132</f>
        <v>73.638636000000005</v>
      </c>
      <c r="BM21" s="293">
        <f>'P&amp;L'!U132</f>
        <v>73.502778000000006</v>
      </c>
      <c r="BN21" s="293">
        <f>'P&amp;L'!V132</f>
        <v>73.724000000000004</v>
      </c>
      <c r="BO21" s="293"/>
      <c r="BP21" s="293">
        <f>'P&amp;L'!X132</f>
        <v>74.139223000000001</v>
      </c>
      <c r="BQ21" s="293">
        <f>'P&amp;L'!Y132</f>
        <v>73.818757000000005</v>
      </c>
      <c r="BR21" s="293">
        <f>'P&amp;L'!Z132</f>
        <v>74.265625999999997</v>
      </c>
      <c r="BS21" s="293"/>
      <c r="BT21" s="293">
        <f>'P&amp;L'!AB132</f>
        <v>74.418903999999998</v>
      </c>
      <c r="BU21" s="293">
        <f>'P&amp;L'!AC132</f>
        <v>74.403507000000005</v>
      </c>
      <c r="BV21" s="77">
        <f>'P&amp;L'!AD132</f>
        <v>76.545636999999999</v>
      </c>
      <c r="BW21" s="77"/>
      <c r="BX21" s="77">
        <f>'P&amp;L'!AF132</f>
        <v>96.838915</v>
      </c>
      <c r="BY21" s="77">
        <f>'P&amp;L'!AG132</f>
        <v>102.88477701657459</v>
      </c>
      <c r="BZ21" s="77">
        <f>'P&amp;L'!AH132</f>
        <v>99.837000000000003</v>
      </c>
      <c r="CA21" s="77"/>
      <c r="CB21" s="77">
        <f>'P&amp;L'!AJ132</f>
        <v>108.40562</v>
      </c>
      <c r="CC21" s="77">
        <f>'P&amp;L'!AK132</f>
        <v>109.76380175824177</v>
      </c>
      <c r="CD21" s="77">
        <f>'P&amp;L'!AL132</f>
        <v>109.081</v>
      </c>
      <c r="CE21" s="77"/>
      <c r="CF21" s="77">
        <f>'P&amp;L'!AN132</f>
        <v>116.567671</v>
      </c>
      <c r="CG21" s="77">
        <f>'P&amp;L'!AO132</f>
        <v>116.58648362430937</v>
      </c>
      <c r="CH21" s="77">
        <f>'P&amp;L'!AP132</f>
        <v>116.577</v>
      </c>
      <c r="CI21" s="77">
        <f>'P&amp;L'!AQ132</f>
        <v>0</v>
      </c>
      <c r="CJ21" s="77">
        <f>'P&amp;L'!AR132</f>
        <v>116.44815694116578</v>
      </c>
      <c r="CK21" s="77">
        <f>'P&amp;L'!AS132</f>
        <v>116.1776373815261</v>
      </c>
      <c r="CL21" s="77">
        <f>'P&amp;L'!AT132</f>
        <v>116.31289716134594</v>
      </c>
      <c r="CM21" s="77">
        <f>'P&amp;L'!AU132</f>
        <v>0</v>
      </c>
      <c r="CN21" s="77">
        <f>'P&amp;L'!AV132</f>
        <v>115.9193860089734</v>
      </c>
      <c r="CO21" s="77">
        <f>'P&amp;L'!AW132</f>
        <v>115.67187536137493</v>
      </c>
      <c r="CP21" s="77">
        <f>'P&amp;L'!AX132</f>
        <v>115.79563068517416</v>
      </c>
      <c r="CQ21" s="77">
        <f>'P&amp;L'!AY132</f>
        <v>0</v>
      </c>
      <c r="CR21" s="77">
        <f>'P&amp;L'!AZ132</f>
        <v>115.43475896373215</v>
      </c>
      <c r="CS21" s="77">
        <f>'P&amp;L'!BA132</f>
        <v>115.20750428331486</v>
      </c>
      <c r="CT21" s="77">
        <f>'P&amp;L'!BB132</f>
        <v>115.32113162352351</v>
      </c>
      <c r="CU21" s="77"/>
      <c r="CV21" s="77">
        <f>'P&amp;L'!BD132</f>
        <v>114.98979320021257</v>
      </c>
      <c r="CW21" s="77">
        <f>'P&amp;L'!BE132</f>
        <v>114.78113676351923</v>
      </c>
      <c r="CX21" s="77">
        <f>'P&amp;L'!BF132</f>
        <v>114.88546498186591</v>
      </c>
      <c r="CY21" s="127"/>
      <c r="CZ21" s="25"/>
      <c r="DA21" s="26"/>
    </row>
    <row r="22" spans="1:105" ht="17.100000000000001" customHeight="1">
      <c r="B22" s="46" t="s">
        <v>314</v>
      </c>
      <c r="C22" s="53"/>
      <c r="D22" s="53">
        <f>'P&amp;L'!P466</f>
        <v>-4.5860000000000003</v>
      </c>
      <c r="E22" s="53">
        <f>'P&amp;L'!Q466</f>
        <v>-4.7059999999999995</v>
      </c>
      <c r="F22" s="53">
        <f>'P&amp;L'!R466</f>
        <v>-9.2919999999999998</v>
      </c>
      <c r="G22" s="53"/>
      <c r="H22" s="53">
        <f>'P&amp;L'!T466</f>
        <v>-4.5860000000000003</v>
      </c>
      <c r="I22" s="53">
        <f>'P&amp;L'!U466</f>
        <v>-6.8059999999999983</v>
      </c>
      <c r="J22" s="53">
        <f>+'P&amp;L'!V21</f>
        <v>-11.391999999999999</v>
      </c>
      <c r="K22" s="53">
        <f>+'P&amp;L'!W21</f>
        <v>0</v>
      </c>
      <c r="L22" s="53">
        <f>+'P&amp;L'!X21</f>
        <v>-5.1680000000000001</v>
      </c>
      <c r="M22" s="53">
        <f>+'P&amp;L'!Y21</f>
        <v>-6.0329999999999995</v>
      </c>
      <c r="N22" s="53">
        <f>+'P&amp;L'!Z21</f>
        <v>-11.200999999999999</v>
      </c>
      <c r="O22" s="53">
        <f>+'P&amp;L'!AA21</f>
        <v>0</v>
      </c>
      <c r="P22" s="53">
        <f>+'P&amp;L'!AB21</f>
        <v>-9.3760000000000012</v>
      </c>
      <c r="Q22" s="53">
        <f>+'P&amp;L'!AC21</f>
        <v>-8.6080000000000005</v>
      </c>
      <c r="R22" s="53">
        <f>+'P&amp;L'!AD21</f>
        <v>-17.984000000000002</v>
      </c>
      <c r="S22" s="53">
        <f>+'P&amp;L'!AE21</f>
        <v>0</v>
      </c>
      <c r="T22" s="53">
        <f>+'P&amp;L'!AF21</f>
        <v>-11.876999999999999</v>
      </c>
      <c r="U22" s="53">
        <f>+'P&amp;L'!AG21</f>
        <v>-11.112000000000002</v>
      </c>
      <c r="V22" s="53">
        <f>+'P&amp;L'!AH21</f>
        <v>-22.989000000000001</v>
      </c>
      <c r="W22" s="53">
        <f>+'P&amp;L'!AI21</f>
        <v>0</v>
      </c>
      <c r="X22" s="53">
        <f>+'P&amp;L'!AJ21</f>
        <v>-13.403</v>
      </c>
      <c r="Y22" s="53">
        <f>+'P&amp;L'!AK21</f>
        <v>-9.2059999999999995</v>
      </c>
      <c r="Z22" s="53">
        <f>+'P&amp;L'!AL21</f>
        <v>-22.608999999999998</v>
      </c>
      <c r="AA22" s="53">
        <f>+'P&amp;L'!AM21</f>
        <v>0</v>
      </c>
      <c r="AB22" s="53">
        <f>+'P&amp;L'!AN21</f>
        <v>-13.956999999999999</v>
      </c>
      <c r="AC22" s="53">
        <f>+'P&amp;L'!AO21</f>
        <v>-9.7540000000000013</v>
      </c>
      <c r="AD22" s="53">
        <f>+'P&amp;L'!AP21</f>
        <v>-23.710999999999999</v>
      </c>
      <c r="AE22" s="53">
        <f>+'P&amp;L'!AQ21</f>
        <v>0</v>
      </c>
      <c r="AF22" s="53">
        <f>+'P&amp;L'!AR21</f>
        <v>-13.286159999999999</v>
      </c>
      <c r="AG22" s="53">
        <f>+'P&amp;L'!AS21</f>
        <v>-9.9407300000000021</v>
      </c>
      <c r="AH22" s="53">
        <f>+'P&amp;L'!AT21</f>
        <v>-23.226890000000001</v>
      </c>
      <c r="AI22" s="53">
        <f>+'P&amp;L'!AU21</f>
        <v>0</v>
      </c>
      <c r="AJ22" s="53">
        <f>+'P&amp;L'!AV21</f>
        <v>-14.293585249999998</v>
      </c>
      <c r="AK22" s="53">
        <f>+'P&amp;L'!AW21</f>
        <v>-10.076746688750001</v>
      </c>
      <c r="AL22" s="53">
        <f>+'P&amp;L'!AX21</f>
        <v>-24.370331938749999</v>
      </c>
      <c r="AM22" s="53">
        <f>+'P&amp;L'!AY21</f>
        <v>0</v>
      </c>
      <c r="AN22" s="53">
        <f>+'P&amp;L'!AZ21</f>
        <v>-14.494698353581246</v>
      </c>
      <c r="AO22" s="53">
        <f>+'P&amp;L'!BA21</f>
        <v>-10.214407853784969</v>
      </c>
      <c r="AP22" s="53">
        <f>+'P&amp;L'!BB21</f>
        <v>-24.709106207366212</v>
      </c>
      <c r="AQ22" s="53"/>
      <c r="AR22" s="53">
        <f>'P&amp;L'!BD466</f>
        <v>-38.322345643059236</v>
      </c>
      <c r="AS22" s="53">
        <f>'P&amp;L'!BE466</f>
        <v>-33.977645399978627</v>
      </c>
      <c r="AT22" s="53">
        <f>'P&amp;L'!BF466</f>
        <v>-72.299991043037863</v>
      </c>
      <c r="AU22" s="53"/>
      <c r="AV22" s="53">
        <f>'P&amp;L'!BH466</f>
        <v>-38.528715801517819</v>
      </c>
      <c r="AW22" s="53">
        <f>'P&amp;L'!BI466</f>
        <v>-34.118633461218195</v>
      </c>
      <c r="AX22" s="53">
        <f>'P&amp;L'!BJ466</f>
        <v>-72.647349262736014</v>
      </c>
      <c r="AY22" s="53"/>
      <c r="AZ22" s="53">
        <f>'P&amp;L'!BL466</f>
        <v>-38.737755151304064</v>
      </c>
      <c r="BA22" s="53">
        <f>'P&amp;L'!BM466</f>
        <v>-34.261303586911396</v>
      </c>
      <c r="BB22" s="53">
        <f>'P&amp;L'!BN466</f>
        <v>-72.999058738215467</v>
      </c>
      <c r="BC22" s="53"/>
      <c r="BD22" s="53">
        <f>'P&amp;L'!BP466</f>
        <v>-38.949490843525183</v>
      </c>
      <c r="BE22" s="53">
        <f>'P&amp;L'!BQ466</f>
        <v>-34.405667927960899</v>
      </c>
      <c r="BF22" s="53">
        <f>'P&amp;L'!BR466</f>
        <v>-73.355158771486074</v>
      </c>
      <c r="BG22" s="53"/>
      <c r="BH22" s="53"/>
      <c r="BI22" s="49"/>
      <c r="BJ22" s="78" t="s">
        <v>52</v>
      </c>
      <c r="BK22" s="79"/>
      <c r="BL22" s="293">
        <f>'P&amp;L'!T133</f>
        <v>73.72372</v>
      </c>
      <c r="BM22" s="293">
        <f>'P&amp;L'!U133</f>
        <v>73.72372</v>
      </c>
      <c r="BN22" s="293">
        <f>'P&amp;L'!V133</f>
        <v>73.896000000000001</v>
      </c>
      <c r="BO22" s="293"/>
      <c r="BP22" s="293">
        <f>'P&amp;L'!X133</f>
        <v>74.265625999999997</v>
      </c>
      <c r="BQ22" s="293">
        <f>'P&amp;L'!Y133</f>
        <v>74.265625999999997</v>
      </c>
      <c r="BR22" s="293">
        <f>'P&amp;L'!Z133</f>
        <v>74.488</v>
      </c>
      <c r="BS22" s="293"/>
      <c r="BT22" s="293">
        <f>'P&amp;L'!AB133</f>
        <v>74.418903999999998</v>
      </c>
      <c r="BU22" s="293">
        <f>'P&amp;L'!AC133</f>
        <v>78.672370000000001</v>
      </c>
      <c r="BV22" s="77">
        <f>'P&amp;L'!AD133</f>
        <v>76.814999999999998</v>
      </c>
      <c r="BW22" s="77"/>
      <c r="BX22" s="77">
        <f>'P&amp;L'!AF133</f>
        <v>96.838915</v>
      </c>
      <c r="BY22" s="77">
        <f>'P&amp;L'!AG133</f>
        <v>103.75190408839777</v>
      </c>
      <c r="BZ22" s="77">
        <f>'P&amp;L'!AH133</f>
        <v>100.267</v>
      </c>
      <c r="CA22" s="77"/>
      <c r="CB22" s="77">
        <f>'P&amp;L'!AJ133</f>
        <v>109.8699690402478</v>
      </c>
      <c r="CC22" s="77">
        <f>'P&amp;L'!AK133</f>
        <v>109.80769064062861</v>
      </c>
      <c r="CD22" s="77">
        <f>'P&amp;L'!AL133</f>
        <v>109.839</v>
      </c>
      <c r="CE22" s="77"/>
      <c r="CF22" s="77">
        <f>'P&amp;L'!AN133</f>
        <v>118.03023566029329</v>
      </c>
      <c r="CG22" s="77">
        <f>'P&amp;L'!AO133</f>
        <v>116.95089303042008</v>
      </c>
      <c r="CH22" s="77">
        <f>'P&amp;L'!AP133</f>
        <v>117.495</v>
      </c>
      <c r="CI22" s="77">
        <f>'P&amp;L'!AQ133</f>
        <v>0</v>
      </c>
      <c r="CJ22" s="77">
        <f>'P&amp;L'!AR133</f>
        <v>116.81213398545472</v>
      </c>
      <c r="CK22" s="77">
        <f>'P&amp;L'!AS133</f>
        <v>116.54076887434969</v>
      </c>
      <c r="CL22" s="77">
        <f>'P&amp;L'!AT133</f>
        <v>116.67645142990222</v>
      </c>
      <c r="CM22" s="77">
        <f>'P&amp;L'!AU133</f>
        <v>0</v>
      </c>
      <c r="CN22" s="77">
        <f>'P&amp;L'!AV133</f>
        <v>116.28171029648148</v>
      </c>
      <c r="CO22" s="77">
        <f>'P&amp;L'!AW133</f>
        <v>116.033426015394</v>
      </c>
      <c r="CP22" s="77">
        <f>'P&amp;L'!AX133</f>
        <v>116.15756815593774</v>
      </c>
      <c r="CQ22" s="77">
        <f>'P&amp;L'!AY133</f>
        <v>0</v>
      </c>
      <c r="CR22" s="77">
        <f>'P&amp;L'!AZ133</f>
        <v>115.79556847312658</v>
      </c>
      <c r="CS22" s="77">
        <f>'P&amp;L'!BA133</f>
        <v>115.56760347243413</v>
      </c>
      <c r="CT22" s="77">
        <f>'P&amp;L'!BB133</f>
        <v>115.68158597278035</v>
      </c>
      <c r="CU22" s="77"/>
      <c r="CV22" s="77">
        <f>'P&amp;L'!BD133</f>
        <v>115.34921189907233</v>
      </c>
      <c r="CW22" s="77">
        <f>'P&amp;L'!BE133</f>
        <v>115.13990327384209</v>
      </c>
      <c r="CX22" s="77">
        <f>'P&amp;L'!BF133</f>
        <v>115.2445575864572</v>
      </c>
      <c r="CY22" s="127"/>
      <c r="CZ22" s="25"/>
      <c r="DA22" s="26"/>
    </row>
    <row r="23" spans="1:105" ht="17.100000000000001" customHeight="1">
      <c r="B23" s="81" t="s">
        <v>673</v>
      </c>
      <c r="C23" s="59"/>
      <c r="D23" s="59">
        <f>'P&amp;L'!P22</f>
        <v>60.447000000000045</v>
      </c>
      <c r="E23" s="59">
        <f>'P&amp;L'!Q22</f>
        <v>75.714999999999989</v>
      </c>
      <c r="F23" s="59">
        <f>'P&amp;L'!R22</f>
        <v>136.16200000000001</v>
      </c>
      <c r="G23" s="59"/>
      <c r="H23" s="59">
        <f>'P&amp;L'!T22</f>
        <v>63.169000000000054</v>
      </c>
      <c r="I23" s="59">
        <f>'P&amp;L'!U22</f>
        <v>89.814999999999984</v>
      </c>
      <c r="J23" s="59">
        <f>'P&amp;L'!V22</f>
        <v>152.98399999999998</v>
      </c>
      <c r="K23" s="59"/>
      <c r="L23" s="59">
        <f>'P&amp;L'!X22</f>
        <v>90.816000000000031</v>
      </c>
      <c r="M23" s="59">
        <f>'P&amp;L'!Y22</f>
        <v>102.95299999999996</v>
      </c>
      <c r="N23" s="59">
        <f>'P&amp;L'!Z22</f>
        <v>193.76900000000003</v>
      </c>
      <c r="O23" s="59"/>
      <c r="P23" s="59">
        <f>'P&amp;L'!AB22</f>
        <v>92.924000000000007</v>
      </c>
      <c r="Q23" s="59">
        <f>'P&amp;L'!AC22</f>
        <v>123.37200000000001</v>
      </c>
      <c r="R23" s="59">
        <f>'P&amp;L'!AD22</f>
        <v>216.29599999999991</v>
      </c>
      <c r="S23" s="59"/>
      <c r="T23" s="59">
        <f>'P&amp;L'!AF22</f>
        <v>133.93799999999999</v>
      </c>
      <c r="U23" s="59">
        <f>'P&amp;L'!AG22</f>
        <v>210.24100000000001</v>
      </c>
      <c r="V23" s="59">
        <f>'P&amp;L'!AH22</f>
        <v>344.17900000000014</v>
      </c>
      <c r="W23" s="59"/>
      <c r="X23" s="59">
        <f>'P&amp;L'!AJ22</f>
        <v>193.39700000000008</v>
      </c>
      <c r="Y23" s="59">
        <f>'P&amp;L'!AK22</f>
        <v>236.99700000000004</v>
      </c>
      <c r="Z23" s="59">
        <f>'P&amp;L'!AL22</f>
        <v>430.41600000000011</v>
      </c>
      <c r="AA23" s="59"/>
      <c r="AB23" s="59">
        <f>'P&amp;L'!AN22</f>
        <v>214.24300000000005</v>
      </c>
      <c r="AC23" s="59">
        <f>'P&amp;L'!AO22</f>
        <v>282.24599999999981</v>
      </c>
      <c r="AD23" s="59">
        <f>'P&amp;L'!AP22</f>
        <v>496.51099999999974</v>
      </c>
      <c r="AE23" s="59">
        <f>'P&amp;L'!AQ22</f>
        <v>-2.1999999999877673E-2</v>
      </c>
      <c r="AF23" s="59">
        <f>'P&amp;L'!AR22</f>
        <v>239.21875250000005</v>
      </c>
      <c r="AG23" s="59">
        <f>'P&amp;L'!AS22</f>
        <v>301.25348500000007</v>
      </c>
      <c r="AH23" s="59">
        <f>'P&amp;L'!AT22</f>
        <v>540.47223749999989</v>
      </c>
      <c r="AI23" s="59">
        <f>'P&amp;L'!AU22</f>
        <v>0</v>
      </c>
      <c r="AJ23" s="59">
        <f>'P&amp;L'!AV22</f>
        <v>253.77307684961087</v>
      </c>
      <c r="AK23" s="59">
        <f>'P&amp;L'!AW22</f>
        <v>323.04072824116923</v>
      </c>
      <c r="AL23" s="59">
        <f>'P&amp;L'!AX22</f>
        <v>576.81380509078008</v>
      </c>
      <c r="AM23" s="59">
        <f>'P&amp;L'!AY22</f>
        <v>0</v>
      </c>
      <c r="AN23" s="59">
        <f>'P&amp;L'!AZ22</f>
        <v>270.58035852509772</v>
      </c>
      <c r="AO23" s="59">
        <f>'P&amp;L'!BA22</f>
        <v>344.40898186621092</v>
      </c>
      <c r="AP23" s="59">
        <f>'P&amp;L'!BB22</f>
        <v>614.98934039130882</v>
      </c>
      <c r="AQ23" s="59"/>
      <c r="AR23" s="59">
        <f>'P&amp;L'!BD22</f>
        <v>280.79182049936276</v>
      </c>
      <c r="AS23" s="59">
        <f>'P&amp;L'!BE22</f>
        <v>358.18486635572413</v>
      </c>
      <c r="AT23" s="59">
        <f>'P&amp;L'!BF22</f>
        <v>638.97668685508654</v>
      </c>
      <c r="AU23" s="59"/>
      <c r="AV23" s="59">
        <f>'P&amp;L'!BH22</f>
        <v>291.48353734868277</v>
      </c>
      <c r="AW23" s="59">
        <f>'P&amp;L'!BI22</f>
        <v>372.61557657930121</v>
      </c>
      <c r="AX23" s="59">
        <f>'P&amp;L'!BJ22</f>
        <v>664.09911392798404</v>
      </c>
      <c r="AY23" s="59"/>
      <c r="AZ23" s="59">
        <f>'P&amp;L'!BL22</f>
        <v>302.6794815838482</v>
      </c>
      <c r="BA23" s="59">
        <f>'P&amp;L'!BM22</f>
        <v>387.73379959786126</v>
      </c>
      <c r="BB23" s="59">
        <f>'P&amp;L'!BN22</f>
        <v>690.41328118170941</v>
      </c>
      <c r="BC23" s="59"/>
      <c r="BD23" s="59">
        <f>'P&amp;L'!BP22</f>
        <v>314.40486161390555</v>
      </c>
      <c r="BE23" s="59">
        <f>'P&amp;L'!BQ22</f>
        <v>403.57389893701873</v>
      </c>
      <c r="BF23" s="59">
        <f>'P&amp;L'!BR22</f>
        <v>717.97876055092422</v>
      </c>
      <c r="BG23" s="59"/>
      <c r="BH23" s="59"/>
      <c r="BI23" s="60"/>
      <c r="BJ23" s="78"/>
      <c r="BK23" s="79"/>
      <c r="BL23" s="77"/>
      <c r="BM23" s="77"/>
      <c r="BN23" s="77"/>
      <c r="BO23" s="77"/>
      <c r="BP23" s="77"/>
      <c r="BQ23" s="77"/>
      <c r="BR23" s="77"/>
      <c r="BS23" s="77"/>
      <c r="BT23" s="77"/>
      <c r="BU23" s="77"/>
      <c r="BV23" s="77"/>
      <c r="BW23" s="77"/>
      <c r="BX23" s="77"/>
      <c r="BY23" s="77"/>
      <c r="BZ23" s="77"/>
      <c r="CA23" s="77"/>
      <c r="CB23" s="77"/>
      <c r="CC23" s="77"/>
      <c r="CD23" s="77"/>
      <c r="CE23" s="77"/>
      <c r="CF23" s="77"/>
      <c r="CG23" s="77"/>
      <c r="CH23" s="77"/>
      <c r="CI23" s="1"/>
      <c r="CJ23" s="1"/>
      <c r="CK23" s="1"/>
      <c r="CL23" s="1"/>
      <c r="CM23" s="1"/>
      <c r="CN23" s="1"/>
      <c r="CO23" s="1"/>
      <c r="CP23" s="1"/>
      <c r="CQ23" s="1"/>
      <c r="CR23" s="1"/>
      <c r="CS23" s="1"/>
      <c r="CT23" s="1"/>
      <c r="CU23" s="1"/>
      <c r="CV23" s="1"/>
      <c r="CW23" s="1"/>
      <c r="CX23" s="1"/>
      <c r="CY23" s="127"/>
      <c r="CZ23" s="25"/>
      <c r="DA23" s="24"/>
    </row>
    <row r="24" spans="1:105" s="1" customFormat="1" ht="17.100000000000001" customHeight="1">
      <c r="B24" s="80" t="s">
        <v>507</v>
      </c>
      <c r="C24" s="59"/>
      <c r="D24" s="53">
        <f>'P&amp;L'!P25+'P&amp;L'!P26</f>
        <v>-5.200000000000025</v>
      </c>
      <c r="E24" s="53">
        <f>'P&amp;L'!Q25+'P&amp;L'!Q26</f>
        <v>-4.2999999999999892</v>
      </c>
      <c r="F24" s="53">
        <f>'P&amp;L'!R25+'P&amp;L'!R26</f>
        <v>-9.5000000000000142</v>
      </c>
      <c r="G24" s="53"/>
      <c r="H24" s="53">
        <f>'P&amp;L'!T25+'P&amp;L'!T26</f>
        <v>-5.8000000000000256</v>
      </c>
      <c r="I24" s="53">
        <f>'P&amp;L'!U25+'P&amp;L'!U26</f>
        <v>-3.199999999999978</v>
      </c>
      <c r="J24" s="53">
        <f>'P&amp;L'!V25+'P&amp;L'!V26</f>
        <v>-9.0000000000000036</v>
      </c>
      <c r="K24" s="53"/>
      <c r="L24" s="53">
        <f>'P&amp;L'!X25+'P&amp;L'!X26</f>
        <v>-6.0330000000000075</v>
      </c>
      <c r="M24" s="53">
        <f>'P&amp;L'!Y25+'P&amp;L'!Y26</f>
        <v>-5.2989999999999622</v>
      </c>
      <c r="N24" s="53">
        <f>'P&amp;L'!Z25+'P&amp;L'!Z26</f>
        <v>-11.331999999999969</v>
      </c>
      <c r="O24" s="53"/>
      <c r="P24" s="53">
        <f>'P&amp;L'!AB25+'P&amp;L'!AB26</f>
        <v>-5.0949999999999864</v>
      </c>
      <c r="Q24" s="53">
        <f>'P&amp;L'!AC25+'P&amp;L'!AC26</f>
        <v>-4.4940000000000264</v>
      </c>
      <c r="R24" s="53">
        <f>'P&amp;L'!AD25+'P&amp;L'!AD26</f>
        <v>-9.5890000000000128</v>
      </c>
      <c r="S24" s="53"/>
      <c r="T24" s="53">
        <f>'P&amp;L'!AF25+'P&amp;L'!AF26</f>
        <v>-15.587000000000014</v>
      </c>
      <c r="U24" s="53">
        <f>'P&amp;L'!AG25+'P&amp;L'!AG26</f>
        <v>-31.826000000000015</v>
      </c>
      <c r="V24" s="53">
        <f>'P&amp;L'!AH25+'P&amp;L'!AH26</f>
        <v>-47.413000000000025</v>
      </c>
      <c r="W24" s="53"/>
      <c r="X24" s="53">
        <f>'P&amp;L'!AJ25+'P&amp;L'!AJ26</f>
        <v>-30.096000000000007</v>
      </c>
      <c r="Y24" s="53">
        <f>'P&amp;L'!AK25+'P&amp;L'!AK26</f>
        <v>-28.839000000000048</v>
      </c>
      <c r="Z24" s="53">
        <f>'P&amp;L'!AL25+'P&amp;L'!AL26</f>
        <v>-58.935000000000059</v>
      </c>
      <c r="AA24" s="53"/>
      <c r="AB24" s="53">
        <f>'P&amp;L'!AN25+'P&amp;L'!AN26</f>
        <v>-28.531000000000063</v>
      </c>
      <c r="AC24" s="53">
        <f>'P&amp;L'!AO25+'P&amp;L'!AO26</f>
        <v>-30.797999999999981</v>
      </c>
      <c r="AD24" s="53">
        <f>'P&amp;L'!AP25+'P&amp;L'!AP26</f>
        <v>-59.329000000000043</v>
      </c>
      <c r="AE24" s="53">
        <f>'P&amp;L'!AQ25+'P&amp;L'!AQ26</f>
        <v>0</v>
      </c>
      <c r="AF24" s="53">
        <f>'P&amp;L'!AR25+'P&amp;L'!AR26</f>
        <v>-30.797999999999959</v>
      </c>
      <c r="AG24" s="53">
        <f>'P&amp;L'!AS25+'P&amp;L'!AS26</f>
        <v>-30.797999999999959</v>
      </c>
      <c r="AH24" s="53">
        <f>'P&amp;L'!AT25+'P&amp;L'!AT26</f>
        <v>-61.595999999999918</v>
      </c>
      <c r="AI24" s="53">
        <f>'P&amp;L'!AU25+'P&amp;L'!AU26</f>
        <v>0</v>
      </c>
      <c r="AJ24" s="53">
        <f>'P&amp;L'!AV25+'P&amp;L'!AV26</f>
        <v>-30.182039999999962</v>
      </c>
      <c r="AK24" s="53">
        <f>'P&amp;L'!AW25+'P&amp;L'!AW26</f>
        <v>-30.182039999999962</v>
      </c>
      <c r="AL24" s="53">
        <f>'P&amp;L'!AX25+'P&amp;L'!AX26</f>
        <v>-60.364079999999923</v>
      </c>
      <c r="AM24" s="53">
        <f>'P&amp;L'!AY25+'P&amp;L'!AY26</f>
        <v>0</v>
      </c>
      <c r="AN24" s="53">
        <f>'P&amp;L'!AZ25+'P&amp;L'!AZ26</f>
        <v>-29.578399199999961</v>
      </c>
      <c r="AO24" s="53">
        <f>'P&amp;L'!BA25+'P&amp;L'!BA26</f>
        <v>-29.578399199999961</v>
      </c>
      <c r="AP24" s="53">
        <f>'P&amp;L'!BB25+'P&amp;L'!BB26</f>
        <v>-59.156798399999921</v>
      </c>
      <c r="AQ24" s="53"/>
      <c r="AR24" s="53">
        <f>'P&amp;L'!BD25+'P&amp;L'!BD26</f>
        <v>-29.578399199999961</v>
      </c>
      <c r="AS24" s="53">
        <f>'P&amp;L'!BE25+'P&amp;L'!BE26</f>
        <v>-29.578399199999961</v>
      </c>
      <c r="AT24" s="53">
        <f>'P&amp;L'!BF25+'P&amp;L'!BF26</f>
        <v>-59.156798399999921</v>
      </c>
      <c r="AU24" s="53"/>
      <c r="AV24" s="53">
        <f>'P&amp;L'!BH25+'P&amp;L'!BH26</f>
        <v>-29.578399199999961</v>
      </c>
      <c r="AW24" s="53">
        <f>'P&amp;L'!BI25+'P&amp;L'!BI26</f>
        <v>-29.578399199999961</v>
      </c>
      <c r="AX24" s="53">
        <f>'P&amp;L'!BJ25+'P&amp;L'!BJ26</f>
        <v>-59.156798399999921</v>
      </c>
      <c r="AY24" s="53"/>
      <c r="AZ24" s="53">
        <f>'P&amp;L'!BL25+'P&amp;L'!BL26</f>
        <v>-29.578399199999961</v>
      </c>
      <c r="BA24" s="53">
        <f>'P&amp;L'!BM25+'P&amp;L'!BM26</f>
        <v>-29.578399199999961</v>
      </c>
      <c r="BB24" s="53">
        <f>'P&amp;L'!BN25+'P&amp;L'!BN26</f>
        <v>-59.156798399999921</v>
      </c>
      <c r="BC24" s="53"/>
      <c r="BD24" s="53">
        <f>'P&amp;L'!BP25+'P&amp;L'!BP26</f>
        <v>-29.578399199999961</v>
      </c>
      <c r="BE24" s="53">
        <f>'P&amp;L'!BQ25+'P&amp;L'!BQ26</f>
        <v>-29.578399199999961</v>
      </c>
      <c r="BF24" s="53">
        <f>'P&amp;L'!BR25+'P&amp;L'!BR26</f>
        <v>-59.156798399999921</v>
      </c>
      <c r="BG24" s="53"/>
      <c r="BH24" s="59"/>
      <c r="BI24" s="49"/>
      <c r="BJ24" s="82" t="s">
        <v>53</v>
      </c>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127"/>
      <c r="CZ24" s="277"/>
      <c r="DA24" s="26"/>
    </row>
    <row r="25" spans="1:105" ht="17.100000000000001" customHeight="1">
      <c r="B25" s="81" t="s">
        <v>162</v>
      </c>
      <c r="C25" s="59"/>
      <c r="D25" s="59">
        <f>'P&amp;L'!P28</f>
        <v>55.247000000000021</v>
      </c>
      <c r="E25" s="59">
        <f>'P&amp;L'!Q28</f>
        <v>71.415000000000006</v>
      </c>
      <c r="F25" s="59">
        <f>'P&amp;L'!R28</f>
        <v>126.66199999999999</v>
      </c>
      <c r="G25" s="59"/>
      <c r="H25" s="59">
        <f>'P&amp;L'!T28</f>
        <v>57.369000000000028</v>
      </c>
      <c r="I25" s="59">
        <f>'P&amp;L'!U28</f>
        <v>86.615000000000009</v>
      </c>
      <c r="J25" s="59">
        <f>'P&amp;L'!V28</f>
        <v>143.98399999999998</v>
      </c>
      <c r="K25" s="59"/>
      <c r="L25" s="59">
        <f>'P&amp;L'!X28</f>
        <v>84.783000000000015</v>
      </c>
      <c r="M25" s="59">
        <f>'P&amp;L'!Y28</f>
        <v>97.654000000000011</v>
      </c>
      <c r="N25" s="59">
        <f>'P&amp;L'!Z28</f>
        <v>182.43700000000007</v>
      </c>
      <c r="O25" s="59"/>
      <c r="P25" s="59">
        <f>'P&amp;L'!AB28</f>
        <v>87.829000000000022</v>
      </c>
      <c r="Q25" s="59">
        <f>'P&amp;L'!AC28</f>
        <v>118.87799999999999</v>
      </c>
      <c r="R25" s="59">
        <f>'P&amp;L'!AD28</f>
        <v>206.70699999999991</v>
      </c>
      <c r="S25" s="59"/>
      <c r="T25" s="59">
        <f>'P&amp;L'!AF28</f>
        <v>118.35099999999997</v>
      </c>
      <c r="U25" s="59">
        <f>'P&amp;L'!AG28</f>
        <v>178.41500000000002</v>
      </c>
      <c r="V25" s="59">
        <f>'P&amp;L'!AH28</f>
        <v>296.76600000000008</v>
      </c>
      <c r="W25" s="59"/>
      <c r="X25" s="59">
        <f>'P&amp;L'!AJ28</f>
        <v>163.30100000000007</v>
      </c>
      <c r="Y25" s="59">
        <f>'P&amp;L'!AK28</f>
        <v>208.15800000000002</v>
      </c>
      <c r="Z25" s="59">
        <f>'P&amp;L'!AL28</f>
        <v>371.48100000000005</v>
      </c>
      <c r="AA25" s="59"/>
      <c r="AB25" s="59">
        <f>'P&amp;L'!AN28</f>
        <v>185.71199999999999</v>
      </c>
      <c r="AC25" s="59">
        <f>'P&amp;L'!AO28</f>
        <v>251.44799999999981</v>
      </c>
      <c r="AD25" s="59">
        <f>'P&amp;L'!AP28</f>
        <v>437.18199999999968</v>
      </c>
      <c r="AE25" s="59">
        <f>'P&amp;L'!AQ28</f>
        <v>-2.1999999999877673E-2</v>
      </c>
      <c r="AF25" s="59">
        <f>'P&amp;L'!AR28</f>
        <v>208.42075250000011</v>
      </c>
      <c r="AG25" s="59">
        <f>'P&amp;L'!AS28</f>
        <v>270.45548500000012</v>
      </c>
      <c r="AH25" s="59">
        <f>'P&amp;L'!AT28</f>
        <v>478.8762375</v>
      </c>
      <c r="AI25" s="59">
        <f>'P&amp;L'!AU28</f>
        <v>0</v>
      </c>
      <c r="AJ25" s="59">
        <f>'P&amp;L'!AV28</f>
        <v>223.5910368496109</v>
      </c>
      <c r="AK25" s="59">
        <f>'P&amp;L'!AW28</f>
        <v>292.85868824116926</v>
      </c>
      <c r="AL25" s="59">
        <f>'P&amp;L'!AX28</f>
        <v>516.44972509078013</v>
      </c>
      <c r="AM25" s="59">
        <f>'P&amp;L'!AY28</f>
        <v>0</v>
      </c>
      <c r="AN25" s="59">
        <f>'P&amp;L'!AZ28</f>
        <v>241.00195932509774</v>
      </c>
      <c r="AO25" s="59">
        <f>'P&amp;L'!BA28</f>
        <v>314.830582666211</v>
      </c>
      <c r="AP25" s="59">
        <f>'P&amp;L'!BB28</f>
        <v>555.83254199130886</v>
      </c>
      <c r="AQ25" s="59"/>
      <c r="AR25" s="59">
        <f>'P&amp;L'!BD28</f>
        <v>251.21342129936278</v>
      </c>
      <c r="AS25" s="59">
        <f>'P&amp;L'!BE28</f>
        <v>328.60646715572415</v>
      </c>
      <c r="AT25" s="59">
        <f>'P&amp;L'!BF28</f>
        <v>579.8198884550867</v>
      </c>
      <c r="AU25" s="59"/>
      <c r="AV25" s="59">
        <f>'P&amp;L'!BH28</f>
        <v>261.90513814868285</v>
      </c>
      <c r="AW25" s="59">
        <f>'P&amp;L'!BI28</f>
        <v>343.03717737930123</v>
      </c>
      <c r="AX25" s="59">
        <f>'P&amp;L'!BJ28</f>
        <v>604.94231552798408</v>
      </c>
      <c r="AY25" s="59"/>
      <c r="AZ25" s="59">
        <f>'P&amp;L'!BL28</f>
        <v>273.10108238384822</v>
      </c>
      <c r="BA25" s="59">
        <f>'P&amp;L'!BM28</f>
        <v>358.15540039786134</v>
      </c>
      <c r="BB25" s="59">
        <f>'P&amp;L'!BN28</f>
        <v>631.25648278170945</v>
      </c>
      <c r="BC25" s="59"/>
      <c r="BD25" s="59">
        <f>'P&amp;L'!BP28</f>
        <v>284.82646241390563</v>
      </c>
      <c r="BE25" s="59">
        <f>'P&amp;L'!BQ28</f>
        <v>373.99549973701875</v>
      </c>
      <c r="BF25" s="59">
        <f>'P&amp;L'!BR28</f>
        <v>658.82196215092438</v>
      </c>
      <c r="BG25" s="59"/>
      <c r="BH25" s="59"/>
      <c r="BI25" s="49"/>
      <c r="BJ25" s="291" t="s">
        <v>54</v>
      </c>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127"/>
      <c r="CZ25" s="277"/>
      <c r="DA25" s="26"/>
    </row>
    <row r="26" spans="1:105" ht="17.100000000000001" customHeight="1">
      <c r="B26" s="81"/>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49"/>
      <c r="BJ26" s="89" t="s">
        <v>55</v>
      </c>
      <c r="BK26" s="90"/>
      <c r="BL26" s="72">
        <f>'P&amp;L'!T192</f>
        <v>0.56428586225422817</v>
      </c>
      <c r="BM26" s="72">
        <f>'P&amp;L'!U192</f>
        <v>0.60405360063244606</v>
      </c>
      <c r="BN26" s="72">
        <f>'P&amp;L'!V192</f>
        <v>0.58526700115962649</v>
      </c>
      <c r="BO26" s="72"/>
      <c r="BP26" s="72">
        <f>'P&amp;L'!X192</f>
        <v>0.78460558413814285</v>
      </c>
      <c r="BQ26" s="72">
        <f>'P&amp;L'!Y192</f>
        <v>0.822099498546494</v>
      </c>
      <c r="BR26" s="72">
        <f>'P&amp;L'!Z192</f>
        <v>0.803989571035027</v>
      </c>
      <c r="BS26" s="72"/>
      <c r="BT26" s="72">
        <f>'P&amp;L'!AB192</f>
        <v>0.53105621372991973</v>
      </c>
      <c r="BU26" s="72">
        <f>'P&amp;L'!AC192</f>
        <v>0.36359646399087286</v>
      </c>
      <c r="BV26" s="72">
        <f>'P&amp;L'!AD192</f>
        <v>0.42138782688375659</v>
      </c>
      <c r="BW26" s="72"/>
      <c r="BX26" s="72">
        <f>'P&amp;L'!AF192</f>
        <v>-0.80607288004363642</v>
      </c>
      <c r="BY26" s="72">
        <f>'P&amp;L'!AG192</f>
        <v>-0.3172610421959256</v>
      </c>
      <c r="BZ26" s="72">
        <f>'P&amp;L'!AH192</f>
        <v>-0.40391693715537141</v>
      </c>
      <c r="CA26" s="72"/>
      <c r="CB26" s="72">
        <f>'P&amp;L'!AJ192</f>
        <v>-0.29044008815550693</v>
      </c>
      <c r="CC26" s="72">
        <f>'P&amp;L'!AK192</f>
        <v>-0.49794090911750344</v>
      </c>
      <c r="CD26" s="72">
        <f>'P&amp;L'!AL192</f>
        <v>-0.38510593740359361</v>
      </c>
      <c r="CE26" s="72"/>
      <c r="CF26" s="72">
        <f>'P&amp;L'!AN192</f>
        <v>-0.35356998349004526</v>
      </c>
      <c r="CG26" s="72">
        <f>'P&amp;L'!AO192</f>
        <v>-0.43236675151837634</v>
      </c>
      <c r="CH26" s="72">
        <f>'P&amp;L'!AP192</f>
        <v>-0.39688322703316975</v>
      </c>
      <c r="CI26" s="72">
        <f>'P&amp;L'!AQ192</f>
        <v>0</v>
      </c>
      <c r="CJ26" s="72">
        <f>'P&amp;L'!AR192</f>
        <v>-0.35973597126189572</v>
      </c>
      <c r="CK26" s="72">
        <f>'P&amp;L'!AS192</f>
        <v>-0.63667182031538072</v>
      </c>
      <c r="CL26" s="72">
        <f>'P&amp;L'!AT192</f>
        <v>-0.48422332803822909</v>
      </c>
      <c r="CM26" s="72">
        <f>'P&amp;L'!AU192</f>
        <v>0</v>
      </c>
      <c r="CN26" s="72">
        <f>'P&amp;L'!AV192</f>
        <v>-0.58699879092681151</v>
      </c>
      <c r="CO26" s="72">
        <f>'P&amp;L'!AW192</f>
        <v>-1.1589907380254472</v>
      </c>
      <c r="CP26" s="72">
        <f>'P&amp;L'!AX192</f>
        <v>-0.8305519070700087</v>
      </c>
      <c r="CQ26" s="72">
        <f>'P&amp;L'!AY192</f>
        <v>0</v>
      </c>
      <c r="CR26" s="72">
        <f>'P&amp;L'!AZ192</f>
        <v>-1.2590937199690311</v>
      </c>
      <c r="CS26" s="72">
        <f>'P&amp;L'!BA192</f>
        <v>-3.5037610526135787</v>
      </c>
      <c r="CT26" s="72">
        <f>'P&amp;L'!BB192</f>
        <v>-2.0295468870129953</v>
      </c>
      <c r="CU26" s="72"/>
      <c r="CV26" s="72">
        <f>'P&amp;L'!BD192</f>
        <v>-17.085416407362587</v>
      </c>
      <c r="CW26" s="72">
        <f>'P&amp;L'!BE192</f>
        <v>5.2428578735469706</v>
      </c>
      <c r="CX26" s="72">
        <f>'P&amp;L'!BF192</f>
        <v>11.119980274689153</v>
      </c>
      <c r="CY26" s="127"/>
      <c r="CZ26" s="277"/>
      <c r="DA26" s="26"/>
    </row>
    <row r="27" spans="1:105" ht="17.100000000000001" customHeight="1">
      <c r="B27" s="81" t="s">
        <v>163</v>
      </c>
      <c r="C27" s="59"/>
      <c r="D27" s="59">
        <f>'P&amp;L'!P30</f>
        <v>-26.142999999999997</v>
      </c>
      <c r="E27" s="59">
        <f>'P&amp;L'!Q30</f>
        <v>-29.600000000000005</v>
      </c>
      <c r="F27" s="59">
        <f>'P&amp;L'!R30</f>
        <v>-56.071000000000005</v>
      </c>
      <c r="G27" s="59"/>
      <c r="H27" s="59">
        <f>'P&amp;L'!T30</f>
        <v>-24.980999999999998</v>
      </c>
      <c r="I27" s="59">
        <f>'P&amp;L'!U30</f>
        <v>-44.943999999999996</v>
      </c>
      <c r="J27" s="59">
        <f>'P&amp;L'!V30</f>
        <v>-69.924999999999997</v>
      </c>
      <c r="K27" s="59"/>
      <c r="L27" s="59">
        <f>'P&amp;L'!X30</f>
        <v>-40.977000000000011</v>
      </c>
      <c r="M27" s="59">
        <f>'P&amp;L'!Y30</f>
        <v>-46.988</v>
      </c>
      <c r="N27" s="59">
        <f>'P&amp;L'!Z30</f>
        <v>-87.964999999999989</v>
      </c>
      <c r="O27" s="59"/>
      <c r="P27" s="59">
        <f>'P&amp;L'!AB30</f>
        <v>-44.000000000000007</v>
      </c>
      <c r="Q27" s="98">
        <f>'P&amp;L'!AC30</f>
        <v>-56.599999999999994</v>
      </c>
      <c r="R27" s="98">
        <f>'P&amp;L'!AD30</f>
        <v>-100.6</v>
      </c>
      <c r="S27" s="98"/>
      <c r="T27" s="98">
        <f>'P&amp;L'!AF30</f>
        <v>-52.339999999999996</v>
      </c>
      <c r="U27" s="98">
        <f>'P&amp;L'!AG30</f>
        <v>-63.679999999999993</v>
      </c>
      <c r="V27" s="98">
        <f>'P&amp;L'!AH30</f>
        <v>-116.02000000000002</v>
      </c>
      <c r="W27" s="98"/>
      <c r="X27" s="98">
        <f>'P&amp;L'!AJ30</f>
        <v>-62.20000000000001</v>
      </c>
      <c r="Y27" s="98">
        <f>'P&amp;L'!AK30</f>
        <v>-69.248999999999995</v>
      </c>
      <c r="Z27" s="98">
        <f>'P&amp;L'!AL30</f>
        <v>-131.44900000000001</v>
      </c>
      <c r="AA27" s="98"/>
      <c r="AB27" s="98">
        <f>'P&amp;L'!AN30</f>
        <v>-71.200000000000031</v>
      </c>
      <c r="AC27" s="98">
        <f>'P&amp;L'!AO30</f>
        <v>-81.999999999999943</v>
      </c>
      <c r="AD27" s="98">
        <f>'P&amp;L'!AP30</f>
        <v>-153.19999999999996</v>
      </c>
      <c r="AE27" s="98">
        <f>'P&amp;L'!AQ30</f>
        <v>0</v>
      </c>
      <c r="AF27" s="98">
        <f>'P&amp;L'!AR30</f>
        <v>-76.403911134999987</v>
      </c>
      <c r="AG27" s="98">
        <f>'P&amp;L'!AS30</f>
        <v>-86.02505333000002</v>
      </c>
      <c r="AH27" s="98">
        <f>'P&amp;L'!AT30</f>
        <v>-162.42896446500004</v>
      </c>
      <c r="AI27" s="98">
        <f>'P&amp;L'!AU30</f>
        <v>0</v>
      </c>
      <c r="AJ27" s="98">
        <f>'P&amp;L'!AV30</f>
        <v>-81.332732663842734</v>
      </c>
      <c r="AK27" s="98">
        <f>'P&amp;L'!AW30</f>
        <v>-91.814254449967763</v>
      </c>
      <c r="AL27" s="98">
        <f>'P&amp;L'!AX30</f>
        <v>-173.14698711381047</v>
      </c>
      <c r="AM27" s="98">
        <f>'P&amp;L'!AY30</f>
        <v>0</v>
      </c>
      <c r="AN27" s="98">
        <f>'P&amp;L'!AZ30</f>
        <v>-86.481726699064907</v>
      </c>
      <c r="AO27" s="98">
        <f>'P&amp;L'!BA30</f>
        <v>-97.879747460171515</v>
      </c>
      <c r="AP27" s="98">
        <f>'P&amp;L'!BB30</f>
        <v>-184.36147415923642</v>
      </c>
      <c r="AQ27" s="98"/>
      <c r="AR27" s="98">
        <f>'P&amp;L'!BD30</f>
        <v>-89.784749266876929</v>
      </c>
      <c r="AS27" s="98">
        <f>'P&amp;L'!BE30</f>
        <v>-101.82144433428491</v>
      </c>
      <c r="AT27" s="98">
        <f>'P&amp;L'!BF30</f>
        <v>-191.60619360116186</v>
      </c>
      <c r="AU27" s="98"/>
      <c r="AV27" s="98">
        <f>'P&amp;L'!BH30</f>
        <v>-93.245702042402201</v>
      </c>
      <c r="AW27" s="98">
        <f>'P&amp;L'!BI30</f>
        <v>-105.95402351671164</v>
      </c>
      <c r="AX27" s="98">
        <f>'P&amp;L'!BJ30</f>
        <v>-199.19972555911389</v>
      </c>
      <c r="AY27" s="98"/>
      <c r="AZ27" s="98">
        <f>'P&amp;L'!BL30</f>
        <v>-96.872735981098501</v>
      </c>
      <c r="BA27" s="98">
        <f>'P&amp;L'!BM30</f>
        <v>-110.28736910634426</v>
      </c>
      <c r="BB27" s="98">
        <f>'P&amp;L'!BN30</f>
        <v>-207.16010508744276</v>
      </c>
      <c r="BC27" s="98"/>
      <c r="BD27" s="98">
        <f>'P&amp;L'!BP30</f>
        <v>-100.67443910684929</v>
      </c>
      <c r="BE27" s="98">
        <f>'P&amp;L'!BQ30</f>
        <v>-114.83189503738841</v>
      </c>
      <c r="BF27" s="98">
        <f>'P&amp;L'!BR30</f>
        <v>-215.50633414423771</v>
      </c>
      <c r="BG27" s="98"/>
      <c r="BH27" s="59"/>
      <c r="BI27" s="49"/>
      <c r="BJ27" s="89" t="s">
        <v>526</v>
      </c>
      <c r="BK27" s="90"/>
      <c r="BL27" s="72">
        <f>'P&amp;L'!T198</f>
        <v>3.719055703486996E-2</v>
      </c>
      <c r="BM27" s="72">
        <f>'P&amp;L'!U198</f>
        <v>0.17695078160558836</v>
      </c>
      <c r="BN27" s="72">
        <f>'P&amp;L'!V198</f>
        <v>0.10612981580589799</v>
      </c>
      <c r="BO27" s="72"/>
      <c r="BP27" s="72">
        <f>'P&amp;L'!X198</f>
        <v>0.10737301160762291</v>
      </c>
      <c r="BQ27" s="72">
        <f>'P&amp;L'!Y198</f>
        <v>0.20995897617009243</v>
      </c>
      <c r="BR27" s="72">
        <f>'P&amp;L'!Z198</f>
        <v>0.15570816887510588</v>
      </c>
      <c r="BS27" s="72"/>
      <c r="BT27" s="72">
        <f>'P&amp;L'!AB198</f>
        <v>0.12268773947856909</v>
      </c>
      <c r="BU27" s="72">
        <f>'P&amp;L'!AC198</f>
        <v>0.15257090857943542</v>
      </c>
      <c r="BV27" s="72">
        <f>'P&amp;L'!AD198</f>
        <v>0.12129326276881706</v>
      </c>
      <c r="BW27" s="72"/>
      <c r="BX27" s="72">
        <f>'P&amp;L'!AF198</f>
        <v>4.8079998457886252E-3</v>
      </c>
      <c r="BY27" s="72">
        <f>'P&amp;L'!AG198</f>
        <v>0.11064713119369333</v>
      </c>
      <c r="BZ27" s="72">
        <f>'P&amp;L'!AH198</f>
        <v>6.1033187199644741E-2</v>
      </c>
      <c r="CA27" s="72"/>
      <c r="CB27" s="72">
        <f>'P&amp;L'!AJ198</f>
        <v>8.3620180360483451E-2</v>
      </c>
      <c r="CC27" s="72">
        <f>'P&amp;L'!AK198</f>
        <v>0.12192779880146136</v>
      </c>
      <c r="CD27" s="72">
        <f>'P&amp;L'!AL198</f>
        <v>9.8185893209339167E-2</v>
      </c>
      <c r="CE27" s="72"/>
      <c r="CF27" s="72">
        <f>'P&amp;L'!AN198</f>
        <v>3.4617854444733191E-2</v>
      </c>
      <c r="CG27" s="72">
        <f>'P&amp;L'!AO198</f>
        <v>0.19222146227730705</v>
      </c>
      <c r="CH27" s="72">
        <f>'P&amp;L'!AP198</f>
        <v>0.11241260776464063</v>
      </c>
      <c r="CI27" s="72">
        <f>'P&amp;L'!AQ198</f>
        <v>0</v>
      </c>
      <c r="CJ27" s="72">
        <f>'P&amp;L'!AR198</f>
        <v>8.9129106396188845E-2</v>
      </c>
      <c r="CK27" s="72">
        <f>'P&amp;L'!AS198</f>
        <v>0.13627699964601975</v>
      </c>
      <c r="CL27" s="72">
        <f>'P&amp;L'!AT198</f>
        <v>0.11138250806679947</v>
      </c>
      <c r="CM27" s="72">
        <f>'P&amp;L'!AU198</f>
        <v>0</v>
      </c>
      <c r="CN27" s="72">
        <f>'P&amp;L'!AV198</f>
        <v>9.4531132807954291E-2</v>
      </c>
      <c r="CO27" s="72">
        <f>'P&amp;L'!AW198</f>
        <v>0.1457232288507638</v>
      </c>
      <c r="CP27" s="72">
        <f>'P&amp;L'!AX198</f>
        <v>0.11846986649999539</v>
      </c>
      <c r="CQ27" s="72">
        <f>'P&amp;L'!AY198</f>
        <v>0</v>
      </c>
      <c r="CR27" s="72">
        <f>'P&amp;L'!AZ198</f>
        <v>0.10118346098676693</v>
      </c>
      <c r="CS27" s="72">
        <f>'P&amp;L'!BA198</f>
        <v>0.15293435886466539</v>
      </c>
      <c r="CT27" s="72">
        <f>'P&amp;L'!BB198</f>
        <v>0.12532326328647311</v>
      </c>
      <c r="CU27" s="72"/>
      <c r="CV27" s="72">
        <f>'P&amp;L'!BD198</f>
        <v>0.10257065952352604</v>
      </c>
      <c r="CW27" s="72">
        <f>'P&amp;L'!BE198</f>
        <v>0.15562509251219717</v>
      </c>
      <c r="CX27" s="72">
        <f>'P&amp;L'!BF198</f>
        <v>0.12718149343881871</v>
      </c>
      <c r="CY27" s="127"/>
      <c r="CZ27" s="277"/>
      <c r="DA27" s="26"/>
    </row>
    <row r="28" spans="1:105" ht="17.100000000000001" customHeight="1">
      <c r="B28" s="81" t="s">
        <v>164</v>
      </c>
      <c r="C28" s="59"/>
      <c r="D28" s="59">
        <f>'P&amp;L'!P34</f>
        <v>29.104000000000024</v>
      </c>
      <c r="E28" s="59">
        <f>'P&amp;L'!Q34</f>
        <v>41.814999999999998</v>
      </c>
      <c r="F28" s="59">
        <f>'P&amp;L'!R34</f>
        <v>70.59099999999998</v>
      </c>
      <c r="G28" s="59"/>
      <c r="H28" s="59">
        <f>'P&amp;L'!T34</f>
        <v>32.388000000000034</v>
      </c>
      <c r="I28" s="59">
        <f>'P&amp;L'!U34</f>
        <v>41.671000000000014</v>
      </c>
      <c r="J28" s="59">
        <f>'P&amp;L'!V34</f>
        <v>74.058999999999983</v>
      </c>
      <c r="K28" s="59"/>
      <c r="L28" s="59">
        <f>'P&amp;L'!X34</f>
        <v>43.806000000000004</v>
      </c>
      <c r="M28" s="59">
        <f>'P&amp;L'!Y34</f>
        <v>50.666000000000011</v>
      </c>
      <c r="N28" s="59">
        <f>'P&amp;L'!Z34</f>
        <v>94.472000000000079</v>
      </c>
      <c r="O28" s="59"/>
      <c r="P28" s="59">
        <f>'P&amp;L'!AB34</f>
        <v>43.829000000000015</v>
      </c>
      <c r="Q28" s="59">
        <f>'P&amp;L'!AC34</f>
        <v>62.277999999999992</v>
      </c>
      <c r="R28" s="59">
        <f>'P&amp;L'!AD34</f>
        <v>106.10699999999991</v>
      </c>
      <c r="S28" s="59"/>
      <c r="T28" s="59">
        <f>'P&amp;L'!AF34</f>
        <v>66.010999999999967</v>
      </c>
      <c r="U28" s="59">
        <f>'P&amp;L'!AG34</f>
        <v>114.73500000000003</v>
      </c>
      <c r="V28" s="59">
        <f>'P&amp;L'!AH34</f>
        <v>180.74600000000004</v>
      </c>
      <c r="W28" s="59"/>
      <c r="X28" s="59">
        <f>'P&amp;L'!AJ34</f>
        <v>101.10100000000006</v>
      </c>
      <c r="Y28" s="59">
        <f>'P&amp;L'!AK34</f>
        <v>138.90900000000002</v>
      </c>
      <c r="Z28" s="59">
        <f>'P&amp;L'!AL34</f>
        <v>240.03200000000004</v>
      </c>
      <c r="AA28" s="59"/>
      <c r="AB28" s="59">
        <f>'P&amp;L'!AN34</f>
        <v>114.51199999999996</v>
      </c>
      <c r="AC28" s="59">
        <f>'P&amp;L'!AO34</f>
        <v>169.44799999999987</v>
      </c>
      <c r="AD28" s="59">
        <f>'P&amp;L'!AP34</f>
        <v>283.98199999999974</v>
      </c>
      <c r="AE28" s="59">
        <f>'P&amp;L'!AQ34</f>
        <v>-2.1999999999934516E-2</v>
      </c>
      <c r="AF28" s="59">
        <f>'P&amp;L'!AR34</f>
        <v>132.01684136500012</v>
      </c>
      <c r="AG28" s="59">
        <f>'P&amp;L'!AS34</f>
        <v>184.4304316700001</v>
      </c>
      <c r="AH28" s="59">
        <f>'P&amp;L'!AT34</f>
        <v>316.44727303499997</v>
      </c>
      <c r="AI28" s="59">
        <f>'P&amp;L'!AU34</f>
        <v>0</v>
      </c>
      <c r="AJ28" s="59">
        <f>'P&amp;L'!AV34</f>
        <v>142.25830418576817</v>
      </c>
      <c r="AK28" s="59">
        <f>'P&amp;L'!AW34</f>
        <v>201.0444337912015</v>
      </c>
      <c r="AL28" s="59">
        <f>'P&amp;L'!AX34</f>
        <v>343.30273797696964</v>
      </c>
      <c r="AM28" s="59">
        <f>'P&amp;L'!AY34</f>
        <v>0</v>
      </c>
      <c r="AN28" s="59">
        <f>'P&amp;L'!AZ34</f>
        <v>154.52023262603285</v>
      </c>
      <c r="AO28" s="59">
        <f>'P&amp;L'!BA34</f>
        <v>216.95083520603947</v>
      </c>
      <c r="AP28" s="59">
        <f>'P&amp;L'!BB34</f>
        <v>371.47106783207244</v>
      </c>
      <c r="AQ28" s="59"/>
      <c r="AR28" s="59">
        <f>'P&amp;L'!BD34</f>
        <v>161.42867203248585</v>
      </c>
      <c r="AS28" s="59">
        <f>'P&amp;L'!BE34</f>
        <v>226.78502282143924</v>
      </c>
      <c r="AT28" s="59">
        <f>'P&amp;L'!BF34</f>
        <v>388.21369485392484</v>
      </c>
      <c r="AU28" s="59"/>
      <c r="AV28" s="59">
        <f>'P&amp;L'!BH34</f>
        <v>168.65943610628065</v>
      </c>
      <c r="AW28" s="59">
        <f>'P&amp;L'!BI34</f>
        <v>237.0831538625896</v>
      </c>
      <c r="AX28" s="59">
        <f>'P&amp;L'!BJ34</f>
        <v>405.74258996887022</v>
      </c>
      <c r="AY28" s="59"/>
      <c r="AZ28" s="59">
        <f>'P&amp;L'!BL34</f>
        <v>176.22834640274971</v>
      </c>
      <c r="BA28" s="59">
        <f>'P&amp;L'!BM34</f>
        <v>247.86803129151707</v>
      </c>
      <c r="BB28" s="59">
        <f>'P&amp;L'!BN34</f>
        <v>424.09637769426672</v>
      </c>
      <c r="BC28" s="59"/>
      <c r="BD28" s="59">
        <f>'P&amp;L'!BP34</f>
        <v>184.15202330705634</v>
      </c>
      <c r="BE28" s="59">
        <f>'P&amp;L'!BQ34</f>
        <v>259.16360469963035</v>
      </c>
      <c r="BF28" s="59">
        <f>'P&amp;L'!BR34</f>
        <v>443.31562800668667</v>
      </c>
      <c r="BG28" s="59"/>
      <c r="BH28" s="98"/>
      <c r="BI28" s="49"/>
      <c r="BJ28" s="89" t="s">
        <v>558</v>
      </c>
      <c r="BL28" s="72">
        <f>'P&amp;L'!T199</f>
        <v>0.11010191642907424</v>
      </c>
      <c r="BM28" s="72">
        <f>'P&amp;L'!U199</f>
        <v>0.13392573185840614</v>
      </c>
      <c r="BN28" s="72">
        <f>'P&amp;L'!V199</f>
        <v>0.12073933449473633</v>
      </c>
      <c r="BO28" s="72"/>
      <c r="BP28" s="72">
        <f>'P&amp;L'!X199</f>
        <v>0.1385526595276734</v>
      </c>
      <c r="BQ28" s="72">
        <f>'P&amp;L'!Y199</f>
        <v>0.15641708930695078</v>
      </c>
      <c r="BR28" s="72">
        <f>'P&amp;L'!Z199</f>
        <v>0.14399052015788008</v>
      </c>
      <c r="BS28" s="72"/>
      <c r="BT28" s="72">
        <f>'P&amp;L'!AB199</f>
        <v>0.12657160082156779</v>
      </c>
      <c r="BU28" s="72">
        <f>'P&amp;L'!AC199</f>
        <v>0.1294879284390959</v>
      </c>
      <c r="BV28" s="72">
        <f>'P&amp;L'!AD199</f>
        <v>0.1110656081989246</v>
      </c>
      <c r="BW28" s="72"/>
      <c r="BX28" s="72">
        <f>'P&amp;L'!AF199</f>
        <v>9.9132639362353892E-2</v>
      </c>
      <c r="BY28" s="72">
        <f>'P&amp;L'!AG199</f>
        <v>0.14494638880116545</v>
      </c>
      <c r="BZ28" s="581">
        <f>'P&amp;L'!AH199</f>
        <v>0.12098032794105183</v>
      </c>
      <c r="CA28" s="72"/>
      <c r="CB28" s="72">
        <f>'P&amp;L'!AJ199</f>
        <v>0.11044737904165895</v>
      </c>
      <c r="CC28" s="72">
        <f>'P&amp;L'!AK199</f>
        <v>0.14645969170292691</v>
      </c>
      <c r="CD28" s="72">
        <f>'P&amp;L'!AL199</f>
        <v>0.12249885662528796</v>
      </c>
      <c r="CE28" s="72"/>
      <c r="CF28" s="72">
        <f>'P&amp;L'!AN199</f>
        <v>0.10369185250537517</v>
      </c>
      <c r="CG28" s="72">
        <f>'P&amp;L'!AO199</f>
        <v>0.1511582157752526</v>
      </c>
      <c r="CH28" s="72">
        <f>'P&amp;L'!AP199</f>
        <v>0.12501338133865805</v>
      </c>
      <c r="CI28" s="72">
        <f>'P&amp;L'!AQ199</f>
        <v>0</v>
      </c>
      <c r="CJ28" s="72">
        <f>'P&amp;L'!AR199</f>
        <v>0.10795463259484464</v>
      </c>
      <c r="CK28" s="72">
        <f>'P&amp;L'!AS199</f>
        <v>0.15509528024325372</v>
      </c>
      <c r="CL28" s="72">
        <f>'P&amp;L'!AT199</f>
        <v>0.12998312511806767</v>
      </c>
      <c r="CM28" s="72">
        <f>'P&amp;L'!AU199</f>
        <v>0</v>
      </c>
      <c r="CN28" s="72">
        <f>'P&amp;L'!AV199</f>
        <v>0.11278269380660412</v>
      </c>
      <c r="CO28" s="72">
        <f>'P&amp;L'!AW199</f>
        <v>0.16397474048333999</v>
      </c>
      <c r="CP28" s="72">
        <f>'P&amp;L'!AX199</f>
        <v>0.136469593395496</v>
      </c>
      <c r="CQ28" s="72">
        <f>'P&amp;L'!AY199</f>
        <v>0</v>
      </c>
      <c r="CR28" s="72">
        <f>'P&amp;L'!AZ199</f>
        <v>0.11889773729538028</v>
      </c>
      <c r="CS28" s="72">
        <f>'P&amp;L'!BA199</f>
        <v>0.17052314861372095</v>
      </c>
      <c r="CT28" s="72">
        <f>'P&amp;L'!BB199</f>
        <v>0.14272085954957964</v>
      </c>
      <c r="CU28" s="72"/>
      <c r="CV28" s="72">
        <f>'P&amp;L'!BD199</f>
        <v>0.11963148304237779</v>
      </c>
      <c r="CW28" s="72">
        <f>'P&amp;L'!BE199</f>
        <v>0.17266224256233781</v>
      </c>
      <c r="CX28" s="72">
        <f>'P&amp;L'!BF199</f>
        <v>0.14397499409358672</v>
      </c>
      <c r="CY28" s="127"/>
      <c r="CZ28" s="277"/>
      <c r="DA28" s="26"/>
    </row>
    <row r="29" spans="1:105" ht="17.100000000000001" customHeight="1">
      <c r="B29" s="81"/>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49"/>
      <c r="BJ29" s="65" t="s">
        <v>561</v>
      </c>
      <c r="BK29" s="90"/>
      <c r="BL29" s="92">
        <f>'P&amp;L'!T204</f>
        <v>1.820111362937948E-2</v>
      </c>
      <c r="BM29" s="92">
        <f>'P&amp;L'!U204</f>
        <v>8.0282132601295256E-2</v>
      </c>
      <c r="BN29" s="92">
        <f>'P&amp;L'!V204</f>
        <v>5.0497571311041219E-2</v>
      </c>
      <c r="BO29" s="92"/>
      <c r="BP29" s="92">
        <f>'P&amp;L'!X204</f>
        <v>4.3283557386541001E-2</v>
      </c>
      <c r="BQ29" s="92">
        <f>'P&amp;L'!Y204</f>
        <v>8.4524008159004183E-2</v>
      </c>
      <c r="BR29" s="92">
        <f>'P&amp;L'!Z204</f>
        <v>6.430904437473256E-2</v>
      </c>
      <c r="BS29" s="92"/>
      <c r="BT29" s="92">
        <f>'P&amp;L'!AB204</f>
        <v>5.0354885293624606E-2</v>
      </c>
      <c r="BU29" s="92">
        <f>'P&amp;L'!AC204</f>
        <v>7.1949663489839763E-2</v>
      </c>
      <c r="BV29" s="92">
        <f>'P&amp;L'!AD204</f>
        <v>6.269816837944106E-2</v>
      </c>
      <c r="BW29" s="92"/>
      <c r="BX29" s="92">
        <f>'P&amp;L'!AF204</f>
        <v>1.7545215357892743E-3</v>
      </c>
      <c r="BY29" s="92">
        <f>'P&amp;L'!AG204</f>
        <v>3.446825849383621E-2</v>
      </c>
      <c r="BZ29" s="92">
        <f>'P&amp;L'!AH204</f>
        <v>2.0856295121715378E-2</v>
      </c>
      <c r="CA29" s="92"/>
      <c r="CB29" s="92">
        <f>'P&amp;L'!AJ204</f>
        <v>2.7713465342748992E-2</v>
      </c>
      <c r="CC29" s="92">
        <f>'P&amp;L'!AK204</f>
        <v>4.3186545780580517E-2</v>
      </c>
      <c r="CD29" s="92">
        <f>'P&amp;L'!AL204</f>
        <v>3.549395862663271E-2</v>
      </c>
      <c r="CE29" s="92"/>
      <c r="CF29" s="92">
        <f>'P&amp;L'!AN204</f>
        <v>1.2418058762037313E-2</v>
      </c>
      <c r="CG29" s="92">
        <f>'P&amp;L'!AO204</f>
        <v>6.7570084266792049E-2</v>
      </c>
      <c r="CH29" s="92">
        <f>'P&amp;L'!AP204</f>
        <v>4.0823777078919182E-2</v>
      </c>
      <c r="CI29" s="92">
        <f>'P&amp;L'!AQ204</f>
        <v>0</v>
      </c>
      <c r="CJ29" s="92">
        <f>'P&amp;L'!AR204</f>
        <v>3.1846105838857143E-2</v>
      </c>
      <c r="CK29" s="92">
        <f>'P&amp;L'!AS204</f>
        <v>4.8557331481886526E-2</v>
      </c>
      <c r="CL29" s="92">
        <f>'P&amp;L'!AT204</f>
        <v>4.0211675571024341E-2</v>
      </c>
      <c r="CM29" s="92">
        <f>'P&amp;L'!AU204</f>
        <v>0</v>
      </c>
      <c r="CN29" s="92">
        <f>'P&amp;L'!AV204</f>
        <v>3.3741115415416689E-2</v>
      </c>
      <c r="CO29" s="92">
        <f>'P&amp;L'!AW204</f>
        <v>5.212790935247831E-2</v>
      </c>
      <c r="CP29" s="92">
        <f>'P&amp;L'!AX204</f>
        <v>4.2921884639006737E-2</v>
      </c>
      <c r="CQ29" s="92">
        <f>'P&amp;L'!AY204</f>
        <v>0</v>
      </c>
      <c r="CR29" s="92">
        <f>'P&amp;L'!AZ204</f>
        <v>3.636162310175578E-2</v>
      </c>
      <c r="CS29" s="92">
        <f>'P&amp;L'!BA204</f>
        <v>5.5301355795904741E-2</v>
      </c>
      <c r="CT29" s="92">
        <f>'P&amp;L'!BB204</f>
        <v>4.5834265366039434E-2</v>
      </c>
      <c r="CU29" s="92"/>
      <c r="CV29" s="92">
        <f>'P&amp;L'!BD204</f>
        <v>3.735476030529606E-2</v>
      </c>
      <c r="CW29" s="92">
        <f>'P&amp;L'!BE204</f>
        <v>5.7011794800175042E-2</v>
      </c>
      <c r="CX29" s="92">
        <f>'P&amp;L'!BF204</f>
        <v>4.7158796128378429E-2</v>
      </c>
      <c r="CY29" s="127"/>
      <c r="CZ29" s="277"/>
      <c r="DA29" s="26"/>
    </row>
    <row r="30" spans="1:105" ht="17.100000000000001" customHeight="1">
      <c r="A30" s="824" t="s">
        <v>694</v>
      </c>
      <c r="B30" s="80" t="s">
        <v>2</v>
      </c>
      <c r="C30" s="53"/>
      <c r="D30" s="53">
        <f>'P&amp;L'!P37</f>
        <v>-9.4649999999999999</v>
      </c>
      <c r="E30" s="53">
        <f>'P&amp;L'!Q37</f>
        <v>-10.992000000000001</v>
      </c>
      <c r="F30" s="53">
        <f>'P&amp;L'!R37</f>
        <v>-20.457000000000001</v>
      </c>
      <c r="G30" s="53"/>
      <c r="H30" s="53">
        <f>'P&amp;L'!T37</f>
        <v>-9.4649999999999999</v>
      </c>
      <c r="I30" s="53">
        <f>'P&amp;L'!U37</f>
        <v>-13.619</v>
      </c>
      <c r="J30" s="53">
        <f>'P&amp;L'!V37</f>
        <v>-23.084</v>
      </c>
      <c r="K30" s="53"/>
      <c r="L30" s="53">
        <f>'P&amp;L'!X37</f>
        <v>-13.74</v>
      </c>
      <c r="M30" s="53">
        <f>'P&amp;L'!Y37</f>
        <v>-15.357999999999999</v>
      </c>
      <c r="N30" s="53">
        <f>'P&amp;L'!Z37</f>
        <v>-29.097999999999999</v>
      </c>
      <c r="O30" s="53"/>
      <c r="P30" s="53">
        <f>'P&amp;L'!AB37</f>
        <v>-13.292999999999999</v>
      </c>
      <c r="Q30" s="53">
        <f>'P&amp;L'!AC37</f>
        <v>-18.774999999999999</v>
      </c>
      <c r="R30" s="53">
        <f>'P&amp;L'!AD37</f>
        <v>-32.067999999999998</v>
      </c>
      <c r="S30" s="53"/>
      <c r="T30" s="53">
        <f>'P&amp;L'!AF37</f>
        <v>-19.29</v>
      </c>
      <c r="U30" s="53">
        <f>'P&amp;L'!AG37</f>
        <v>-32.249000000000002</v>
      </c>
      <c r="V30" s="53">
        <f>'P&amp;L'!AH37</f>
        <v>-51.539000000000001</v>
      </c>
      <c r="W30" s="53"/>
      <c r="X30" s="53">
        <f>'P&amp;L'!AJ37</f>
        <v>-30.791</v>
      </c>
      <c r="Y30" s="53">
        <f>'P&amp;L'!AK37</f>
        <v>-38.221999999999994</v>
      </c>
      <c r="Z30" s="53">
        <f>'P&amp;L'!AL37</f>
        <v>-69.012999999999991</v>
      </c>
      <c r="AA30" s="53"/>
      <c r="AB30" s="53">
        <f>'P&amp;L'!AN37</f>
        <v>-35.000999999999998</v>
      </c>
      <c r="AC30" s="53">
        <f>'P&amp;L'!AO37</f>
        <v>-48.704000000000001</v>
      </c>
      <c r="AD30" s="53">
        <f>'P&amp;L'!AP37</f>
        <v>-83.704999999999998</v>
      </c>
      <c r="AE30" s="53">
        <f>'P&amp;L'!AQ37</f>
        <v>0</v>
      </c>
      <c r="AF30" s="53">
        <f>'P&amp;L'!AR37</f>
        <v>-40.265136616325037</v>
      </c>
      <c r="AG30" s="53">
        <f>'P&amp;L'!AS37</f>
        <v>-52.562673025950026</v>
      </c>
      <c r="AH30" s="53">
        <f>'P&amp;L'!AT37</f>
        <v>-92.827809642275071</v>
      </c>
      <c r="AI30" s="53">
        <f>'P&amp;L'!AU37</f>
        <v>0</v>
      </c>
      <c r="AJ30" s="53">
        <f>'P&amp;L'!AV37</f>
        <v>-43.388782776659291</v>
      </c>
      <c r="AK30" s="53">
        <f>'P&amp;L'!AW37</f>
        <v>-57.297663630492423</v>
      </c>
      <c r="AL30" s="53">
        <f>'P&amp;L'!AX37</f>
        <v>-100.68644640715172</v>
      </c>
      <c r="AM30" s="53">
        <f>'P&amp;L'!AY37</f>
        <v>0</v>
      </c>
      <c r="AN30" s="53">
        <f>'P&amp;L'!AZ37</f>
        <v>-47.12867095094002</v>
      </c>
      <c r="AO30" s="53">
        <f>'P&amp;L'!BA37</f>
        <v>-61.830988033721241</v>
      </c>
      <c r="AP30" s="53">
        <f>'P&amp;L'!BB37</f>
        <v>-108.95965898466126</v>
      </c>
      <c r="AQ30" s="53"/>
      <c r="AR30" s="53">
        <f>'P&amp;L'!BD37</f>
        <v>-49.235744969908183</v>
      </c>
      <c r="AS30" s="53">
        <f>'P&amp;L'!BE37</f>
        <v>-64.633731504110173</v>
      </c>
      <c r="AT30" s="53">
        <f>'P&amp;L'!BF37</f>
        <v>-113.86947647401836</v>
      </c>
      <c r="AU30" s="53"/>
      <c r="AV30" s="53">
        <f>'P&amp;L'!BH37</f>
        <v>-51.441128012415597</v>
      </c>
      <c r="AW30" s="53">
        <f>'P&amp;L'!BI37</f>
        <v>-67.568698850838032</v>
      </c>
      <c r="AX30" s="53">
        <f>'P&amp;L'!BJ37</f>
        <v>-119.00982686325364</v>
      </c>
      <c r="AY30" s="53"/>
      <c r="AZ30" s="53">
        <f>'P&amp;L'!BL37</f>
        <v>-53.749645652838659</v>
      </c>
      <c r="BA30" s="53">
        <f>'P&amp;L'!BM37</f>
        <v>-70.642388918082361</v>
      </c>
      <c r="BB30" s="53">
        <f>'P&amp;L'!BN37</f>
        <v>-124.39203457092103</v>
      </c>
      <c r="BC30" s="53"/>
      <c r="BD30" s="53">
        <f>'P&amp;L'!BP37</f>
        <v>-56.166367108652182</v>
      </c>
      <c r="BE30" s="53">
        <f>'P&amp;L'!BQ37</f>
        <v>-73.861627339394644</v>
      </c>
      <c r="BF30" s="53">
        <f>'P&amp;L'!BR37</f>
        <v>-130.02799444804683</v>
      </c>
      <c r="BG30" s="53"/>
      <c r="BH30" s="59"/>
      <c r="BI30" s="49"/>
      <c r="BJ30" s="93"/>
      <c r="BL30" s="94">
        <f>+BS!T76</f>
        <v>0</v>
      </c>
      <c r="CY30" s="127"/>
      <c r="CZ30" s="277"/>
      <c r="DA30" s="26"/>
    </row>
    <row r="31" spans="1:105" ht="17.100000000000001" customHeight="1">
      <c r="A31" s="824" t="s">
        <v>696</v>
      </c>
      <c r="B31" s="301" t="s">
        <v>165</v>
      </c>
      <c r="C31" s="302"/>
      <c r="D31" s="302">
        <f>'P&amp;L'!P39</f>
        <v>19.639000000000024</v>
      </c>
      <c r="E31" s="302">
        <f>'P&amp;L'!Q39</f>
        <v>30.822999999999997</v>
      </c>
      <c r="F31" s="302">
        <f>'P&amp;L'!R39</f>
        <v>50.133999999999979</v>
      </c>
      <c r="G31" s="302"/>
      <c r="H31" s="302">
        <f>'P&amp;L'!T39</f>
        <v>22.923000000000034</v>
      </c>
      <c r="I31" s="302">
        <f>'P&amp;L'!U39</f>
        <v>28.052000000000014</v>
      </c>
      <c r="J31" s="302">
        <f>'P&amp;L'!V39</f>
        <v>50.97499999999998</v>
      </c>
      <c r="K31" s="302"/>
      <c r="L31" s="302">
        <f>'P&amp;L'!X39</f>
        <v>30.066000000000003</v>
      </c>
      <c r="M31" s="302">
        <f>'P&amp;L'!Y39</f>
        <v>35.308000000000014</v>
      </c>
      <c r="N31" s="302">
        <f>'P&amp;L'!Z39</f>
        <v>65.37400000000008</v>
      </c>
      <c r="O31" s="302"/>
      <c r="P31" s="302">
        <f>'P&amp;L'!AB39</f>
        <v>30.536000000000016</v>
      </c>
      <c r="Q31" s="302">
        <f>'P&amp;L'!AC39</f>
        <v>43.502999999999993</v>
      </c>
      <c r="R31" s="302">
        <f>'P&amp;L'!AD39</f>
        <v>74.038999999999916</v>
      </c>
      <c r="S31" s="302"/>
      <c r="T31" s="302">
        <f>'P&amp;L'!AF39</f>
        <v>46.720999999999968</v>
      </c>
      <c r="U31" s="302">
        <f>'P&amp;L'!AG39</f>
        <v>82.486000000000018</v>
      </c>
      <c r="V31" s="302">
        <f>'P&amp;L'!AH39</f>
        <v>129.10700000000006</v>
      </c>
      <c r="W31" s="302"/>
      <c r="X31" s="302">
        <f>'P&amp;L'!AJ39</f>
        <v>70.310000000000059</v>
      </c>
      <c r="Y31" s="302">
        <f>'P&amp;L'!AK39</f>
        <v>100.68700000000003</v>
      </c>
      <c r="Z31" s="302">
        <f>'P&amp;L'!AL39</f>
        <v>171.01900000000006</v>
      </c>
      <c r="AA31" s="302"/>
      <c r="AB31" s="302">
        <f>'P&amp;L'!AN39</f>
        <v>79.510999999999967</v>
      </c>
      <c r="AC31" s="302">
        <f>'P&amp;L'!AO39</f>
        <v>120.74399999999986</v>
      </c>
      <c r="AD31" s="302">
        <f>'P&amp;L'!AP39</f>
        <v>200.27699999999976</v>
      </c>
      <c r="AE31" s="302">
        <f>'P&amp;L'!AQ39</f>
        <v>-2.1999999999934516E-2</v>
      </c>
      <c r="AF31" s="302">
        <f>'P&amp;L'!AR39</f>
        <v>91.751704748675081</v>
      </c>
      <c r="AG31" s="302">
        <f>'P&amp;L'!AS39</f>
        <v>131.86775864405007</v>
      </c>
      <c r="AH31" s="302">
        <f>'P&amp;L'!AT39</f>
        <v>223.6194633927249</v>
      </c>
      <c r="AI31" s="302">
        <f>'P&amp;L'!AU39</f>
        <v>2.5579538487363607E-13</v>
      </c>
      <c r="AJ31" s="302">
        <f>'P&amp;L'!AV39</f>
        <v>98.86952140910887</v>
      </c>
      <c r="AK31" s="302">
        <f>'P&amp;L'!AW39</f>
        <v>143.74677016070908</v>
      </c>
      <c r="AL31" s="302">
        <f>'P&amp;L'!AX39</f>
        <v>242.61629156981792</v>
      </c>
      <c r="AM31" s="302">
        <f>'P&amp;L'!AY39</f>
        <v>0</v>
      </c>
      <c r="AN31" s="302">
        <f>'P&amp;L'!AZ39</f>
        <v>107.39156167509283</v>
      </c>
      <c r="AO31" s="302">
        <f>'P&amp;L'!BA39</f>
        <v>155.11984717231823</v>
      </c>
      <c r="AP31" s="302">
        <f>'P&amp;L'!BB39</f>
        <v>262.51140884741119</v>
      </c>
      <c r="AQ31" s="302"/>
      <c r="AR31" s="302">
        <f>'P&amp;L'!BD39</f>
        <v>112.19292706257767</v>
      </c>
      <c r="AS31" s="302">
        <f>'P&amp;L'!BE39</f>
        <v>162.15129131732908</v>
      </c>
      <c r="AT31" s="302">
        <f>'P&amp;L'!BF39</f>
        <v>274.34421837990647</v>
      </c>
      <c r="AU31" s="302"/>
      <c r="AV31" s="302">
        <f>'P&amp;L'!BH39</f>
        <v>117.21830809386506</v>
      </c>
      <c r="AW31" s="302">
        <f>'P&amp;L'!BI39</f>
        <v>169.51445501175158</v>
      </c>
      <c r="AX31" s="302">
        <f>'P&amp;L'!BJ39</f>
        <v>286.73276310561658</v>
      </c>
      <c r="AY31" s="302"/>
      <c r="AZ31" s="302">
        <f>'P&amp;L'!BL39</f>
        <v>122.47870074991104</v>
      </c>
      <c r="BA31" s="302">
        <f>'P&amp;L'!BM39</f>
        <v>177.22564237343471</v>
      </c>
      <c r="BB31" s="302">
        <f>'P&amp;L'!BN39</f>
        <v>299.70434312334567</v>
      </c>
      <c r="BC31" s="302"/>
      <c r="BD31" s="302">
        <f>'P&amp;L'!BP39</f>
        <v>127.98565619840416</v>
      </c>
      <c r="BE31" s="302">
        <f>'P&amp;L'!BQ39</f>
        <v>185.3019773602357</v>
      </c>
      <c r="BF31" s="302">
        <f>'P&amp;L'!BR39</f>
        <v>313.28763355863987</v>
      </c>
      <c r="BG31" s="302"/>
      <c r="BH31" s="302"/>
      <c r="BI31" s="53"/>
      <c r="BJ31" s="713" t="s">
        <v>674</v>
      </c>
      <c r="BK31" s="714"/>
      <c r="BL31" s="715">
        <f>+'P&amp;L'!T23</f>
        <v>0.2300484358498126</v>
      </c>
      <c r="BM31" s="715">
        <f>+'P&amp;L'!U23</f>
        <v>0.28638617413070167</v>
      </c>
      <c r="BN31" s="715">
        <f>+'P&amp;L'!V23</f>
        <v>0.2600861944390136</v>
      </c>
      <c r="BO31" s="716"/>
      <c r="BP31" s="715">
        <f>+'P&amp;L'!X23</f>
        <v>0.29007097182207864</v>
      </c>
      <c r="BQ31" s="715">
        <f>+'P&amp;L'!Y23</f>
        <v>0.30082721420786412</v>
      </c>
      <c r="BR31" s="715">
        <f>+'P&amp;L'!Z23</f>
        <v>0.29568833309171927</v>
      </c>
      <c r="BS31" s="716"/>
      <c r="BT31" s="715">
        <f>+'P&amp;L'!AB23</f>
        <v>0.28308134735071999</v>
      </c>
      <c r="BU31" s="715">
        <f>+'P&amp;L'!AC23</f>
        <v>0.33967781103129657</v>
      </c>
      <c r="BV31" s="715">
        <f>+'P&amp;L'!AD23</f>
        <v>0.31280966994570913</v>
      </c>
      <c r="BW31" s="716"/>
      <c r="BX31" s="715">
        <f>+'P&amp;L'!AF23</f>
        <v>0.28664984494481571</v>
      </c>
      <c r="BY31" s="715">
        <f>+'P&amp;L'!AG23</f>
        <v>0.32496603360624954</v>
      </c>
      <c r="BZ31" s="715">
        <f>+'P&amp;L'!AH23</f>
        <v>0.30889791566446728</v>
      </c>
      <c r="CA31" s="716"/>
      <c r="CB31" s="715">
        <f>+'P&amp;L'!AJ23</f>
        <v>0.3034749519438234</v>
      </c>
      <c r="CC31" s="715">
        <f>+'P&amp;L'!AK23</f>
        <v>0.33963018533724854</v>
      </c>
      <c r="CD31" s="715">
        <f>+'P&amp;L'!AL23</f>
        <v>0.32238339128129162</v>
      </c>
      <c r="CE31" s="716"/>
      <c r="CF31" s="715">
        <f>+'P&amp;L'!AN23</f>
        <v>0.30001484369311093</v>
      </c>
      <c r="CG31" s="715">
        <f>+'P&amp;L'!AO23</f>
        <v>0.35748383542211531</v>
      </c>
      <c r="CH31" s="715">
        <f>+'P&amp;L'!AP23</f>
        <v>0.33020054333910798</v>
      </c>
      <c r="CI31" s="715">
        <f>+'P&amp;L'!AQ23</f>
        <v>0</v>
      </c>
      <c r="CJ31" s="715">
        <f>+'P&amp;L'!AR23</f>
        <v>0.31259322873104789</v>
      </c>
      <c r="CK31" s="715">
        <f>+'P&amp;L'!AS23</f>
        <v>0.36547704577399537</v>
      </c>
      <c r="CL31" s="715">
        <f>+'P&amp;L'!AT23</f>
        <v>0.34001664495604306</v>
      </c>
      <c r="CM31" s="715">
        <f>+'P&amp;L'!AU23</f>
        <v>0</v>
      </c>
      <c r="CN31" s="715">
        <f>+'P&amp;L'!AV23</f>
        <v>0.31771270415492836</v>
      </c>
      <c r="CO31" s="715">
        <f>+'P&amp;L'!AW23</f>
        <v>0.37425180949032105</v>
      </c>
      <c r="CP31" s="715">
        <f>+'P&amp;L'!AX23</f>
        <v>0.34707795298645572</v>
      </c>
      <c r="CQ31" s="715">
        <f>+'P&amp;L'!AY23</f>
        <v>0</v>
      </c>
      <c r="CR31" s="715">
        <f>+'P&amp;L'!AZ23</f>
        <v>0.32479709857568956</v>
      </c>
      <c r="CS31" s="715">
        <f>+'P&amp;L'!BA23</f>
        <v>0.38176922994017759</v>
      </c>
      <c r="CT31" s="715">
        <f>+'P&amp;L'!BB23</f>
        <v>0.35441695252191419</v>
      </c>
      <c r="CU31" s="716"/>
      <c r="CV31" s="715">
        <f>+'P&amp;L'!BD23</f>
        <v>0.32480880920125593</v>
      </c>
      <c r="CW31" s="715">
        <f>+'P&amp;L'!BE23</f>
        <v>0.38189082253940104</v>
      </c>
      <c r="CX31" s="715">
        <f>+'P&amp;L'!BF23</f>
        <v>0.35451275514284919</v>
      </c>
      <c r="CY31" s="127"/>
      <c r="CZ31" s="277"/>
      <c r="DA31" s="26"/>
    </row>
    <row r="32" spans="1:105" ht="17.100000000000001" customHeight="1">
      <c r="A32" s="30"/>
      <c r="B32" s="81"/>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49"/>
      <c r="BJ32" s="713" t="s">
        <v>651</v>
      </c>
      <c r="BK32" s="99"/>
      <c r="BL32" s="716">
        <f>+BS!T78</f>
        <v>0.23706981317600803</v>
      </c>
      <c r="BM32" s="716">
        <f>+BS!U78</f>
        <v>0.29100648884779107</v>
      </c>
      <c r="BN32" s="716">
        <f>+BS!V78</f>
        <v>0.2658273901105907</v>
      </c>
      <c r="BO32" s="116"/>
      <c r="BP32" s="716">
        <f>+BS!X78</f>
        <v>0.29444043413546622</v>
      </c>
      <c r="BQ32" s="716">
        <f>+BS!Y78</f>
        <v>0.30601081719179613</v>
      </c>
      <c r="BR32" s="716">
        <f>+BS!Z78</f>
        <v>0.30048297383700973</v>
      </c>
      <c r="BS32" s="116"/>
      <c r="BT32" s="716">
        <f>+BS!AB78</f>
        <v>0.28642322068854165</v>
      </c>
      <c r="BU32" s="716">
        <f>+BS!AC78</f>
        <v>0.34308086662279774</v>
      </c>
      <c r="BV32" s="716">
        <f>+BS!AD78</f>
        <v>0.31618368037578343</v>
      </c>
      <c r="BW32" s="116"/>
      <c r="BX32" s="716">
        <f>+BS!AF78</f>
        <v>0.29036303672742603</v>
      </c>
      <c r="BY32" s="716">
        <f>+BS!AG78</f>
        <v>0.32827534186653645</v>
      </c>
      <c r="BZ32" s="716">
        <f>+BS!AH78</f>
        <v>0.31237659484336977</v>
      </c>
      <c r="CA32" s="116"/>
      <c r="CB32" s="716">
        <f>+BS!AJ78</f>
        <v>0.30619748146404624</v>
      </c>
      <c r="CC32" s="716">
        <f>+BS!AK78</f>
        <v>0.34383907344273301</v>
      </c>
      <c r="CD32" s="716">
        <f>+BS!AL78</f>
        <v>0.32588273889863439</v>
      </c>
      <c r="CE32" s="116"/>
      <c r="CF32" s="716">
        <f>+BS!AN78</f>
        <v>0.30244444817870697</v>
      </c>
      <c r="CG32" s="716">
        <f>+BS!AO78</f>
        <v>0.36146281627948712</v>
      </c>
      <c r="CH32" s="716">
        <f>+BS!AP78</f>
        <v>0.33344364911813795</v>
      </c>
      <c r="CI32" s="716">
        <f>+BS!AQ78</f>
        <v>0</v>
      </c>
      <c r="CJ32" s="716">
        <f>+BS!AR78</f>
        <v>0.31474534838671719</v>
      </c>
      <c r="CK32" s="716">
        <f>+BS!AS78</f>
        <v>0.36748184561260522</v>
      </c>
      <c r="CL32" s="716">
        <f>+BS!AT78</f>
        <v>0.3420923704917847</v>
      </c>
      <c r="CM32" s="716">
        <f>+BS!AU78</f>
        <v>0</v>
      </c>
      <c r="CN32" s="716">
        <f>+BS!AV78</f>
        <v>0.31985792223328702</v>
      </c>
      <c r="CO32" s="716">
        <f>+BS!AW78</f>
        <v>0.37624362891912172</v>
      </c>
      <c r="CP32" s="716">
        <f>+BS!AX78</f>
        <v>0.34914349896020702</v>
      </c>
      <c r="CQ32" s="716">
        <f>+BS!AY78</f>
        <v>0</v>
      </c>
      <c r="CR32" s="716">
        <f>+BS!AZ78</f>
        <v>0.32693117716281389</v>
      </c>
      <c r="CS32" s="716">
        <f>+BS!BA78</f>
        <v>0.38375749703366241</v>
      </c>
      <c r="CT32" s="716">
        <f>+BS!BB78</f>
        <v>0.35647522360382766</v>
      </c>
      <c r="CU32" s="116"/>
      <c r="CV32" s="716">
        <f>+BS!BD78</f>
        <v>0.32695429896224737</v>
      </c>
      <c r="CW32" s="716">
        <f>+BS!BE78</f>
        <v>0.38387497944253801</v>
      </c>
      <c r="CX32" s="716">
        <f>+BS!BF78</f>
        <v>0.35657429161964371</v>
      </c>
      <c r="CY32" s="127"/>
      <c r="CZ32" s="277"/>
      <c r="DA32" s="26"/>
    </row>
    <row r="33" spans="1:110" ht="17.100000000000001" customHeight="1">
      <c r="B33" s="80" t="s">
        <v>370</v>
      </c>
      <c r="C33" s="53"/>
      <c r="D33" s="53">
        <f>-'P&amp;L'!P87</f>
        <v>-15.180000000000001</v>
      </c>
      <c r="E33" s="53">
        <f>-'P&amp;L'!Q87</f>
        <v>10.474000000000002</v>
      </c>
      <c r="F33" s="53">
        <f>-'P&amp;L'!R87</f>
        <v>-4.7059999999999977</v>
      </c>
      <c r="G33" s="53"/>
      <c r="H33" s="53">
        <f>-'P&amp;L'!T87</f>
        <v>-15.180000000000001</v>
      </c>
      <c r="I33" s="53">
        <f>-'P&amp;L'!U87</f>
        <v>9.0120000000000005</v>
      </c>
      <c r="J33" s="53">
        <f>-'P&amp;L'!V87</f>
        <v>-6.1679999999999993</v>
      </c>
      <c r="K33" s="53"/>
      <c r="L33" s="53">
        <f>-'P&amp;L'!X87</f>
        <v>-6.7659999999999991</v>
      </c>
      <c r="M33" s="53">
        <f>-'P&amp;L'!Y87</f>
        <v>12.086000000000002</v>
      </c>
      <c r="N33" s="53">
        <f>-'P&amp;L'!Z87</f>
        <v>5.32</v>
      </c>
      <c r="O33" s="53"/>
      <c r="P33" s="53">
        <f>-'P&amp;L'!AB87</f>
        <v>-0.93699999999999917</v>
      </c>
      <c r="Q33" s="53">
        <f>-'P&amp;L'!AC87</f>
        <v>7.754999999999999</v>
      </c>
      <c r="R33" s="53">
        <f>-'P&amp;L'!AD87</f>
        <v>6.8180000000000014</v>
      </c>
      <c r="S33" s="53"/>
      <c r="T33" s="53">
        <f>-'P&amp;L'!AF87</f>
        <v>-44.455000000000005</v>
      </c>
      <c r="U33" s="53">
        <f>-'P&amp;L'!AG87</f>
        <v>-19.518999999999991</v>
      </c>
      <c r="V33" s="53">
        <f>-'P&amp;L'!AH87</f>
        <v>-63.973999999999997</v>
      </c>
      <c r="W33" s="53"/>
      <c r="X33" s="53">
        <f>-'P&amp;L'!AJ87</f>
        <v>-17.077999999999999</v>
      </c>
      <c r="Y33" s="53">
        <f>-'P&amp;L'!AK87</f>
        <v>-16.864999999999995</v>
      </c>
      <c r="Z33" s="53">
        <f>-'P&amp;L'!AL87</f>
        <v>-33.942999999999998</v>
      </c>
      <c r="AA33" s="53"/>
      <c r="AB33" s="53">
        <f>-'P&amp;L'!AN87</f>
        <v>-52.966000000000008</v>
      </c>
      <c r="AC33" s="53">
        <f>-'P&amp;L'!AO87</f>
        <v>32.801000000000002</v>
      </c>
      <c r="AD33" s="53">
        <f>-'P&amp;L'!AP87</f>
        <v>-20.164999999999999</v>
      </c>
      <c r="AE33" s="53">
        <f>-'P&amp;L'!AQ87</f>
        <v>0</v>
      </c>
      <c r="AF33" s="53">
        <f>-'P&amp;L'!AR87</f>
        <v>-16</v>
      </c>
      <c r="AG33" s="53">
        <f>-'P&amp;L'!AS87</f>
        <v>-16</v>
      </c>
      <c r="AH33" s="53">
        <f>-'P&amp;L'!AT87</f>
        <v>-32</v>
      </c>
      <c r="AI33" s="53">
        <f>-'P&amp;L'!AU87</f>
        <v>0</v>
      </c>
      <c r="AJ33" s="53">
        <f>-'P&amp;L'!AV87</f>
        <v>-16</v>
      </c>
      <c r="AK33" s="53">
        <f>-'P&amp;L'!AW87</f>
        <v>-16</v>
      </c>
      <c r="AL33" s="53">
        <f>-'P&amp;L'!AX87</f>
        <v>-32</v>
      </c>
      <c r="AM33" s="53">
        <f>-'P&amp;L'!AY87</f>
        <v>0</v>
      </c>
      <c r="AN33" s="53">
        <f>-'P&amp;L'!AZ87</f>
        <v>-16</v>
      </c>
      <c r="AO33" s="53">
        <f>-'P&amp;L'!BA87</f>
        <v>-16</v>
      </c>
      <c r="AP33" s="53">
        <f>-'P&amp;L'!BB87</f>
        <v>-32</v>
      </c>
      <c r="AQ33" s="53"/>
      <c r="AR33" s="53">
        <f>-'P&amp;L'!BD87</f>
        <v>-16</v>
      </c>
      <c r="AS33" s="53">
        <f>-'P&amp;L'!BE87</f>
        <v>-16</v>
      </c>
      <c r="AT33" s="53">
        <f>-'P&amp;L'!BF87</f>
        <v>-32</v>
      </c>
      <c r="AU33" s="53"/>
      <c r="AV33" s="53">
        <f>-'P&amp;L'!BH87</f>
        <v>-16</v>
      </c>
      <c r="AW33" s="53">
        <f>-'P&amp;L'!BI87</f>
        <v>-16</v>
      </c>
      <c r="AX33" s="53">
        <f>-'P&amp;L'!BJ87</f>
        <v>-32</v>
      </c>
      <c r="AY33" s="53"/>
      <c r="AZ33" s="53">
        <f>-'P&amp;L'!BL87</f>
        <v>-16</v>
      </c>
      <c r="BA33" s="53">
        <f>-'P&amp;L'!BM87</f>
        <v>-16</v>
      </c>
      <c r="BB33" s="53">
        <f>-'P&amp;L'!BN87</f>
        <v>-32</v>
      </c>
      <c r="BC33" s="53"/>
      <c r="BD33" s="53">
        <f>-'P&amp;L'!BP87</f>
        <v>-16</v>
      </c>
      <c r="BE33" s="53">
        <f>-'P&amp;L'!BQ87</f>
        <v>-16</v>
      </c>
      <c r="BF33" s="53">
        <f>-'P&amp;L'!BR87</f>
        <v>-32</v>
      </c>
      <c r="BG33" s="53"/>
      <c r="BH33" s="59"/>
      <c r="BI33" s="49"/>
      <c r="BJ33" s="93"/>
      <c r="BL33" s="94">
        <f>+BS!T79</f>
        <v>0</v>
      </c>
      <c r="CY33" s="127"/>
      <c r="CZ33" s="277"/>
      <c r="DA33" s="26"/>
    </row>
    <row r="34" spans="1:110" ht="17.100000000000001" customHeight="1">
      <c r="B34" s="594" t="s">
        <v>175</v>
      </c>
      <c r="C34" s="98"/>
      <c r="D34" s="98">
        <f>'P&amp;L'!P89</f>
        <v>4.4590000000000227</v>
      </c>
      <c r="E34" s="98">
        <f>'P&amp;L'!Q89</f>
        <v>41.296999999999997</v>
      </c>
      <c r="F34" s="98">
        <f>'P&amp;L'!R89</f>
        <v>45.427999999999983</v>
      </c>
      <c r="G34" s="98"/>
      <c r="H34" s="98">
        <f>'P&amp;L'!T89</f>
        <v>7.7430000000000323</v>
      </c>
      <c r="I34" s="98">
        <f>'P&amp;L'!U89</f>
        <v>37.064000000000014</v>
      </c>
      <c r="J34" s="98">
        <f>'P&amp;L'!V89</f>
        <v>44.806999999999981</v>
      </c>
      <c r="K34" s="98"/>
      <c r="L34" s="98">
        <f>'P&amp;L'!X89</f>
        <v>23.300000000000004</v>
      </c>
      <c r="M34" s="98">
        <f>'P&amp;L'!Y89</f>
        <v>47.39400000000002</v>
      </c>
      <c r="N34" s="98">
        <f>'P&amp;L'!Z89</f>
        <v>70.694000000000074</v>
      </c>
      <c r="O34" s="98"/>
      <c r="P34" s="98">
        <f>'P&amp;L'!AB89</f>
        <v>29.599000000000018</v>
      </c>
      <c r="Q34" s="98">
        <f>'P&amp;L'!AC89</f>
        <v>51.257999999999996</v>
      </c>
      <c r="R34" s="98">
        <f>'P&amp;L'!AD89</f>
        <v>80.856999999999914</v>
      </c>
      <c r="S34" s="98"/>
      <c r="T34" s="98">
        <f>'P&amp;L'!AF89</f>
        <v>2.2659999999999627</v>
      </c>
      <c r="U34" s="98">
        <f>'P&amp;L'!AG89</f>
        <v>62.967000000000027</v>
      </c>
      <c r="V34" s="98">
        <f>'P&amp;L'!AH89</f>
        <v>65.133000000000067</v>
      </c>
      <c r="W34" s="98"/>
      <c r="X34" s="98">
        <f>'P&amp;L'!AJ89</f>
        <v>53.232000000000056</v>
      </c>
      <c r="Y34" s="98">
        <f>'P&amp;L'!AK89</f>
        <v>83.822000000000031</v>
      </c>
      <c r="Z34" s="98">
        <f>'P&amp;L'!AL89</f>
        <v>137.07600000000008</v>
      </c>
      <c r="AA34" s="98"/>
      <c r="AB34" s="98">
        <f>'P&amp;L'!AN89</f>
        <v>26.544999999999959</v>
      </c>
      <c r="AC34" s="98">
        <f>'P&amp;L'!AO89</f>
        <v>153.54499999999985</v>
      </c>
      <c r="AD34" s="98">
        <f>'P&amp;L'!AP89</f>
        <v>180.0899999999998</v>
      </c>
      <c r="AE34" s="98">
        <f>'P&amp;L'!AQ89</f>
        <v>0</v>
      </c>
      <c r="AF34" s="98">
        <f>'P&amp;L'!AR89</f>
        <v>75.751704748675081</v>
      </c>
      <c r="AG34" s="98">
        <f>'P&amp;L'!AS89</f>
        <v>115.86775864405007</v>
      </c>
      <c r="AH34" s="98">
        <f>'P&amp;L'!AT89</f>
        <v>191.6194633927249</v>
      </c>
      <c r="AI34" s="98">
        <f>'P&amp;L'!AU89</f>
        <v>2.5579538487363607E-13</v>
      </c>
      <c r="AJ34" s="98">
        <f>'P&amp;L'!AV89</f>
        <v>82.86952140910887</v>
      </c>
      <c r="AK34" s="98">
        <f>'P&amp;L'!AW89</f>
        <v>127.74677016070908</v>
      </c>
      <c r="AL34" s="98">
        <f>'P&amp;L'!AX89</f>
        <v>210.61629156981792</v>
      </c>
      <c r="AM34" s="98">
        <f>'P&amp;L'!AY89</f>
        <v>0</v>
      </c>
      <c r="AN34" s="98">
        <f>'P&amp;L'!AZ89</f>
        <v>91.391561675092831</v>
      </c>
      <c r="AO34" s="98">
        <f>'P&amp;L'!BA89</f>
        <v>139.11984717231823</v>
      </c>
      <c r="AP34" s="98">
        <f>'P&amp;L'!BB89</f>
        <v>230.51140884741119</v>
      </c>
      <c r="AQ34" s="87"/>
      <c r="AR34" s="87">
        <f>'P&amp;L'!BD89</f>
        <v>96.192927062577667</v>
      </c>
      <c r="AS34" s="87">
        <f>'P&amp;L'!BE89</f>
        <v>146.15129131732908</v>
      </c>
      <c r="AT34" s="87">
        <f>'P&amp;L'!BF89</f>
        <v>242.34421837990647</v>
      </c>
      <c r="AU34" s="87"/>
      <c r="AV34" s="87">
        <f>'P&amp;L'!BH89</f>
        <v>101.21830809386506</v>
      </c>
      <c r="AW34" s="87">
        <f>'P&amp;L'!BI89</f>
        <v>153.51445501175158</v>
      </c>
      <c r="AX34" s="87">
        <f>'P&amp;L'!BJ89</f>
        <v>254.73276310561658</v>
      </c>
      <c r="AY34" s="87"/>
      <c r="AZ34" s="87">
        <f>'P&amp;L'!BL89</f>
        <v>106.47870074991104</v>
      </c>
      <c r="BA34" s="87">
        <f>'P&amp;L'!BM89</f>
        <v>161.22564237343471</v>
      </c>
      <c r="BB34" s="87">
        <f>'P&amp;L'!BN89</f>
        <v>267.70434312334567</v>
      </c>
      <c r="BC34" s="87"/>
      <c r="BD34" s="87">
        <f>'P&amp;L'!BP89</f>
        <v>111.98565619840416</v>
      </c>
      <c r="BE34" s="87">
        <f>'P&amp;L'!BQ89</f>
        <v>169.3019773602357</v>
      </c>
      <c r="BF34" s="87">
        <f>'P&amp;L'!BR89</f>
        <v>281.28763355863987</v>
      </c>
      <c r="BG34" s="87"/>
      <c r="BH34" s="53"/>
      <c r="BI34" s="49"/>
      <c r="BJ34" s="546" t="s">
        <v>58</v>
      </c>
      <c r="CY34" s="127"/>
      <c r="CZ34" s="277"/>
      <c r="DA34" s="26"/>
    </row>
    <row r="35" spans="1:110" ht="17.100000000000001" customHeight="1">
      <c r="Z35" s="554"/>
      <c r="AA35" s="554"/>
      <c r="AB35" s="554"/>
      <c r="AC35" s="554"/>
      <c r="AD35" s="554"/>
      <c r="AE35" s="554"/>
      <c r="AF35" s="554"/>
      <c r="AG35" s="554"/>
      <c r="AH35" s="554"/>
      <c r="AI35" s="554"/>
      <c r="AJ35" s="554"/>
      <c r="AK35" s="554"/>
      <c r="AL35" s="554"/>
      <c r="AM35" s="554"/>
      <c r="AN35" s="554"/>
      <c r="AO35" s="554"/>
      <c r="AP35" s="554"/>
      <c r="BI35" s="49"/>
      <c r="BJ35" s="65" t="s">
        <v>530</v>
      </c>
      <c r="BK35" s="100"/>
      <c r="BL35" s="100"/>
      <c r="BM35" s="100"/>
      <c r="BN35" s="100">
        <f>BS!V103</f>
        <v>0.52041319853675849</v>
      </c>
      <c r="BO35" s="100">
        <f>BS!W103</f>
        <v>0</v>
      </c>
      <c r="BP35" s="100">
        <f>BS!X103</f>
        <v>0.51612426914537501</v>
      </c>
      <c r="BQ35" s="100">
        <f>BS!Y103</f>
        <v>0</v>
      </c>
      <c r="BR35" s="100">
        <f>BS!Z103</f>
        <v>0.39852445398278757</v>
      </c>
      <c r="BS35" s="100">
        <f>BS!AA103</f>
        <v>0</v>
      </c>
      <c r="BT35" s="100">
        <f>BS!AB103</f>
        <v>0.44776374494793714</v>
      </c>
      <c r="BU35" s="100">
        <f>BS!AC103</f>
        <v>0</v>
      </c>
      <c r="BV35" s="100">
        <f>BS!AD103</f>
        <v>9.8324407598852137E-2</v>
      </c>
      <c r="BW35" s="100"/>
      <c r="BX35" s="100">
        <f>BS!AF103</f>
        <v>0.62243484179877495</v>
      </c>
      <c r="BY35" s="100">
        <f>BS!AG103</f>
        <v>0</v>
      </c>
      <c r="BZ35" s="100">
        <f>BS!AH103</f>
        <v>0.41398060484958055</v>
      </c>
      <c r="CA35" s="100"/>
      <c r="CB35" s="100">
        <f>BS!AJ103</f>
        <v>0.49391152069638777</v>
      </c>
      <c r="CC35" s="100"/>
      <c r="CD35" s="100">
        <f>BS!AL103</f>
        <v>0.40432457833846225</v>
      </c>
      <c r="CE35" s="100"/>
      <c r="CF35" s="100">
        <f>BS!AN103</f>
        <v>0.44668050582870517</v>
      </c>
      <c r="CG35" s="100">
        <f>BS!AO103</f>
        <v>0</v>
      </c>
      <c r="CH35" s="100">
        <f>BS!AP103</f>
        <v>0.44569922467761602</v>
      </c>
      <c r="CI35" s="100">
        <f>BS!AQ103</f>
        <v>0</v>
      </c>
      <c r="CJ35" s="100">
        <f>BS!AR103</f>
        <v>0.44713919370799438</v>
      </c>
      <c r="CK35" s="100">
        <f>BS!AS103</f>
        <v>0.43167079294449784</v>
      </c>
      <c r="CL35" s="100">
        <f>BS!AT103</f>
        <v>0.43167079294449784</v>
      </c>
      <c r="CM35" s="100">
        <f>BS!AU103</f>
        <v>0</v>
      </c>
      <c r="CN35" s="100">
        <f>BS!AV103</f>
        <v>0.43469969976935874</v>
      </c>
      <c r="CO35" s="100">
        <f>BS!AW103</f>
        <v>0.41825716319024192</v>
      </c>
      <c r="CP35" s="100">
        <f>BS!AX103</f>
        <v>0.41825716319024192</v>
      </c>
      <c r="CQ35" s="100">
        <f>BS!AY103</f>
        <v>0</v>
      </c>
      <c r="CR35" s="100">
        <f>BS!AZ103</f>
        <v>0.4200108566532339</v>
      </c>
      <c r="CS35" s="100">
        <f>BS!BA103</f>
        <v>0.40207544927826905</v>
      </c>
      <c r="CT35" s="100">
        <f>BS!BB103</f>
        <v>0.40207544927826905</v>
      </c>
      <c r="CU35" s="100"/>
      <c r="CV35" s="100">
        <f>BS!BD103</f>
        <v>0.40420278487464528</v>
      </c>
      <c r="CW35" s="100">
        <f>BS!BE103</f>
        <v>0.38647431169812857</v>
      </c>
      <c r="CX35" s="100">
        <f>BS!BF103</f>
        <v>0.3864743116981284</v>
      </c>
      <c r="CY35" s="127"/>
      <c r="CZ35" s="277"/>
      <c r="DA35" s="26"/>
    </row>
    <row r="36" spans="1:110" ht="17.100000000000001" customHeight="1">
      <c r="A36" s="378" t="s">
        <v>708</v>
      </c>
      <c r="B36" s="86" t="s">
        <v>734</v>
      </c>
      <c r="C36" s="87"/>
      <c r="D36" s="87">
        <f>+'P&amp;L'!P154</f>
        <v>26.773384668141347</v>
      </c>
      <c r="E36" s="87">
        <f>+'P&amp;L'!Q154</f>
        <v>42.421298449720382</v>
      </c>
      <c r="F36" s="87">
        <f>+'P&amp;L'!R154</f>
        <v>71.95510520423683</v>
      </c>
      <c r="G36" s="87"/>
      <c r="H36" s="87">
        <f>+'P&amp;L'!T154</f>
        <v>31.093113586780529</v>
      </c>
      <c r="I36" s="87">
        <f>+'P&amp;L'!U154</f>
        <v>38.050168927992253</v>
      </c>
      <c r="J36" s="87">
        <f>+'P&amp;L'!V154</f>
        <v>68.982082927357339</v>
      </c>
      <c r="K36" s="87"/>
      <c r="L36" s="87">
        <f>+'P&amp;L'!X154</f>
        <v>40.484409301282945</v>
      </c>
      <c r="M36" s="87">
        <f>+'P&amp;L'!Y154</f>
        <v>47.542856502684053</v>
      </c>
      <c r="N36" s="105">
        <f>+'P&amp;L'!Z154</f>
        <v>87.764472129739119</v>
      </c>
      <c r="O36" s="105"/>
      <c r="P36" s="105">
        <f>+'P&amp;L'!AB154</f>
        <v>41.032584946427079</v>
      </c>
      <c r="Q36" s="105">
        <f>+'P&amp;L'!AC154</f>
        <v>55.296414738744993</v>
      </c>
      <c r="R36" s="105">
        <f>+'P&amp;L'!AD154</f>
        <v>96.38612250211537</v>
      </c>
      <c r="S36" s="105"/>
      <c r="T36" s="105">
        <f>+'P&amp;L'!AF154</f>
        <v>48.246100237698833</v>
      </c>
      <c r="U36" s="105">
        <f>+'P&amp;L'!AG154</f>
        <v>79.503119219596243</v>
      </c>
      <c r="V36" s="105">
        <f>+'P&amp;L'!AH154</f>
        <v>128.76320224999259</v>
      </c>
      <c r="W36" s="105"/>
      <c r="X36" s="105">
        <f>+'P&amp;L'!AJ154</f>
        <v>63.993828899909808</v>
      </c>
      <c r="Y36" s="105">
        <f>+'P&amp;L'!AK154</f>
        <v>91.693941847408325</v>
      </c>
      <c r="Z36" s="53">
        <f>+'P&amp;L'!AL154</f>
        <v>155.69970593322958</v>
      </c>
      <c r="AA36" s="59"/>
      <c r="AB36" s="53">
        <f>+'P&amp;L'!AN154</f>
        <v>67.36494217366743</v>
      </c>
      <c r="AC36" s="53">
        <f>+'P&amp;L'!AO154</f>
        <v>103.2433330531244</v>
      </c>
      <c r="AD36" s="53">
        <f>+'P&amp;L'!AP154</f>
        <v>170.45576407506681</v>
      </c>
      <c r="AE36" s="53">
        <f>+'P&amp;L'!AQ154</f>
        <v>0</v>
      </c>
      <c r="AF36" s="53">
        <f>+'P&amp;L'!AR154</f>
        <v>78.546381799770799</v>
      </c>
      <c r="AG36" s="53">
        <f>+'P&amp;L'!AS154</f>
        <v>113.15161202190576</v>
      </c>
      <c r="AH36" s="53">
        <f>+'P&amp;L'!AT154</f>
        <v>191.65775154472598</v>
      </c>
      <c r="AI36" s="53">
        <f>+'P&amp;L'!AU154</f>
        <v>0</v>
      </c>
      <c r="AJ36" s="53">
        <f>+'P&amp;L'!AV154</f>
        <v>85.025857597917124</v>
      </c>
      <c r="AK36" s="53">
        <f>+'P&amp;L'!AW154</f>
        <v>123.88393163676679</v>
      </c>
      <c r="AL36" s="53">
        <f>+'P&amp;L'!AX154</f>
        <v>208.86826008970289</v>
      </c>
      <c r="AM36" s="53">
        <f>+'P&amp;L'!AY154</f>
        <v>0</v>
      </c>
      <c r="AN36" s="53">
        <f>+'P&amp;L'!AZ154</f>
        <v>92.742376147163071</v>
      </c>
      <c r="AO36" s="53">
        <f>+'P&amp;L'!BA154</f>
        <v>134.22433494462689</v>
      </c>
      <c r="AP36" s="53">
        <f>+'P&amp;L'!BB154</f>
        <v>226.92583840368474</v>
      </c>
      <c r="AQ36" s="895"/>
      <c r="AR36" s="895">
        <f>+'P&amp;L'!BD154</f>
        <v>97.263713566368935</v>
      </c>
      <c r="AS36" s="895">
        <f>+'P&amp;L'!BE154</f>
        <v>140.82979636666693</v>
      </c>
      <c r="AT36" s="895">
        <f>+'P&amp;L'!BF154</f>
        <v>238.05394729733044</v>
      </c>
      <c r="AU36" s="895"/>
      <c r="AV36" s="895">
        <f>+'P&amp;L'!BH154</f>
        <v>101.98271767628715</v>
      </c>
      <c r="AW36" s="895">
        <f>+'P&amp;L'!BI154</f>
        <v>147.72861284347562</v>
      </c>
      <c r="AX36" s="895">
        <f>+'P&amp;L'!BJ154</f>
        <v>249.6730548705936</v>
      </c>
      <c r="AY36" s="895"/>
      <c r="AZ36" s="895">
        <f>+'P&amp;L'!BL154</f>
        <v>106.9093834687624</v>
      </c>
      <c r="BA36" s="895">
        <f>+'P&amp;L'!BM154</f>
        <v>154.93560572385064</v>
      </c>
      <c r="BB36" s="895">
        <f>+'P&amp;L'!BN154</f>
        <v>261.8079754251948</v>
      </c>
      <c r="BC36" s="895"/>
      <c r="BD36" s="895">
        <f>+'P&amp;L'!BP154</f>
        <v>112.05422914886307</v>
      </c>
      <c r="BE36" s="895">
        <f>+'P&amp;L'!BQ154</f>
        <v>162.46636527413273</v>
      </c>
      <c r="BF36" s="895">
        <f>+'P&amp;L'!BR154</f>
        <v>274.4848157563103</v>
      </c>
      <c r="BG36" s="895"/>
      <c r="BH36" s="895"/>
      <c r="BI36" s="896"/>
      <c r="BJ36" s="65" t="s">
        <v>531</v>
      </c>
      <c r="BK36" s="99"/>
      <c r="BL36" s="100"/>
      <c r="BM36" s="100"/>
      <c r="BN36" s="100">
        <f>BS!V102</f>
        <v>0.34228405741123713</v>
      </c>
      <c r="BO36" s="100">
        <f>BS!W102</f>
        <v>0</v>
      </c>
      <c r="BP36" s="100">
        <f>BS!X102</f>
        <v>0.34042345977108418</v>
      </c>
      <c r="BQ36" s="100">
        <f>BS!Y102</f>
        <v>0</v>
      </c>
      <c r="BR36" s="100">
        <f>BS!Z102</f>
        <v>0.28496066182314495</v>
      </c>
      <c r="BS36" s="100">
        <f>BS!AA102</f>
        <v>0</v>
      </c>
      <c r="BT36" s="100">
        <f>BS!AB102</f>
        <v>0.30927956754714775</v>
      </c>
      <c r="BU36" s="100">
        <f>BS!AC102</f>
        <v>0</v>
      </c>
      <c r="BV36" s="100">
        <f>BS!AD102</f>
        <v>8.952219118375794E-2</v>
      </c>
      <c r="BW36" s="100"/>
      <c r="BX36" s="100">
        <f>BS!AF102</f>
        <v>0.38364242788862235</v>
      </c>
      <c r="BY36" s="100">
        <f>BS!AG102</f>
        <v>0</v>
      </c>
      <c r="BZ36" s="100">
        <f>BS!AH102</f>
        <v>0.29277672086147166</v>
      </c>
      <c r="CA36" s="100"/>
      <c r="CB36" s="100">
        <f>BS!AJ102</f>
        <v>0.33061631418850734</v>
      </c>
      <c r="CC36" s="100"/>
      <c r="CD36" s="100">
        <f>BS!AL102</f>
        <v>0.28791390863274796</v>
      </c>
      <c r="CE36" s="100"/>
      <c r="CF36" s="100">
        <f>BS!AN102</f>
        <v>0.30876237291442055</v>
      </c>
      <c r="CG36" s="100">
        <f>BS!AO102</f>
        <v>0</v>
      </c>
      <c r="CH36" s="100">
        <f>BS!AP102</f>
        <v>0.30829318925380544</v>
      </c>
      <c r="CI36" s="100">
        <f>BS!AQ102</f>
        <v>0</v>
      </c>
      <c r="CJ36" s="100">
        <f>BS!AR102</f>
        <v>0.3089814688539344</v>
      </c>
      <c r="CK36" s="100">
        <f>BS!AS102</f>
        <v>0.30151540079733447</v>
      </c>
      <c r="CL36" s="100">
        <f>BS!AT102</f>
        <v>0.30151540079733447</v>
      </c>
      <c r="CM36" s="100">
        <f>BS!AU102</f>
        <v>0</v>
      </c>
      <c r="CN36" s="100">
        <f>BS!AV102</f>
        <v>0.30299002630253619</v>
      </c>
      <c r="CO36" s="100">
        <f>BS!AW102</f>
        <v>0.29490925485573438</v>
      </c>
      <c r="CP36" s="100">
        <f>BS!AX102</f>
        <v>0.29490925485573438</v>
      </c>
      <c r="CQ36" s="100">
        <f>BS!AY102</f>
        <v>0</v>
      </c>
      <c r="CR36" s="100">
        <f>BS!AZ102</f>
        <v>0.29578003202253011</v>
      </c>
      <c r="CS36" s="100">
        <f>BS!BA102</f>
        <v>0.28677162094610603</v>
      </c>
      <c r="CT36" s="100">
        <f>BS!BB102</f>
        <v>0.28677162094610603</v>
      </c>
      <c r="CU36" s="100"/>
      <c r="CV36" s="100">
        <f>BS!BD102</f>
        <v>0.28785214587843799</v>
      </c>
      <c r="CW36" s="100">
        <f>BS!BE102</f>
        <v>0.27874610329042582</v>
      </c>
      <c r="CX36" s="100">
        <f>BS!BF102</f>
        <v>0.27874610329042571</v>
      </c>
      <c r="CY36" s="127"/>
      <c r="CZ36" s="277"/>
      <c r="DA36" s="26"/>
      <c r="DF36" s="30"/>
    </row>
    <row r="37" spans="1:110" ht="17.100000000000001" customHeight="1">
      <c r="B37" s="86" t="s">
        <v>654</v>
      </c>
      <c r="C37" s="59"/>
      <c r="D37" s="53">
        <f>'P&amp;L'!P145</f>
        <v>6.7771814867951017</v>
      </c>
      <c r="E37" s="53">
        <f>'P&amp;L'!Q145</f>
        <v>56.986280581827387</v>
      </c>
      <c r="F37" s="53">
        <f>'P&amp;L'!R145</f>
        <v>65.276680125874691</v>
      </c>
      <c r="G37" s="59"/>
      <c r="H37" s="53">
        <f>'P&amp;L'!T145</f>
        <v>10.514860704372678</v>
      </c>
      <c r="I37" s="53">
        <f>'P&amp;L'!U145</f>
        <v>50.425305013641811</v>
      </c>
      <c r="J37" s="53">
        <f>'P&amp;L'!V145</f>
        <v>60.776680592480034</v>
      </c>
      <c r="K37" s="59"/>
      <c r="L37" s="53">
        <f>'P&amp;L'!X145</f>
        <v>31.427359307501785</v>
      </c>
      <c r="M37" s="53">
        <f>'P&amp;L'!Y145</f>
        <v>64.203194318213747</v>
      </c>
      <c r="N37" s="53">
        <f>'P&amp;L'!Z145</f>
        <v>95.190741407067762</v>
      </c>
      <c r="O37" s="59"/>
      <c r="P37" s="53">
        <f>'P&amp;L'!AB145</f>
        <v>39.773496261111312</v>
      </c>
      <c r="Q37" s="53">
        <f>'P&amp;L'!AC145</f>
        <v>68.891913925508902</v>
      </c>
      <c r="R37" s="53">
        <f>'P&amp;L'!AD145</f>
        <v>105.63240854602844</v>
      </c>
      <c r="S37" s="59"/>
      <c r="T37" s="53">
        <f>'P&amp;L'!AF145</f>
        <v>2.3399683897738455</v>
      </c>
      <c r="U37" s="53">
        <f>'P&amp;L'!AG145</f>
        <v>61.201473945806519</v>
      </c>
      <c r="V37" s="53">
        <f>'P&amp;L'!AH145</f>
        <v>65.239340124402844</v>
      </c>
      <c r="W37" s="59"/>
      <c r="X37" s="53">
        <f>'P&amp;L'!AJ145</f>
        <v>49.104465248203972</v>
      </c>
      <c r="Y37" s="53">
        <f>'P&amp;L'!AK145</f>
        <v>76.36579515040907</v>
      </c>
      <c r="Z37" s="53">
        <f>'P&amp;L'!AL145</f>
        <v>125.66441451765209</v>
      </c>
      <c r="AA37" s="59"/>
      <c r="AB37" s="53">
        <f>'P&amp;L'!AN145</f>
        <v>22.77218011844807</v>
      </c>
      <c r="AC37" s="53">
        <f>'P&amp;L'!AO145</f>
        <v>131.70051555443283</v>
      </c>
      <c r="AD37" s="53">
        <f>'P&amp;L'!AP145</f>
        <v>154.48158727707849</v>
      </c>
      <c r="AE37" s="53">
        <f>'P&amp;L'!AQ145</f>
        <v>0</v>
      </c>
      <c r="AF37" s="53">
        <f>'P&amp;L'!AR145</f>
        <v>65.051870925658221</v>
      </c>
      <c r="AG37" s="53">
        <f>'P&amp;L'!AS145</f>
        <v>99.733271613659696</v>
      </c>
      <c r="AH37" s="53">
        <f>'P&amp;L'!AT145</f>
        <v>164.74481168405239</v>
      </c>
      <c r="AI37" s="53">
        <f>'P&amp;L'!AU145</f>
        <v>0</v>
      </c>
      <c r="AJ37" s="53">
        <f>'P&amp;L'!AV145</f>
        <v>71.488923692792753</v>
      </c>
      <c r="AK37" s="53">
        <f>'P&amp;L'!AW145</f>
        <v>110.43892023156927</v>
      </c>
      <c r="AL37" s="53">
        <f>'P&amp;L'!AX145</f>
        <v>181.88621653820661</v>
      </c>
      <c r="AM37" s="53">
        <f>'P&amp;L'!AY145</f>
        <v>0</v>
      </c>
      <c r="AN37" s="53">
        <f>'P&amp;L'!AZ145</f>
        <v>79.171613901672956</v>
      </c>
      <c r="AO37" s="53">
        <f>'P&amp;L'!BA145</f>
        <v>120.75589002448908</v>
      </c>
      <c r="AP37" s="53">
        <f>'P&amp;L'!BB145</f>
        <v>199.88653042352809</v>
      </c>
      <c r="AQ37" s="59"/>
      <c r="AR37" s="53">
        <f>'P&amp;L'!BD145</f>
        <v>83.653448176128947</v>
      </c>
      <c r="AS37" s="53">
        <f>'P&amp;L'!BE145</f>
        <v>127.3304093672125</v>
      </c>
      <c r="AT37" s="53">
        <f>'P&amp;L'!BF145</f>
        <v>210.94419421826709</v>
      </c>
      <c r="AU37" s="59"/>
      <c r="AV37" s="53">
        <f>'P&amp;L'!BH145</f>
        <v>88.337589593892645</v>
      </c>
      <c r="AW37" s="53">
        <f>'P&amp;L'!BI145</f>
        <v>134.2030839781832</v>
      </c>
      <c r="AX37" s="53">
        <f>'P&amp;L'!BJ145</f>
        <v>222.50229785408831</v>
      </c>
      <c r="AY37" s="59"/>
      <c r="AZ37" s="53">
        <f>'P&amp;L'!BL145</f>
        <v>93.233789440389785</v>
      </c>
      <c r="BA37" s="53">
        <f>'P&amp;L'!BM145</f>
        <v>141.38851394346014</v>
      </c>
      <c r="BB37" s="53">
        <f>'P&amp;L'!BN145</f>
        <v>234.58519057986172</v>
      </c>
      <c r="BC37" s="59"/>
      <c r="BD37" s="53">
        <f>'P&amp;L'!BP145</f>
        <v>98.352338549721523</v>
      </c>
      <c r="BE37" s="53">
        <f>'P&amp;L'!BQ145</f>
        <v>148.90208532237517</v>
      </c>
      <c r="BF37" s="53">
        <f>'P&amp;L'!BR145</f>
        <v>247.21854753993097</v>
      </c>
      <c r="BG37" s="59"/>
      <c r="BH37" s="59"/>
      <c r="BJ37" s="285" t="s">
        <v>652</v>
      </c>
      <c r="BK37" s="286"/>
      <c r="BL37" s="580"/>
      <c r="BM37" s="580"/>
      <c r="BN37" s="580">
        <f>BS!V98</f>
        <v>2.4700000000000002</v>
      </c>
      <c r="BO37" s="580">
        <f>BS!W98</f>
        <v>0</v>
      </c>
      <c r="BP37" s="580">
        <f>BS!X98</f>
        <v>2.2999999999999998</v>
      </c>
      <c r="BQ37" s="580">
        <f>BS!Y98</f>
        <v>1.99</v>
      </c>
      <c r="BR37" s="580">
        <f>BS!Z98</f>
        <v>1.99</v>
      </c>
      <c r="BS37" s="580">
        <f>BS!AA98</f>
        <v>0</v>
      </c>
      <c r="BT37" s="580">
        <f>BS!AB98</f>
        <v>2.14</v>
      </c>
      <c r="BU37" s="580">
        <f>BS!AC98</f>
        <v>-0.67137645333969787</v>
      </c>
      <c r="BV37" s="580">
        <f>BS!AD98</f>
        <v>-0.67137645333969787</v>
      </c>
      <c r="BW37" s="580"/>
      <c r="BX37" s="580">
        <f>BS!AF98</f>
        <v>2.7410110797823757</v>
      </c>
      <c r="BY37" s="580">
        <f>BS!AG98</f>
        <v>1.7127178708324291</v>
      </c>
      <c r="BZ37" s="580">
        <f>BS!AH98</f>
        <v>1.7127178708324291</v>
      </c>
      <c r="CA37" s="580"/>
      <c r="CB37" s="580">
        <f>BS!AJ98</f>
        <v>2.0219284002165008</v>
      </c>
      <c r="CC37" s="580">
        <f>BS!AK98</f>
        <v>1.2832336132650051</v>
      </c>
      <c r="CD37" s="580">
        <f>BS!AL98</f>
        <v>1.2832336132650051</v>
      </c>
      <c r="CE37" s="580"/>
      <c r="CF37" s="580">
        <f>BS!AN98</f>
        <v>1.9031321768142611</v>
      </c>
      <c r="CG37" s="580">
        <f>BS!AO98</f>
        <v>1.9733128419032326</v>
      </c>
      <c r="CH37" s="580">
        <f>BS!AP98</f>
        <v>1.9733128419032326</v>
      </c>
      <c r="CI37" s="580">
        <f>BS!AQ98</f>
        <v>0</v>
      </c>
      <c r="CJ37" s="580">
        <f>BS!AR98</f>
        <v>2.3042992737548049</v>
      </c>
      <c r="CK37" s="580">
        <f>BS!AS98</f>
        <v>2.0461230571562079</v>
      </c>
      <c r="CL37" s="580">
        <f>BS!AT98</f>
        <v>2.0461230571562079</v>
      </c>
      <c r="CM37" s="580">
        <f>BS!AU98</f>
        <v>0</v>
      </c>
      <c r="CN37" s="580">
        <f>BS!AV98</f>
        <v>2.0594939772430854</v>
      </c>
      <c r="CO37" s="580">
        <f>BS!AW98</f>
        <v>1.8011567971097746</v>
      </c>
      <c r="CP37" s="580">
        <f>BS!AX98</f>
        <v>1.8011567971097746</v>
      </c>
      <c r="CQ37" s="580">
        <f>BS!AY98</f>
        <v>0</v>
      </c>
      <c r="CR37" s="580">
        <f>BS!AZ98</f>
        <v>1.8372390176228968</v>
      </c>
      <c r="CS37" s="580">
        <f>BS!BA98</f>
        <v>1.5997690877957276</v>
      </c>
      <c r="CT37" s="580">
        <f>BS!BB98</f>
        <v>1.5997690877957276</v>
      </c>
      <c r="CU37" s="580"/>
      <c r="CV37" s="580">
        <f>BS!BD98</f>
        <v>1.6573349579454288</v>
      </c>
      <c r="CW37" s="580">
        <f>BS!BE98</f>
        <v>1.4408452430344068</v>
      </c>
      <c r="CX37" s="580">
        <f>BS!BF98</f>
        <v>1.4408452430344068</v>
      </c>
      <c r="CY37" s="127"/>
      <c r="CZ37" s="53"/>
      <c r="DA37" s="24"/>
    </row>
    <row r="38" spans="1:110" ht="17.100000000000001" customHeight="1">
      <c r="B38" s="301" t="s">
        <v>670</v>
      </c>
      <c r="C38" s="302"/>
      <c r="D38" s="302">
        <f>'P&amp;L'!P148</f>
        <v>26.773384668141347</v>
      </c>
      <c r="E38" s="302">
        <f>'P&amp;L'!Q148</f>
        <v>42.421298449720382</v>
      </c>
      <c r="F38" s="302">
        <f>'P&amp;L'!R148</f>
        <v>71.95510520423683</v>
      </c>
      <c r="G38" s="302"/>
      <c r="H38" s="302">
        <f>'P&amp;L'!T148</f>
        <v>31.093113586780529</v>
      </c>
      <c r="I38" s="302">
        <f>'P&amp;L'!U148</f>
        <v>38.050168927992253</v>
      </c>
      <c r="J38" s="302">
        <f>'P&amp;L'!V146</f>
        <v>69.143019912104577</v>
      </c>
      <c r="K38" s="302">
        <f>'P&amp;L'!W146</f>
        <v>0</v>
      </c>
      <c r="L38" s="302">
        <f>'P&amp;L'!X146</f>
        <v>40.553432830014955</v>
      </c>
      <c r="M38" s="302">
        <f>'P&amp;L'!Y146</f>
        <v>47.830661792368048</v>
      </c>
      <c r="N38" s="302">
        <f>'P&amp;L'!Z146</f>
        <v>88.027265803967083</v>
      </c>
      <c r="O38" s="302">
        <f>'P&amp;L'!AA146</f>
        <v>0</v>
      </c>
      <c r="P38" s="302">
        <f>'P&amp;L'!AB146</f>
        <v>41.032584946427079</v>
      </c>
      <c r="Q38" s="302">
        <f>'P&amp;L'!AC146</f>
        <v>58.469018133782313</v>
      </c>
      <c r="R38" s="302">
        <f>'P&amp;L'!AD146</f>
        <v>96.725303886359868</v>
      </c>
      <c r="S38" s="302">
        <f>'P&amp;L'!AE146</f>
        <v>0</v>
      </c>
      <c r="T38" s="302">
        <f>'P&amp;L'!AF146</f>
        <v>48.246100237698833</v>
      </c>
      <c r="U38" s="302">
        <f>'P&amp;L'!AG146</f>
        <v>80.173182458967318</v>
      </c>
      <c r="V38" s="302">
        <f>'P&amp;L'!AH146</f>
        <v>129.31778799443097</v>
      </c>
      <c r="W38" s="302">
        <f>'P&amp;L'!AI146</f>
        <v>0</v>
      </c>
      <c r="X38" s="302">
        <f>'P&amp;L'!AJ146</f>
        <v>64.858261038496039</v>
      </c>
      <c r="Y38" s="302">
        <f>'P&amp;L'!AK146</f>
        <v>91.730605524912761</v>
      </c>
      <c r="Z38" s="302">
        <f>'P&amp;L'!AL146</f>
        <v>156.78165766723816</v>
      </c>
      <c r="AA38" s="302">
        <f>'P&amp;L'!AM146</f>
        <v>0</v>
      </c>
      <c r="AB38" s="302">
        <f>'P&amp;L'!AN146</f>
        <v>68.210164377394108</v>
      </c>
      <c r="AC38" s="302">
        <f>'P&amp;L'!AO146</f>
        <v>103.56603634181793</v>
      </c>
      <c r="AD38" s="302">
        <f>'P&amp;L'!AP146</f>
        <v>171.79803906430922</v>
      </c>
      <c r="AE38" s="302">
        <f>'P&amp;L'!AQ146</f>
        <v>0</v>
      </c>
      <c r="AF38" s="302">
        <f>'P&amp;L'!AR146</f>
        <v>78.791890879845937</v>
      </c>
      <c r="AG38" s="302">
        <f>'P&amp;L'!AS146</f>
        <v>113.50528519614991</v>
      </c>
      <c r="AH38" s="302">
        <f>'P&amp;L'!AT146</f>
        <v>192.25680801547426</v>
      </c>
      <c r="AI38" s="302">
        <f>'P&amp;L'!AU146</f>
        <v>0</v>
      </c>
      <c r="AJ38" s="302">
        <f>'P&amp;L'!AV146</f>
        <v>85.29161929951502</v>
      </c>
      <c r="AK38" s="302">
        <f>'P&amp;L'!AW146</f>
        <v>124.27115036531076</v>
      </c>
      <c r="AL38" s="302">
        <f>'P&amp;L'!AX146</f>
        <v>209.52111071396513</v>
      </c>
      <c r="AM38" s="302">
        <f>'P&amp;L'!AY146</f>
        <v>0</v>
      </c>
      <c r="AN38" s="302">
        <f>'P&amp;L'!AZ146</f>
        <v>93.032257042121628</v>
      </c>
      <c r="AO38" s="302">
        <f>'P&amp;L'!BA146</f>
        <v>134.64387423136267</v>
      </c>
      <c r="AP38" s="302">
        <f>'P&amp;L'!BB146</f>
        <v>227.63513083135877</v>
      </c>
      <c r="AQ38" s="302"/>
      <c r="AR38" s="302">
        <f>'P&amp;L'!BD148</f>
        <v>97.263713566368935</v>
      </c>
      <c r="AS38" s="302">
        <f>'P&amp;L'!BE148</f>
        <v>140.82979636666693</v>
      </c>
      <c r="AT38" s="302">
        <f>'P&amp;L'!BF148</f>
        <v>238.05394729733044</v>
      </c>
      <c r="AU38" s="302"/>
      <c r="AV38" s="302">
        <f>'P&amp;L'!BH148</f>
        <v>101.98271767628715</v>
      </c>
      <c r="AW38" s="302">
        <f>'P&amp;L'!BI148</f>
        <v>147.72861284347562</v>
      </c>
      <c r="AX38" s="302">
        <f>'P&amp;L'!BJ148</f>
        <v>249.6730548705936</v>
      </c>
      <c r="AY38" s="302"/>
      <c r="AZ38" s="302">
        <f>'P&amp;L'!BL148</f>
        <v>106.9093834687624</v>
      </c>
      <c r="BA38" s="302">
        <f>'P&amp;L'!BM148</f>
        <v>154.93560572385064</v>
      </c>
      <c r="BB38" s="302">
        <f>'P&amp;L'!BN148</f>
        <v>261.8079754251948</v>
      </c>
      <c r="BC38" s="302"/>
      <c r="BD38" s="302">
        <f>'P&amp;L'!BP148</f>
        <v>112.05422914886307</v>
      </c>
      <c r="BE38" s="302">
        <f>'P&amp;L'!BQ148</f>
        <v>162.46636527413273</v>
      </c>
      <c r="BF38" s="302">
        <f>'P&amp;L'!BR148</f>
        <v>274.4848157563103</v>
      </c>
      <c r="BG38" s="302"/>
      <c r="BH38" s="302"/>
      <c r="BJ38" s="274"/>
      <c r="BK38" s="276"/>
      <c r="BL38" s="275"/>
      <c r="BM38" s="275"/>
      <c r="BN38" s="275"/>
      <c r="BO38" s="275"/>
      <c r="BP38" s="275"/>
      <c r="BQ38" s="275"/>
      <c r="BR38" s="275"/>
      <c r="BS38" s="275"/>
      <c r="BT38" s="275"/>
      <c r="BU38" s="275"/>
      <c r="BV38" s="275"/>
      <c r="BW38" s="275"/>
      <c r="BX38" s="275"/>
      <c r="BY38" s="275"/>
      <c r="BZ38" s="275"/>
      <c r="CA38" s="275"/>
      <c r="CB38" s="275"/>
      <c r="CC38" s="275"/>
      <c r="CD38" s="275"/>
      <c r="CE38" s="275"/>
      <c r="CF38" s="275"/>
      <c r="CG38" s="275"/>
      <c r="CH38" s="275"/>
      <c r="CI38" s="275"/>
      <c r="CJ38" s="275"/>
      <c r="CK38" s="275"/>
      <c r="CL38" s="275"/>
      <c r="CM38" s="275"/>
      <c r="CN38" s="275"/>
      <c r="CO38" s="275"/>
      <c r="CP38" s="275"/>
      <c r="CQ38" s="275"/>
      <c r="CR38" s="275"/>
      <c r="CS38" s="275"/>
      <c r="CT38" s="275"/>
      <c r="CU38" s="275"/>
      <c r="CV38" s="275"/>
      <c r="CW38" s="275"/>
      <c r="CX38" s="275"/>
      <c r="CY38" s="127"/>
      <c r="CZ38" s="25"/>
      <c r="DA38" s="28"/>
    </row>
    <row r="39" spans="1:110" ht="17.100000000000001" customHeight="1">
      <c r="B39" s="91" t="s">
        <v>56</v>
      </c>
      <c r="D39" s="59">
        <f>'P&amp;L'!P95</f>
        <v>13.5</v>
      </c>
      <c r="E39" s="59">
        <f>'P&amp;L'!Q95</f>
        <v>32.5</v>
      </c>
      <c r="F39" s="59">
        <f>'P&amp;L'!R95</f>
        <v>46</v>
      </c>
      <c r="H39" s="59">
        <f>'P&amp;L'!T95</f>
        <v>14.5</v>
      </c>
      <c r="I39" s="59">
        <f>'P&amp;L'!U95</f>
        <v>35.5</v>
      </c>
      <c r="J39" s="59">
        <f>'P&amp;L'!V95</f>
        <v>50</v>
      </c>
      <c r="L39" s="59">
        <f>'P&amp;L'!X95</f>
        <v>16</v>
      </c>
      <c r="M39" s="59">
        <f>'P&amp;L'!Y95</f>
        <v>39</v>
      </c>
      <c r="N39" s="59">
        <f>'P&amp;L'!Z95</f>
        <v>55</v>
      </c>
      <c r="P39" s="59">
        <f>'P&amp;L'!AB95</f>
        <v>17</v>
      </c>
      <c r="Q39" s="59">
        <f>'P&amp;L'!AC95</f>
        <v>39</v>
      </c>
      <c r="R39" s="59">
        <f>'P&amp;L'!AD95</f>
        <v>56</v>
      </c>
      <c r="T39" s="59">
        <f>'P&amp;L'!AF95</f>
        <v>17</v>
      </c>
      <c r="U39" s="59">
        <f>'P&amp;L'!AG95</f>
        <v>47</v>
      </c>
      <c r="V39" s="59">
        <f>'P&amp;L'!AH95</f>
        <v>64</v>
      </c>
      <c r="X39" s="59">
        <f>'P&amp;L'!AJ95</f>
        <v>20</v>
      </c>
      <c r="Y39" s="59">
        <f>'P&amp;L'!AK95</f>
        <v>59</v>
      </c>
      <c r="Z39" s="59">
        <f>'P&amp;L'!AL95</f>
        <v>79</v>
      </c>
      <c r="AA39" s="554"/>
      <c r="AB39" s="59">
        <f>'P&amp;L'!AN95</f>
        <v>25</v>
      </c>
      <c r="AC39" s="59">
        <f>'P&amp;L'!AO95</f>
        <v>66</v>
      </c>
      <c r="AD39" s="59">
        <f>'P&amp;L'!AP95</f>
        <v>91</v>
      </c>
      <c r="AE39" s="59">
        <f>'P&amp;L'!AQ95</f>
        <v>0</v>
      </c>
      <c r="AF39" s="59">
        <f>'P&amp;L'!AR95</f>
        <v>32</v>
      </c>
      <c r="AG39" s="59">
        <f>'P&amp;L'!AS95</f>
        <v>80</v>
      </c>
      <c r="AH39" s="59">
        <f>'P&amp;L'!AT95</f>
        <v>112</v>
      </c>
      <c r="AI39" s="59">
        <f>'P&amp;L'!AU95</f>
        <v>0</v>
      </c>
      <c r="AJ39" s="59">
        <f>'P&amp;L'!AV95</f>
        <v>34</v>
      </c>
      <c r="AK39" s="59">
        <f>'P&amp;L'!AW95</f>
        <v>87</v>
      </c>
      <c r="AL39" s="59">
        <f>'P&amp;L'!AX95</f>
        <v>121</v>
      </c>
      <c r="AM39" s="59">
        <f>'P&amp;L'!AY95</f>
        <v>0</v>
      </c>
      <c r="AN39" s="59">
        <f>'P&amp;L'!AZ95</f>
        <v>37</v>
      </c>
      <c r="AO39" s="59">
        <f>'P&amp;L'!BA95</f>
        <v>94</v>
      </c>
      <c r="AP39" s="59">
        <f>'P&amp;L'!BB95</f>
        <v>131</v>
      </c>
      <c r="AR39" s="59">
        <f>'P&amp;L'!BD95</f>
        <v>39</v>
      </c>
      <c r="AS39" s="59">
        <f>'P&amp;L'!BE95</f>
        <v>99</v>
      </c>
      <c r="AT39" s="59">
        <f>'P&amp;L'!BF95</f>
        <v>138</v>
      </c>
      <c r="AV39" s="59">
        <f>'P&amp;L'!BH95</f>
        <v>41</v>
      </c>
      <c r="AW39" s="59">
        <f>'P&amp;L'!BI95</f>
        <v>104</v>
      </c>
      <c r="AX39" s="59">
        <f>'P&amp;L'!BJ95</f>
        <v>145</v>
      </c>
      <c r="AZ39" s="59">
        <f>'P&amp;L'!BL95</f>
        <v>43</v>
      </c>
      <c r="BA39" s="59">
        <f>'P&amp;L'!BM95</f>
        <v>109</v>
      </c>
      <c r="BB39" s="59">
        <f>'P&amp;L'!BN95</f>
        <v>152</v>
      </c>
      <c r="BD39" s="59">
        <f>'P&amp;L'!BP95</f>
        <v>45</v>
      </c>
      <c r="BE39" s="59">
        <f>'P&amp;L'!BQ95</f>
        <v>114</v>
      </c>
      <c r="BF39" s="59">
        <f>'P&amp;L'!BR95</f>
        <v>159</v>
      </c>
      <c r="BI39" s="80"/>
      <c r="BJ39" s="292" t="s">
        <v>59</v>
      </c>
      <c r="BK39" s="64"/>
      <c r="BL39" s="103"/>
      <c r="BM39" s="103"/>
      <c r="BN39" s="103"/>
      <c r="BO39" s="103"/>
      <c r="BP39" s="103"/>
      <c r="BQ39" s="103"/>
      <c r="BR39" s="103"/>
      <c r="BS39" s="103"/>
      <c r="BT39" s="103"/>
      <c r="BU39" s="103"/>
      <c r="BV39" s="103"/>
      <c r="BW39" s="103"/>
      <c r="BX39" s="103"/>
      <c r="BY39" s="103"/>
      <c r="BZ39" s="103"/>
      <c r="CA39" s="103"/>
      <c r="CB39" s="103"/>
      <c r="CC39" s="103"/>
      <c r="CD39" s="103"/>
      <c r="CE39" s="103"/>
      <c r="CF39" s="103"/>
      <c r="CG39" s="103"/>
      <c r="CH39" s="103"/>
      <c r="CI39" s="103"/>
      <c r="CJ39" s="103"/>
      <c r="CK39" s="103"/>
      <c r="CL39" s="103"/>
      <c r="CM39" s="103"/>
      <c r="CN39" s="103"/>
      <c r="CO39" s="103"/>
      <c r="CP39" s="103"/>
      <c r="CQ39" s="103"/>
      <c r="CR39" s="103"/>
      <c r="CS39" s="103"/>
      <c r="CT39" s="103"/>
      <c r="CU39" s="103"/>
      <c r="CV39" s="103"/>
      <c r="CW39" s="103"/>
      <c r="CX39" s="103"/>
      <c r="CY39" s="127"/>
      <c r="CZ39" s="25"/>
      <c r="DA39" s="28"/>
    </row>
    <row r="40" spans="1:110" ht="17.100000000000001" customHeight="1">
      <c r="A40" s="27"/>
      <c r="Z40" s="554"/>
      <c r="AA40" s="554"/>
      <c r="AB40" s="554"/>
      <c r="AC40" s="554"/>
      <c r="AD40" s="554"/>
      <c r="AE40" s="554"/>
      <c r="AF40" s="554"/>
      <c r="AG40" s="554"/>
      <c r="AH40" s="554"/>
      <c r="AI40" s="554"/>
      <c r="AJ40" s="554"/>
      <c r="AK40" s="554"/>
      <c r="AL40" s="554"/>
      <c r="AM40" s="554"/>
      <c r="AN40" s="554"/>
      <c r="AO40" s="554"/>
      <c r="AP40" s="554"/>
      <c r="BJ40" s="96" t="s">
        <v>60</v>
      </c>
      <c r="BK40" s="104"/>
      <c r="BL40" s="97"/>
      <c r="BM40" s="97"/>
      <c r="BN40" s="211">
        <f>'P&amp;L'!V38</f>
        <v>0.31169743042709197</v>
      </c>
      <c r="BO40" s="211"/>
      <c r="BP40" s="211">
        <f>'P&amp;L'!X38</f>
        <v>0.31365566360772495</v>
      </c>
      <c r="BQ40" s="211">
        <f>'P&amp;L'!Y38</f>
        <v>0.30312240950538816</v>
      </c>
      <c r="BR40" s="211">
        <f>'P&amp;L'!Z38</f>
        <v>0.30800660513167893</v>
      </c>
      <c r="BS40" s="211"/>
      <c r="BT40" s="211">
        <f>'P&amp;L'!AB38</f>
        <v>0.30329234068767241</v>
      </c>
      <c r="BU40" s="211">
        <f>'P&amp;L'!AC38</f>
        <v>0.3014708243681557</v>
      </c>
      <c r="BV40" s="211">
        <f>'P&amp;L'!AD38</f>
        <v>0.30222322749677233</v>
      </c>
      <c r="BW40" s="211"/>
      <c r="BX40" s="211">
        <f>'P&amp;L'!AF38</f>
        <v>0.29222402326884928</v>
      </c>
      <c r="BY40" s="211">
        <f>'P&amp;L'!AG38</f>
        <v>0.28107377870745626</v>
      </c>
      <c r="BZ40" s="211">
        <f>'P&amp;L'!AH38</f>
        <v>0.28514600599736639</v>
      </c>
      <c r="CA40" s="211"/>
      <c r="CB40" s="211">
        <f>'P&amp;L'!AJ38</f>
        <v>0.30455682930930439</v>
      </c>
      <c r="CC40" s="211">
        <f>'P&amp;L'!AK38</f>
        <v>0.27515855704094039</v>
      </c>
      <c r="CD40" s="211">
        <f>'P&amp;L'!AL38</f>
        <v>0.28751583122250357</v>
      </c>
      <c r="CE40" s="211"/>
      <c r="CF40" s="211">
        <f>'P&amp;L'!AN38</f>
        <v>0.30565355595920085</v>
      </c>
      <c r="CG40" s="211">
        <f>'P&amp;L'!AO38</f>
        <v>0.28742741135923727</v>
      </c>
      <c r="CH40" s="211">
        <f>'P&amp;L'!AP38</f>
        <v>0.29475459712235308</v>
      </c>
      <c r="CI40" s="211">
        <f>'P&amp;L'!AQ38</f>
        <v>0</v>
      </c>
      <c r="CJ40" s="211">
        <f>'P&amp;L'!AR38</f>
        <v>0.30499999999999999</v>
      </c>
      <c r="CK40" s="211">
        <f>'P&amp;L'!AS38</f>
        <v>0.28499999999999998</v>
      </c>
      <c r="CL40" s="211">
        <f>'P&amp;L'!AT38</f>
        <v>0.29334368645991793</v>
      </c>
      <c r="CM40" s="211">
        <f>'P&amp;L'!AU38</f>
        <v>0</v>
      </c>
      <c r="CN40" s="211">
        <f>'P&amp;L'!AV38</f>
        <v>0.30499999999999999</v>
      </c>
      <c r="CO40" s="211">
        <f>'P&amp;L'!AW38</f>
        <v>0.28499999999999998</v>
      </c>
      <c r="CP40" s="211">
        <f>'P&amp;L'!AX38</f>
        <v>0.29328763003896063</v>
      </c>
      <c r="CQ40" s="211">
        <f>'P&amp;L'!AY38</f>
        <v>0</v>
      </c>
      <c r="CR40" s="211">
        <f>'P&amp;L'!AZ38</f>
        <v>0.30499999999999999</v>
      </c>
      <c r="CS40" s="211">
        <f>'P&amp;L'!BA38</f>
        <v>0.28499999999999998</v>
      </c>
      <c r="CT40" s="211">
        <f>'P&amp;L'!BB38</f>
        <v>0.29331936837115313</v>
      </c>
      <c r="CU40" s="211"/>
      <c r="CV40" s="211">
        <f>'P&amp;L'!BD38</f>
        <v>0.30499999999999999</v>
      </c>
      <c r="CW40" s="211">
        <f>'P&amp;L'!BE38</f>
        <v>0.28499999999999998</v>
      </c>
      <c r="CX40" s="211">
        <f>'P&amp;L'!BF38</f>
        <v>0.29331648518186515</v>
      </c>
      <c r="CY40" s="127"/>
      <c r="CZ40" s="25"/>
      <c r="DA40" s="24"/>
    </row>
    <row r="41" spans="1:110" ht="17.100000000000001" customHeight="1">
      <c r="A41" s="27"/>
      <c r="B41" s="551" t="s">
        <v>678</v>
      </c>
      <c r="C41" s="95"/>
      <c r="D41" s="95"/>
      <c r="E41" s="95"/>
      <c r="F41" s="95"/>
      <c r="G41" s="95"/>
      <c r="H41" s="95"/>
      <c r="I41" s="95"/>
      <c r="J41" s="756" t="str">
        <f>+J7</f>
        <v>FY20</v>
      </c>
      <c r="K41" s="95"/>
      <c r="L41" s="95"/>
      <c r="M41" s="95"/>
      <c r="N41" s="756" t="str">
        <f t="shared" ref="N41:AK41" si="12">+N7</f>
        <v>FY21</v>
      </c>
      <c r="O41" s="756">
        <f t="shared" si="12"/>
        <v>0</v>
      </c>
      <c r="P41" s="756" t="str">
        <f t="shared" si="12"/>
        <v>1H22</v>
      </c>
      <c r="Q41" s="756" t="str">
        <f t="shared" si="12"/>
        <v>2H22</v>
      </c>
      <c r="R41" s="756" t="str">
        <f t="shared" si="12"/>
        <v>FY22</v>
      </c>
      <c r="S41" s="756">
        <f t="shared" si="12"/>
        <v>0</v>
      </c>
      <c r="T41" s="825" t="str">
        <f t="shared" si="12"/>
        <v>1H23</v>
      </c>
      <c r="U41" s="825" t="str">
        <f t="shared" si="12"/>
        <v>2H23</v>
      </c>
      <c r="V41" s="756" t="str">
        <f t="shared" si="12"/>
        <v>FY23</v>
      </c>
      <c r="W41" s="756">
        <f t="shared" si="12"/>
        <v>0</v>
      </c>
      <c r="X41" s="846" t="str">
        <f t="shared" si="12"/>
        <v>1H24</v>
      </c>
      <c r="Y41" s="846" t="str">
        <f t="shared" si="12"/>
        <v>2H24</v>
      </c>
      <c r="Z41" s="756" t="str">
        <f t="shared" si="12"/>
        <v>FY24</v>
      </c>
      <c r="AA41" s="756">
        <f t="shared" si="12"/>
        <v>0</v>
      </c>
      <c r="AB41" s="846" t="str">
        <f t="shared" si="12"/>
        <v>1H25</v>
      </c>
      <c r="AC41" s="846" t="str">
        <f t="shared" si="12"/>
        <v>2H25</v>
      </c>
      <c r="AD41" s="756" t="str">
        <f t="shared" si="12"/>
        <v>FY25</v>
      </c>
      <c r="AE41" s="756">
        <f t="shared" si="12"/>
        <v>0</v>
      </c>
      <c r="AF41" s="846" t="str">
        <f t="shared" si="12"/>
        <v>1H26E</v>
      </c>
      <c r="AG41" s="846" t="str">
        <f t="shared" si="12"/>
        <v>2H26E</v>
      </c>
      <c r="AH41" s="756" t="str">
        <f t="shared" si="12"/>
        <v>FY26E</v>
      </c>
      <c r="AI41" s="910"/>
      <c r="AJ41" s="756" t="str">
        <f t="shared" si="12"/>
        <v>1H27E</v>
      </c>
      <c r="AK41" s="756" t="str">
        <f t="shared" si="12"/>
        <v>2H27E</v>
      </c>
      <c r="AL41" s="756" t="str">
        <f t="shared" ref="AL41:AP41" si="13">+AL7</f>
        <v>FY27E</v>
      </c>
      <c r="AM41" s="756">
        <f t="shared" si="13"/>
        <v>0</v>
      </c>
      <c r="AN41" s="756" t="str">
        <f t="shared" si="13"/>
        <v>1H28E</v>
      </c>
      <c r="AO41" s="756" t="str">
        <f t="shared" si="13"/>
        <v>2H28E</v>
      </c>
      <c r="AP41" s="756" t="str">
        <f t="shared" si="13"/>
        <v>FY28E</v>
      </c>
      <c r="AQ41" s="95"/>
      <c r="AR41" s="95"/>
      <c r="AS41" s="95"/>
      <c r="AT41" s="95"/>
      <c r="AU41" s="95"/>
      <c r="AV41" s="95"/>
      <c r="AW41" s="95"/>
      <c r="AX41" s="95"/>
      <c r="AY41" s="95"/>
      <c r="AZ41" s="95"/>
      <c r="BA41" s="95"/>
      <c r="BB41" s="95"/>
      <c r="BC41" s="95"/>
      <c r="BD41" s="95"/>
      <c r="BE41" s="95"/>
      <c r="BF41" s="95"/>
      <c r="BG41" s="95"/>
      <c r="BH41" s="95"/>
      <c r="BI41" s="81"/>
      <c r="BJ41" s="57"/>
      <c r="CY41" s="72"/>
      <c r="CZ41" s="25"/>
      <c r="DA41" s="26"/>
    </row>
    <row r="42" spans="1:110" ht="17.100000000000001" customHeight="1">
      <c r="A42" s="30"/>
      <c r="B42" s="86" t="str">
        <f>+B8</f>
        <v>Australian Broking</v>
      </c>
      <c r="D42" s="646">
        <f t="shared" ref="D42:F45" si="14">+D16/D8</f>
        <v>0.2553191489361703</v>
      </c>
      <c r="E42" s="646">
        <f t="shared" si="14"/>
        <v>0.30215449290593799</v>
      </c>
      <c r="F42" s="646">
        <f t="shared" si="14"/>
        <v>0.27887919640496961</v>
      </c>
      <c r="H42" s="646">
        <f t="shared" ref="H42:J45" si="15">+H16/H8</f>
        <v>0.2553191489361703</v>
      </c>
      <c r="I42" s="646">
        <f t="shared" si="15"/>
        <v>0.30884485258579014</v>
      </c>
      <c r="J42" s="646">
        <f t="shared" si="15"/>
        <v>0.28336287667763987</v>
      </c>
      <c r="L42" s="646">
        <f t="shared" ref="L42:N45" si="16">+L16/L8</f>
        <v>0.32112408759124095</v>
      </c>
      <c r="M42" s="646">
        <f t="shared" si="16"/>
        <v>0.31671434957532396</v>
      </c>
      <c r="N42" s="646">
        <f t="shared" si="16"/>
        <v>0.31882572227399808</v>
      </c>
      <c r="P42" s="646">
        <f t="shared" ref="P42:R45" si="17">+P16/P8</f>
        <v>0.31141552511415521</v>
      </c>
      <c r="Q42" s="646">
        <f t="shared" si="17"/>
        <v>0.36104114189756509</v>
      </c>
      <c r="R42" s="646">
        <f t="shared" si="17"/>
        <v>0.33727034120734906</v>
      </c>
      <c r="T42" s="646">
        <f t="shared" ref="T42:V45" si="18">+T16/T8</f>
        <v>0.35162194633560273</v>
      </c>
      <c r="U42" s="646">
        <f t="shared" si="18"/>
        <v>0.34996296021927548</v>
      </c>
      <c r="V42" s="646">
        <f t="shared" si="18"/>
        <v>0.35076008312807894</v>
      </c>
      <c r="X42" s="646">
        <f t="shared" ref="X42:Z45" si="19">+X16/X8</f>
        <v>0.36935953420669576</v>
      </c>
      <c r="Y42" s="646">
        <f t="shared" si="19"/>
        <v>0.36670601552953075</v>
      </c>
      <c r="Z42" s="646">
        <f t="shared" si="19"/>
        <v>0.36799965937456203</v>
      </c>
      <c r="AA42" s="554"/>
      <c r="AB42" s="646">
        <f t="shared" ref="AB42:AD45" si="20">+AB16/AB8</f>
        <v>0.37640449438202256</v>
      </c>
      <c r="AC42" s="646">
        <f t="shared" si="20"/>
        <v>0.37957860615883304</v>
      </c>
      <c r="AD42" s="536">
        <f t="shared" si="20"/>
        <v>0.37800687285223367</v>
      </c>
      <c r="AE42" s="536" t="e">
        <f t="shared" ref="AE42:AP42" si="21">+AE16/AE8</f>
        <v>#DIV/0!</v>
      </c>
      <c r="AF42" s="536">
        <f t="shared" si="21"/>
        <v>0.375</v>
      </c>
      <c r="AG42" s="536">
        <f t="shared" si="21"/>
        <v>0.38750000000000001</v>
      </c>
      <c r="AH42" s="536">
        <f t="shared" si="21"/>
        <v>0.38129093395301228</v>
      </c>
      <c r="AI42" s="536" t="e">
        <f t="shared" si="21"/>
        <v>#DIV/0!</v>
      </c>
      <c r="AJ42" s="536">
        <f t="shared" si="21"/>
        <v>0.38</v>
      </c>
      <c r="AK42" s="536">
        <f t="shared" si="21"/>
        <v>0.39250000000000002</v>
      </c>
      <c r="AL42" s="536">
        <f t="shared" si="21"/>
        <v>0.38629646375820403</v>
      </c>
      <c r="AM42" s="536" t="e">
        <f t="shared" si="21"/>
        <v>#DIV/0!</v>
      </c>
      <c r="AN42" s="536">
        <f t="shared" si="21"/>
        <v>0.38499999999999995</v>
      </c>
      <c r="AO42" s="536">
        <f t="shared" si="21"/>
        <v>0.39799999999999996</v>
      </c>
      <c r="AP42" s="536">
        <f t="shared" si="21"/>
        <v>0.3915540251452343</v>
      </c>
      <c r="AR42" s="646">
        <f t="shared" ref="AR42:AT45" si="22">+AR16/AR8</f>
        <v>0.38500000000000001</v>
      </c>
      <c r="AS42" s="646">
        <f t="shared" si="22"/>
        <v>0.39800000000000002</v>
      </c>
      <c r="AT42" s="646">
        <f t="shared" si="22"/>
        <v>0.39155967004683495</v>
      </c>
      <c r="AV42" s="646">
        <f t="shared" ref="AV42:AX45" si="23">+AV16/AV8</f>
        <v>0.38500000000000006</v>
      </c>
      <c r="AW42" s="646">
        <f t="shared" si="23"/>
        <v>0.39800000000000002</v>
      </c>
      <c r="AX42" s="646">
        <f t="shared" si="23"/>
        <v>0.39156525507111195</v>
      </c>
      <c r="AZ42" s="646">
        <f t="shared" ref="AZ42:BB45" si="24">+AZ16/AZ8</f>
        <v>0.38500000000000001</v>
      </c>
      <c r="BA42" s="646">
        <f t="shared" si="24"/>
        <v>0.39800000000000002</v>
      </c>
      <c r="BB42" s="646">
        <f t="shared" si="24"/>
        <v>0.39157077836787596</v>
      </c>
      <c r="BD42" s="646">
        <f t="shared" ref="BD42:BF45" si="25">+BD16/BD8</f>
        <v>0.38500000000000001</v>
      </c>
      <c r="BE42" s="646">
        <f t="shared" si="25"/>
        <v>0.39799999999999996</v>
      </c>
      <c r="BF42" s="646">
        <f t="shared" si="25"/>
        <v>0.39157623818138182</v>
      </c>
      <c r="BI42" s="49"/>
      <c r="BJ42" s="551" t="s">
        <v>492</v>
      </c>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72"/>
      <c r="CZ42" s="25"/>
      <c r="DA42" s="26"/>
    </row>
    <row r="43" spans="1:110" ht="17.100000000000001" customHeight="1">
      <c r="A43" s="30"/>
      <c r="B43" s="52" t="s">
        <v>183</v>
      </c>
      <c r="D43" s="646" t="e">
        <f t="shared" si="14"/>
        <v>#DIV/0!</v>
      </c>
      <c r="E43" s="646" t="e">
        <f t="shared" si="14"/>
        <v>#DIV/0!</v>
      </c>
      <c r="F43" s="646" t="e">
        <f t="shared" si="14"/>
        <v>#DIV/0!</v>
      </c>
      <c r="H43" s="646" t="e">
        <f t="shared" si="15"/>
        <v>#DIV/0!</v>
      </c>
      <c r="I43" s="646">
        <f t="shared" si="15"/>
        <v>0.3928571428571429</v>
      </c>
      <c r="J43" s="646">
        <f t="shared" si="15"/>
        <v>0.3928571428571429</v>
      </c>
      <c r="L43" s="646">
        <f t="shared" si="16"/>
        <v>0.38351254480286739</v>
      </c>
      <c r="M43" s="646">
        <f t="shared" si="16"/>
        <v>0.36688311688311687</v>
      </c>
      <c r="N43" s="646">
        <f t="shared" si="16"/>
        <v>0.37478705281090285</v>
      </c>
      <c r="P43" s="646">
        <f t="shared" si="17"/>
        <v>0.36936936936936932</v>
      </c>
      <c r="Q43" s="646">
        <f t="shared" si="17"/>
        <v>0.38512215207246792</v>
      </c>
      <c r="R43" s="646">
        <f t="shared" si="17"/>
        <v>0.37759931163057514</v>
      </c>
      <c r="T43" s="646">
        <f t="shared" si="18"/>
        <v>0.38563829787234039</v>
      </c>
      <c r="U43" s="646">
        <f t="shared" si="18"/>
        <v>0.41402624325661386</v>
      </c>
      <c r="V43" s="646">
        <f t="shared" si="18"/>
        <v>0.4006920761033867</v>
      </c>
      <c r="X43" s="646">
        <f t="shared" si="19"/>
        <v>0.39675174013921116</v>
      </c>
      <c r="Y43" s="646">
        <f t="shared" si="19"/>
        <v>0.44031071136549471</v>
      </c>
      <c r="Z43" s="646">
        <f t="shared" si="19"/>
        <v>0.41990871549663117</v>
      </c>
      <c r="AA43" s="554"/>
      <c r="AB43" s="646">
        <f t="shared" si="20"/>
        <v>0.43227091633466136</v>
      </c>
      <c r="AC43" s="646">
        <f t="shared" si="20"/>
        <v>0.48021582733812945</v>
      </c>
      <c r="AD43" s="536">
        <f t="shared" si="20"/>
        <v>0.45746691871455575</v>
      </c>
      <c r="AE43" s="536" t="e">
        <f t="shared" ref="AE43:AP43" si="26">+AE17/AE9</f>
        <v>#DIV/0!</v>
      </c>
      <c r="AF43" s="536">
        <f t="shared" si="26"/>
        <v>0.438</v>
      </c>
      <c r="AG43" s="536">
        <f t="shared" si="26"/>
        <v>0.48</v>
      </c>
      <c r="AH43" s="536">
        <f t="shared" si="26"/>
        <v>0.46007183364839321</v>
      </c>
      <c r="AI43" s="536" t="e">
        <f t="shared" si="26"/>
        <v>#DIV/0!</v>
      </c>
      <c r="AJ43" s="536">
        <f t="shared" si="26"/>
        <v>0.443</v>
      </c>
      <c r="AK43" s="536">
        <f t="shared" si="26"/>
        <v>0.48499999999999999</v>
      </c>
      <c r="AL43" s="536">
        <f t="shared" si="26"/>
        <v>0.46507183364839316</v>
      </c>
      <c r="AM43" s="536" t="e">
        <f t="shared" si="26"/>
        <v>#DIV/0!</v>
      </c>
      <c r="AN43" s="536">
        <f t="shared" si="26"/>
        <v>0.44800000000000001</v>
      </c>
      <c r="AO43" s="536">
        <f t="shared" si="26"/>
        <v>0.48999999999999994</v>
      </c>
      <c r="AP43" s="536">
        <f t="shared" si="26"/>
        <v>0.47007183364839306</v>
      </c>
      <c r="AR43" s="646">
        <f t="shared" si="22"/>
        <v>0.44800000000000001</v>
      </c>
      <c r="AS43" s="646">
        <f t="shared" si="22"/>
        <v>0.49</v>
      </c>
      <c r="AT43" s="646">
        <f t="shared" si="22"/>
        <v>0.47007183364839322</v>
      </c>
      <c r="AV43" s="646">
        <f t="shared" si="23"/>
        <v>0.44800000000000006</v>
      </c>
      <c r="AW43" s="646">
        <f t="shared" si="23"/>
        <v>0.48999999999999994</v>
      </c>
      <c r="AX43" s="646">
        <f t="shared" si="23"/>
        <v>0.47007183364839322</v>
      </c>
      <c r="AZ43" s="646">
        <f t="shared" si="24"/>
        <v>0.44800000000000001</v>
      </c>
      <c r="BA43" s="646">
        <f t="shared" si="24"/>
        <v>0.48999999999999994</v>
      </c>
      <c r="BB43" s="646">
        <f t="shared" si="24"/>
        <v>0.47007183364839317</v>
      </c>
      <c r="BD43" s="646">
        <f t="shared" si="25"/>
        <v>0.44800000000000001</v>
      </c>
      <c r="BE43" s="646">
        <f t="shared" si="25"/>
        <v>0.49</v>
      </c>
      <c r="BF43" s="646">
        <f t="shared" si="25"/>
        <v>0.47007183364839322</v>
      </c>
      <c r="BI43" s="49"/>
      <c r="BJ43" s="553" t="str">
        <f>+BS!B13</f>
        <v>Cash and cash equivalents</v>
      </c>
      <c r="BK43" s="109"/>
      <c r="BL43" s="87">
        <f>+BS!T13</f>
        <v>49.972000000000001</v>
      </c>
      <c r="BM43" s="87">
        <f>+BS!U13</f>
        <v>84.373999999999995</v>
      </c>
      <c r="BN43" s="87">
        <f>+BS!V13</f>
        <v>84.373999999999995</v>
      </c>
      <c r="BO43" s="108"/>
      <c r="BP43" s="87">
        <f>+BS!X13</f>
        <v>66.302999999999997</v>
      </c>
      <c r="BQ43" s="87">
        <f>+BS!Y13</f>
        <v>76.587999999999994</v>
      </c>
      <c r="BR43" s="87">
        <f>+BS!Z13</f>
        <v>76.587999999999994</v>
      </c>
      <c r="BS43" s="108"/>
      <c r="BT43" s="87">
        <f>+BS!AB13</f>
        <v>75.766999999999996</v>
      </c>
      <c r="BU43" s="87">
        <f>+BS!AC13</f>
        <v>259.32900000000001</v>
      </c>
      <c r="BV43" s="87">
        <f>+BS!AD13</f>
        <v>259.32900000000001</v>
      </c>
      <c r="BW43" s="108"/>
      <c r="BX43" s="87">
        <f>+BS!AF13</f>
        <v>192.94399999999999</v>
      </c>
      <c r="BY43" s="87">
        <f>+BS!AG13</f>
        <v>260.35199999999998</v>
      </c>
      <c r="BZ43" s="87">
        <f>+BS!AH13</f>
        <v>260.35199999999998</v>
      </c>
      <c r="CA43" s="108"/>
      <c r="CB43" s="87">
        <f>+BS!AJ13</f>
        <v>208.77600000000001</v>
      </c>
      <c r="CC43" s="87">
        <f>+BS!AK13</f>
        <v>377.36599999999999</v>
      </c>
      <c r="CD43" s="87">
        <f>+BS!AL13</f>
        <v>377.36599999999999</v>
      </c>
      <c r="CE43" s="108"/>
      <c r="CF43" s="87">
        <f>+BS!AN13</f>
        <v>210.892</v>
      </c>
      <c r="CG43" s="87">
        <f>+BS!AO13</f>
        <v>279.26600000000002</v>
      </c>
      <c r="CH43" s="87">
        <f>+BS!AP13</f>
        <v>279.26600000000002</v>
      </c>
      <c r="CI43" s="87">
        <f>+BS!AQ13</f>
        <v>0</v>
      </c>
      <c r="CJ43" s="87">
        <f>+BS!AR13</f>
        <v>262.99965369959091</v>
      </c>
      <c r="CK43" s="87">
        <f>+BS!AS13</f>
        <v>449.58953350758975</v>
      </c>
      <c r="CL43" s="87">
        <f>+BS!AT13</f>
        <v>449.58953350758975</v>
      </c>
      <c r="CM43" s="87">
        <f>+BS!AU13</f>
        <v>0</v>
      </c>
      <c r="CN43" s="87">
        <f>+BS!AV13</f>
        <v>368.07502975177863</v>
      </c>
      <c r="CO43" s="87">
        <f>+BS!AW13</f>
        <v>572.14484644381105</v>
      </c>
      <c r="CP43" s="87">
        <f>+BS!AX13</f>
        <v>572.14484644381105</v>
      </c>
      <c r="CQ43" s="87">
        <f>+BS!AY13</f>
        <v>0</v>
      </c>
      <c r="CR43" s="87">
        <f>+BS!AZ13</f>
        <v>450.66038517882225</v>
      </c>
      <c r="CS43" s="87">
        <f>+BS!BA13</f>
        <v>656.60562467520867</v>
      </c>
      <c r="CT43" s="87">
        <f>+BS!BB13</f>
        <v>656.6056246752089</v>
      </c>
      <c r="CU43" s="108"/>
      <c r="CV43" s="87">
        <f>+BS!BD13</f>
        <v>534.54264116114837</v>
      </c>
      <c r="CW43" s="87">
        <f>+BS!BE13</f>
        <v>759.84157743402398</v>
      </c>
      <c r="CX43" s="87">
        <f>+BS!BF13</f>
        <v>759.84157743402398</v>
      </c>
      <c r="CY43" s="72"/>
      <c r="CZ43" s="820" t="s">
        <v>669</v>
      </c>
      <c r="DA43" s="24"/>
    </row>
    <row r="44" spans="1:110" ht="17.100000000000001" customHeight="1">
      <c r="A44" s="30"/>
      <c r="B44" s="52" t="s">
        <v>187</v>
      </c>
      <c r="D44" s="646">
        <f t="shared" si="14"/>
        <v>0.28222996515679427</v>
      </c>
      <c r="E44" s="646">
        <f t="shared" si="14"/>
        <v>0.38532110091743121</v>
      </c>
      <c r="F44" s="646">
        <f t="shared" si="14"/>
        <v>0.33713355048859928</v>
      </c>
      <c r="H44" s="646">
        <f t="shared" si="15"/>
        <v>0.27739726027397243</v>
      </c>
      <c r="I44" s="646">
        <f t="shared" si="15"/>
        <v>0.33887043189368776</v>
      </c>
      <c r="J44" s="646">
        <f t="shared" si="15"/>
        <v>0.30860033726812813</v>
      </c>
      <c r="L44" s="646">
        <f t="shared" si="16"/>
        <v>0.27303754266211605</v>
      </c>
      <c r="M44" s="646">
        <f t="shared" si="16"/>
        <v>0.34841628959276022</v>
      </c>
      <c r="N44" s="646">
        <f t="shared" si="16"/>
        <v>0.3183673469387755</v>
      </c>
      <c r="P44" s="646">
        <f t="shared" si="17"/>
        <v>0.326133909287257</v>
      </c>
      <c r="Q44" s="646">
        <f t="shared" si="17"/>
        <v>0.40540540540540554</v>
      </c>
      <c r="R44" s="646">
        <f t="shared" si="17"/>
        <v>0.36999517607332377</v>
      </c>
      <c r="T44" s="646">
        <f t="shared" si="18"/>
        <v>0.31615120274914088</v>
      </c>
      <c r="U44" s="646">
        <f t="shared" si="18"/>
        <v>0.43279901356350192</v>
      </c>
      <c r="V44" s="646">
        <f t="shared" si="18"/>
        <v>0.38406317300789655</v>
      </c>
      <c r="X44" s="646">
        <f t="shared" si="19"/>
        <v>0.40307328605200954</v>
      </c>
      <c r="Y44" s="646">
        <f t="shared" si="19"/>
        <v>0.44796385029306157</v>
      </c>
      <c r="Z44" s="646">
        <f t="shared" si="19"/>
        <v>0.42641258888088124</v>
      </c>
      <c r="AA44" s="554"/>
      <c r="AB44" s="646">
        <f t="shared" si="20"/>
        <v>0.40431519699812379</v>
      </c>
      <c r="AC44" s="646">
        <f t="shared" si="20"/>
        <v>0.47761194029850751</v>
      </c>
      <c r="AD44" s="536">
        <f t="shared" si="20"/>
        <v>0.44217687074829931</v>
      </c>
      <c r="AE44" s="536" t="e">
        <f t="shared" ref="AE44:AP44" si="27">+AE18/AE10</f>
        <v>#DIV/0!</v>
      </c>
      <c r="AF44" s="536">
        <f t="shared" si="27"/>
        <v>0.41199999999999998</v>
      </c>
      <c r="AG44" s="536">
        <f t="shared" si="27"/>
        <v>0.47499999999999998</v>
      </c>
      <c r="AH44" s="536">
        <f t="shared" si="27"/>
        <v>0.44451263581774647</v>
      </c>
      <c r="AI44" s="536" t="e">
        <f t="shared" si="27"/>
        <v>#DIV/0!</v>
      </c>
      <c r="AJ44" s="536">
        <f t="shared" si="27"/>
        <v>0.41499999999999998</v>
      </c>
      <c r="AK44" s="536">
        <f t="shared" si="27"/>
        <v>0.47499999999999998</v>
      </c>
      <c r="AL44" s="536">
        <f t="shared" si="27"/>
        <v>0.44604242759934165</v>
      </c>
      <c r="AM44" s="536" t="e">
        <f t="shared" si="27"/>
        <v>#DIV/0!</v>
      </c>
      <c r="AN44" s="536">
        <f t="shared" si="27"/>
        <v>0.42</v>
      </c>
      <c r="AO44" s="536">
        <f t="shared" si="27"/>
        <v>0.48000000000000004</v>
      </c>
      <c r="AP44" s="536">
        <f t="shared" si="27"/>
        <v>0.45110815620043987</v>
      </c>
      <c r="AR44" s="646">
        <f t="shared" si="22"/>
        <v>0.42</v>
      </c>
      <c r="AS44" s="646">
        <f t="shared" si="22"/>
        <v>0.48</v>
      </c>
      <c r="AT44" s="646">
        <f t="shared" si="22"/>
        <v>0.45116353191349823</v>
      </c>
      <c r="AV44" s="646">
        <f t="shared" si="23"/>
        <v>0.42</v>
      </c>
      <c r="AW44" s="646">
        <f t="shared" si="23"/>
        <v>0.48</v>
      </c>
      <c r="AX44" s="646">
        <f t="shared" si="23"/>
        <v>0.45121906593964806</v>
      </c>
      <c r="AZ44" s="646">
        <f t="shared" si="24"/>
        <v>0.42</v>
      </c>
      <c r="BA44" s="646">
        <f t="shared" si="24"/>
        <v>0.48</v>
      </c>
      <c r="BB44" s="646">
        <f t="shared" si="24"/>
        <v>0.45127474941149454</v>
      </c>
      <c r="BD44" s="646">
        <f t="shared" si="25"/>
        <v>0.42</v>
      </c>
      <c r="BE44" s="646">
        <f t="shared" si="25"/>
        <v>0.48</v>
      </c>
      <c r="BF44" s="646">
        <f t="shared" si="25"/>
        <v>0.45133057334202181</v>
      </c>
      <c r="BI44" s="49"/>
      <c r="BJ44" s="553" t="str">
        <f>+BS!B14</f>
        <v>Cash and cash equivalents - Trust</v>
      </c>
      <c r="BK44" s="109"/>
      <c r="BL44" s="87">
        <f>+BS!T14</f>
        <v>134.80500000000001</v>
      </c>
      <c r="BM44" s="87">
        <f>+BS!U14</f>
        <v>158.77699999999999</v>
      </c>
      <c r="BN44" s="87">
        <f>+BS!V14</f>
        <v>158.77699999999999</v>
      </c>
      <c r="BO44" s="107"/>
      <c r="BP44" s="87">
        <f>+BS!X14</f>
        <v>159.84700000000001</v>
      </c>
      <c r="BQ44" s="87">
        <f>+BS!Y14</f>
        <v>205.232</v>
      </c>
      <c r="BR44" s="87">
        <f>+BS!Z14</f>
        <v>205.232</v>
      </c>
      <c r="BS44" s="107"/>
      <c r="BT44" s="87">
        <f>+BS!AB14</f>
        <v>196.785</v>
      </c>
      <c r="BU44" s="87">
        <f>+BS!AC14</f>
        <v>333.13099999999997</v>
      </c>
      <c r="BV44" s="87">
        <f>+BS!AD14</f>
        <v>333.13099999999997</v>
      </c>
      <c r="BW44" s="107"/>
      <c r="BX44" s="87">
        <f>+BS!AF14</f>
        <v>834.43399999999997</v>
      </c>
      <c r="BY44" s="87">
        <f>+BS!AG14</f>
        <v>936.36900000000003</v>
      </c>
      <c r="BZ44" s="87">
        <f>+BS!AH14</f>
        <v>936.36900000000003</v>
      </c>
      <c r="CA44" s="107"/>
      <c r="CB44" s="87">
        <f>+BS!AJ14</f>
        <v>884.351</v>
      </c>
      <c r="CC44" s="87">
        <f>+BS!AK14</f>
        <v>908.95</v>
      </c>
      <c r="CD44" s="87">
        <f>+BS!AL14</f>
        <v>908.95</v>
      </c>
      <c r="CE44" s="107"/>
      <c r="CF44" s="87">
        <f>+BS!AN14</f>
        <v>1029.251</v>
      </c>
      <c r="CG44" s="87">
        <f>+BS!AO14</f>
        <v>1063.3720000000001</v>
      </c>
      <c r="CH44" s="87">
        <f>+BS!AP14</f>
        <v>1063.3720000000001</v>
      </c>
      <c r="CI44" s="87">
        <f>+BS!AQ14</f>
        <v>0</v>
      </c>
      <c r="CJ44" s="87">
        <f>+BS!AR14</f>
        <v>1030.0508582541397</v>
      </c>
      <c r="CK44" s="87">
        <f>+BS!AS14</f>
        <v>1129.1244087803457</v>
      </c>
      <c r="CL44" s="87">
        <f>+BS!AT14</f>
        <v>1129.1244087803457</v>
      </c>
      <c r="CM44" s="87">
        <f>+BS!AU14</f>
        <v>0</v>
      </c>
      <c r="CN44" s="87">
        <f>+BS!AV14</f>
        <v>1076.2669898162765</v>
      </c>
      <c r="CO44" s="87">
        <f>+BS!AW14</f>
        <v>1182.4166548483824</v>
      </c>
      <c r="CP44" s="87">
        <f>+BS!AX14</f>
        <v>1182.4166548483824</v>
      </c>
      <c r="CQ44" s="87">
        <f>+BS!AY14</f>
        <v>0</v>
      </c>
      <c r="CR44" s="87">
        <f>+BS!AZ14</f>
        <v>1125.6081049478667</v>
      </c>
      <c r="CS44" s="87">
        <f>+BS!BA14</f>
        <v>1232.4022870244135</v>
      </c>
      <c r="CT44" s="87">
        <f>+BS!BB14</f>
        <v>1232.4022870244135</v>
      </c>
      <c r="CU44" s="107"/>
      <c r="CV44" s="87">
        <f>+BS!BD14</f>
        <v>1164.8631283607513</v>
      </c>
      <c r="CW44" s="87">
        <f>+BS!BE14</f>
        <v>1284.8592242634229</v>
      </c>
      <c r="CX44" s="87">
        <f>+BS!BF14</f>
        <v>1284.8592242634229</v>
      </c>
      <c r="CY44" s="107"/>
      <c r="CZ44" s="821">
        <f>+SUM(BS!A13:A17,BS!A21:A27,BS!A33:A38,BS!A42:A46)</f>
        <v>0</v>
      </c>
      <c r="DA44" s="26"/>
    </row>
    <row r="45" spans="1:110" ht="17.100000000000001" customHeight="1">
      <c r="A45" s="30"/>
      <c r="B45" s="537" t="s">
        <v>188</v>
      </c>
      <c r="D45" s="646">
        <f t="shared" si="14"/>
        <v>0.3273542600896861</v>
      </c>
      <c r="E45" s="646">
        <f t="shared" si="14"/>
        <v>0.34507042253521109</v>
      </c>
      <c r="F45" s="646">
        <f t="shared" si="14"/>
        <v>0.33727810650887563</v>
      </c>
      <c r="H45" s="646">
        <f t="shared" si="15"/>
        <v>0.3029197080291971</v>
      </c>
      <c r="I45" s="646">
        <f t="shared" si="15"/>
        <v>0.3504823151125403</v>
      </c>
      <c r="J45" s="646">
        <f t="shared" si="15"/>
        <v>0.32820512820512815</v>
      </c>
      <c r="L45" s="646">
        <f t="shared" si="16"/>
        <v>0.26739926739926739</v>
      </c>
      <c r="M45" s="646">
        <f t="shared" si="16"/>
        <v>0.30670926517571867</v>
      </c>
      <c r="N45" s="646">
        <f t="shared" si="16"/>
        <v>0.28839590443686003</v>
      </c>
      <c r="P45" s="646">
        <f t="shared" si="17"/>
        <v>0.23344947735191646</v>
      </c>
      <c r="Q45" s="646">
        <f t="shared" si="17"/>
        <v>0.28807947019867547</v>
      </c>
      <c r="R45" s="646">
        <f t="shared" si="17"/>
        <v>0.26146010186757213</v>
      </c>
      <c r="T45" s="646">
        <f t="shared" si="18"/>
        <v>0.22818791946308728</v>
      </c>
      <c r="U45" s="646">
        <f t="shared" si="18"/>
        <v>0.33740831295843526</v>
      </c>
      <c r="V45" s="646">
        <f t="shared" si="18"/>
        <v>0.29137199434229122</v>
      </c>
      <c r="X45" s="646">
        <f t="shared" si="19"/>
        <v>0.36519607843137253</v>
      </c>
      <c r="Y45" s="646">
        <f t="shared" si="19"/>
        <v>0.36457159550936946</v>
      </c>
      <c r="Z45" s="646">
        <f t="shared" si="19"/>
        <v>0.36476832236545587</v>
      </c>
      <c r="AA45" s="554"/>
      <c r="AB45" s="646">
        <f t="shared" si="20"/>
        <v>0.36288659793814437</v>
      </c>
      <c r="AC45" s="646">
        <f t="shared" si="20"/>
        <v>0.32591093117408898</v>
      </c>
      <c r="AD45" s="536">
        <f t="shared" si="20"/>
        <v>0.34415146749453635</v>
      </c>
      <c r="AE45" s="536" t="e">
        <f t="shared" ref="AE45:AP45" si="28">+AE19/AE11</f>
        <v>#DIV/0!</v>
      </c>
      <c r="AF45" s="536">
        <f t="shared" si="28"/>
        <v>0.34</v>
      </c>
      <c r="AG45" s="536">
        <f t="shared" si="28"/>
        <v>0.35</v>
      </c>
      <c r="AH45" s="536">
        <f t="shared" si="28"/>
        <v>0.34498036653306202</v>
      </c>
      <c r="AI45" s="536" t="e">
        <f t="shared" si="28"/>
        <v>#DIV/0!</v>
      </c>
      <c r="AJ45" s="536">
        <f t="shared" si="28"/>
        <v>0.35</v>
      </c>
      <c r="AK45" s="536">
        <f t="shared" si="28"/>
        <v>0.36</v>
      </c>
      <c r="AL45" s="536">
        <f t="shared" si="28"/>
        <v>0.35498444404952634</v>
      </c>
      <c r="AM45" s="536" t="e">
        <f t="shared" si="28"/>
        <v>#DIV/0!</v>
      </c>
      <c r="AN45" s="536">
        <f t="shared" si="28"/>
        <v>0.35499999999999998</v>
      </c>
      <c r="AO45" s="536">
        <f t="shared" si="28"/>
        <v>0.36499999999999999</v>
      </c>
      <c r="AP45" s="536">
        <f t="shared" si="28"/>
        <v>0.35998839743454242</v>
      </c>
      <c r="AR45" s="646">
        <f t="shared" si="22"/>
        <v>0.35499999999999998</v>
      </c>
      <c r="AS45" s="646">
        <f t="shared" si="22"/>
        <v>0.36499999999999999</v>
      </c>
      <c r="AT45" s="646">
        <f t="shared" si="22"/>
        <v>0.35999223738073588</v>
      </c>
      <c r="AV45" s="646">
        <f t="shared" si="23"/>
        <v>0.35499999999999998</v>
      </c>
      <c r="AW45" s="646">
        <f t="shared" si="23"/>
        <v>0.36499999999999999</v>
      </c>
      <c r="AX45" s="646">
        <f t="shared" si="23"/>
        <v>0.35999596567433018</v>
      </c>
      <c r="AZ45" s="646">
        <f t="shared" si="24"/>
        <v>0.35499999999999998</v>
      </c>
      <c r="BA45" s="646">
        <f t="shared" si="24"/>
        <v>0.36499999999999999</v>
      </c>
      <c r="BB45" s="646">
        <f t="shared" si="24"/>
        <v>0.35999958417581007</v>
      </c>
      <c r="BD45" s="646">
        <f t="shared" si="25"/>
        <v>0.35499999999999998</v>
      </c>
      <c r="BE45" s="646">
        <f t="shared" si="25"/>
        <v>0.36499999999999999</v>
      </c>
      <c r="BF45" s="646">
        <f t="shared" si="25"/>
        <v>0.36000309481188797</v>
      </c>
      <c r="BI45" s="49"/>
      <c r="BJ45" s="553" t="str">
        <f>+BS!B15</f>
        <v>Trade and other receivables</v>
      </c>
      <c r="BK45" s="109"/>
      <c r="BL45" s="87">
        <f>+BS!T15</f>
        <v>68.495000000000005</v>
      </c>
      <c r="BM45" s="87">
        <f>+BS!U15</f>
        <v>68.677000000000007</v>
      </c>
      <c r="BN45" s="87">
        <f>+BS!V15</f>
        <v>68.677000000000007</v>
      </c>
      <c r="BO45" s="107"/>
      <c r="BP45" s="87">
        <f>+BS!X15</f>
        <v>57.67</v>
      </c>
      <c r="BQ45" s="87">
        <f>+BS!Y15</f>
        <v>64.081000000000003</v>
      </c>
      <c r="BR45" s="87">
        <f>+BS!Z15</f>
        <v>64.081000000000003</v>
      </c>
      <c r="BS45" s="107"/>
      <c r="BT45" s="87">
        <f>+BS!AB15</f>
        <v>62.613</v>
      </c>
      <c r="BU45" s="87">
        <f>+BS!AC15</f>
        <v>117.679</v>
      </c>
      <c r="BV45" s="87">
        <f>+BS!AD15</f>
        <v>117.679</v>
      </c>
      <c r="BW45" s="107"/>
      <c r="BX45" s="87">
        <f>+BS!AF15</f>
        <v>269.12099999999998</v>
      </c>
      <c r="BY45" s="87">
        <f>+BS!AG15</f>
        <v>313.07900000000001</v>
      </c>
      <c r="BZ45" s="87">
        <f>+BS!AH15</f>
        <v>313.07900000000001</v>
      </c>
      <c r="CA45" s="107"/>
      <c r="CB45" s="87">
        <f>+BS!AJ15</f>
        <v>235.28</v>
      </c>
      <c r="CC45" s="87">
        <f>+BS!AK15</f>
        <v>286.94</v>
      </c>
      <c r="CD45" s="87">
        <f>+BS!AL15</f>
        <v>286.94</v>
      </c>
      <c r="CE45" s="107"/>
      <c r="CF45" s="87">
        <f>+BS!AN15</f>
        <v>250.309</v>
      </c>
      <c r="CG45" s="87">
        <f>+BS!AO15</f>
        <v>301.05099999999999</v>
      </c>
      <c r="CH45" s="87">
        <f>+BS!AP15</f>
        <v>301.05099999999999</v>
      </c>
      <c r="CI45" s="87">
        <f>+BS!AQ15</f>
        <v>0</v>
      </c>
      <c r="CJ45" s="87">
        <f>+BS!AR15</f>
        <v>287.80832804159775</v>
      </c>
      <c r="CK45" s="87">
        <f>+BS!AS15</f>
        <v>315.49064362980249</v>
      </c>
      <c r="CL45" s="87">
        <f>+BS!AT15</f>
        <v>315.49064362980249</v>
      </c>
      <c r="CM45" s="87">
        <f>+BS!AU15</f>
        <v>0</v>
      </c>
      <c r="CN45" s="87">
        <f>+BS!AV15</f>
        <v>300.72165891925368</v>
      </c>
      <c r="CO45" s="87">
        <f>+BS!AW15</f>
        <v>330.38112414881266</v>
      </c>
      <c r="CP45" s="87">
        <f>+BS!AX15</f>
        <v>330.38112414881266</v>
      </c>
      <c r="CQ45" s="87">
        <f>+BS!AY15</f>
        <v>0</v>
      </c>
      <c r="CR45" s="87">
        <f>+BS!AZ15</f>
        <v>331.06120733760781</v>
      </c>
      <c r="CS45" s="87">
        <f>+BS!BA15</f>
        <v>362.47126088953337</v>
      </c>
      <c r="CT45" s="87">
        <f>+BS!BB15</f>
        <v>362.47126088953337</v>
      </c>
      <c r="CU45" s="107"/>
      <c r="CV45" s="87">
        <f>+BS!BD15</f>
        <v>342.6068024590445</v>
      </c>
      <c r="CW45" s="87">
        <f>+BS!BE15</f>
        <v>377.89977184218321</v>
      </c>
      <c r="CX45" s="87">
        <f>+BS!BF15</f>
        <v>377.89977184218321</v>
      </c>
      <c r="CY45" s="107"/>
      <c r="CZ45" s="25"/>
      <c r="DA45" s="24"/>
    </row>
    <row r="46" spans="1:110" ht="17.100000000000001" customHeight="1">
      <c r="A46" s="30"/>
      <c r="B46" s="52" t="s">
        <v>699</v>
      </c>
      <c r="D46" s="646" t="str">
        <f t="shared" ref="D46:F46" si="29">+IFERROR(D20/D12,"")</f>
        <v/>
      </c>
      <c r="E46" s="646" t="str">
        <f t="shared" si="29"/>
        <v/>
      </c>
      <c r="F46" s="646" t="str">
        <f t="shared" si="29"/>
        <v/>
      </c>
      <c r="H46" s="646" t="str">
        <f t="shared" ref="H46:J46" si="30">+IFERROR(H20/H12,"")</f>
        <v/>
      </c>
      <c r="I46" s="646" t="str">
        <f t="shared" si="30"/>
        <v/>
      </c>
      <c r="J46" s="646" t="str">
        <f t="shared" si="30"/>
        <v/>
      </c>
      <c r="L46" s="646" t="str">
        <f t="shared" ref="L46:N46" si="31">+IFERROR(L20/L12,"")</f>
        <v/>
      </c>
      <c r="M46" s="646" t="str">
        <f t="shared" si="31"/>
        <v/>
      </c>
      <c r="N46" s="646" t="str">
        <f t="shared" si="31"/>
        <v/>
      </c>
      <c r="P46" s="646" t="str">
        <f t="shared" ref="P46:R46" si="32">+IFERROR(P20/P12,"")</f>
        <v/>
      </c>
      <c r="Q46" s="646" t="str">
        <f t="shared" si="32"/>
        <v/>
      </c>
      <c r="R46" s="646" t="str">
        <f t="shared" si="32"/>
        <v/>
      </c>
      <c r="T46" s="646">
        <f t="shared" ref="T46:V46" si="33">+IFERROR(T20/T12,"")</f>
        <v>0.20170704845814977</v>
      </c>
      <c r="U46" s="646">
        <f t="shared" si="33"/>
        <v>0.28643585487313261</v>
      </c>
      <c r="V46" s="646">
        <f t="shared" si="33"/>
        <v>0.26093154317918127</v>
      </c>
      <c r="X46" s="646">
        <f>+IFERROR(X20/X12,"")</f>
        <v>0.20374220374220384</v>
      </c>
      <c r="Y46" s="646">
        <f t="shared" ref="Y46:Z46" si="34">+IFERROR(Y20/Y12,"")</f>
        <v>0.27541037591302631</v>
      </c>
      <c r="Z46" s="646">
        <f t="shared" si="34"/>
        <v>0.2418639503115261</v>
      </c>
      <c r="AA46" s="554"/>
      <c r="AB46" s="646">
        <f t="shared" ref="AB46:AD46" si="35">+IFERROR(AB20/AB12,"")</f>
        <v>0.15591397849462379</v>
      </c>
      <c r="AC46" s="646">
        <f t="shared" si="35"/>
        <v>0.29735935706084937</v>
      </c>
      <c r="AD46" s="646">
        <f t="shared" si="35"/>
        <v>0.23524361450955134</v>
      </c>
      <c r="AE46" s="646" t="str">
        <f t="shared" ref="AE46:AP46" si="36">+IFERROR(AE20/AE12,"")</f>
        <v/>
      </c>
      <c r="AF46" s="646">
        <f t="shared" si="36"/>
        <v>0.2</v>
      </c>
      <c r="AG46" s="646">
        <f t="shared" si="36"/>
        <v>0.30499999999999999</v>
      </c>
      <c r="AH46" s="646">
        <f t="shared" si="36"/>
        <v>0.25699961316137815</v>
      </c>
      <c r="AI46" s="646" t="str">
        <f t="shared" si="36"/>
        <v/>
      </c>
      <c r="AJ46" s="646">
        <f t="shared" si="36"/>
        <v>0.20499999999999999</v>
      </c>
      <c r="AK46" s="646">
        <f t="shared" si="36"/>
        <v>0.32</v>
      </c>
      <c r="AL46" s="646">
        <f t="shared" si="36"/>
        <v>0.26744599002960989</v>
      </c>
      <c r="AM46" s="646" t="str">
        <f t="shared" si="36"/>
        <v/>
      </c>
      <c r="AN46" s="646">
        <f t="shared" si="36"/>
        <v>0.215</v>
      </c>
      <c r="AO46" s="646">
        <f t="shared" si="36"/>
        <v>0.33</v>
      </c>
      <c r="AP46" s="646">
        <f t="shared" si="36"/>
        <v>0.27746310320782513</v>
      </c>
      <c r="AR46" s="646">
        <f t="shared" ref="AR46:AT46" si="37">+IFERROR(AR20/AR12,"")</f>
        <v>0.215</v>
      </c>
      <c r="AS46" s="646">
        <f t="shared" si="37"/>
        <v>0.33</v>
      </c>
      <c r="AT46" s="646">
        <f t="shared" si="37"/>
        <v>0.27747951193579445</v>
      </c>
      <c r="AV46" s="646">
        <f t="shared" ref="AV46:AX46" si="38">+IFERROR(AV20/AV12,"")</f>
        <v>0.215</v>
      </c>
      <c r="AW46" s="646">
        <f t="shared" si="38"/>
        <v>0.33</v>
      </c>
      <c r="AX46" s="646">
        <f t="shared" si="38"/>
        <v>0.27749524048665403</v>
      </c>
      <c r="AZ46" s="646">
        <f t="shared" ref="AZ46:BB46" si="39">+IFERROR(AZ20/AZ12,"")</f>
        <v>0.215</v>
      </c>
      <c r="BA46" s="646">
        <f t="shared" si="39"/>
        <v>0.33</v>
      </c>
      <c r="BB46" s="646">
        <f t="shared" si="39"/>
        <v>0.27751031271507004</v>
      </c>
      <c r="BD46" s="646">
        <f t="shared" ref="BD46:BF46" si="40">+IFERROR(BD20/BD12,"")</f>
        <v>0.215</v>
      </c>
      <c r="BE46" s="646">
        <f t="shared" si="40"/>
        <v>0.33</v>
      </c>
      <c r="BF46" s="646">
        <f t="shared" si="40"/>
        <v>0.27752475202374088</v>
      </c>
      <c r="BI46" s="49"/>
      <c r="BJ46" s="553" t="s">
        <v>532</v>
      </c>
      <c r="BK46" s="109"/>
      <c r="BL46" s="87">
        <f>+BL47-SUM(BL43:BL45)</f>
        <v>0.48500000000001364</v>
      </c>
      <c r="BM46" s="87">
        <f>+BM47-SUM(BM43:BM45)</f>
        <v>0.87700000000000955</v>
      </c>
      <c r="BN46" s="87">
        <f>+BN47-SUM(BN43:BN45)</f>
        <v>0.87700000000000955</v>
      </c>
      <c r="BO46" s="107"/>
      <c r="BP46" s="87">
        <f>+BP47-SUM(BP43:BP45)</f>
        <v>1.4339999999999691</v>
      </c>
      <c r="BQ46" s="87">
        <f>+BQ47-SUM(BQ43:BQ45)</f>
        <v>1.5989999999999895</v>
      </c>
      <c r="BR46" s="87">
        <f>+BR47-SUM(BR43:BR45)</f>
        <v>1.5989999999999895</v>
      </c>
      <c r="BS46" s="107"/>
      <c r="BT46" s="87">
        <f>+BT47-SUM(BT43:BT45)</f>
        <v>1.7980000000000018</v>
      </c>
      <c r="BU46" s="87">
        <f>+BU47-SUM(BU43:BU45)</f>
        <v>2.8880000000000337</v>
      </c>
      <c r="BV46" s="87">
        <f>+BV47-SUM(BV43:BV45)</f>
        <v>2.8880000000000337</v>
      </c>
      <c r="BW46" s="107"/>
      <c r="BX46" s="87">
        <f>+BX47-SUM(BX43:BX45)</f>
        <v>22.364000000000033</v>
      </c>
      <c r="BY46" s="87">
        <f>+BY47-SUM(BY43:BY45)</f>
        <v>27.344000000000051</v>
      </c>
      <c r="BZ46" s="87">
        <f>+BZ47-SUM(BZ43:BZ45)</f>
        <v>27.344000000000051</v>
      </c>
      <c r="CA46" s="107"/>
      <c r="CB46" s="87">
        <f>+CB47-SUM(CB43:CB45)</f>
        <v>26.033999999999878</v>
      </c>
      <c r="CC46" s="87">
        <f>+CC47-SUM(CC43:CC45)</f>
        <v>34.128999999999905</v>
      </c>
      <c r="CD46" s="87">
        <f>+CD47-SUM(CD43:CD45)</f>
        <v>34.128999999999905</v>
      </c>
      <c r="CE46" s="107"/>
      <c r="CF46" s="87">
        <f>+CF47-SUM(CF43:CF45)</f>
        <v>31.682000000000016</v>
      </c>
      <c r="CG46" s="87">
        <f>+CG47-SUM(CG43:CG45)</f>
        <v>31.595000000000027</v>
      </c>
      <c r="CH46" s="87">
        <f>+CH47-SUM(CH43:CH45)</f>
        <v>31.595000000000027</v>
      </c>
      <c r="CI46" s="87">
        <f t="shared" ref="CI46:CT46" si="41">+CI47-SUM(CI43:CI45)</f>
        <v>0</v>
      </c>
      <c r="CJ46" s="87">
        <f t="shared" si="41"/>
        <v>32.858799999999974</v>
      </c>
      <c r="CK46" s="87">
        <f t="shared" si="41"/>
        <v>34.173151999999845</v>
      </c>
      <c r="CL46" s="87">
        <f t="shared" si="41"/>
        <v>34.173151999999845</v>
      </c>
      <c r="CM46" s="87">
        <f t="shared" si="41"/>
        <v>0</v>
      </c>
      <c r="CN46" s="87">
        <f t="shared" si="41"/>
        <v>35.54007807999983</v>
      </c>
      <c r="CO46" s="87">
        <f t="shared" si="41"/>
        <v>36.961681203199987</v>
      </c>
      <c r="CP46" s="87">
        <f t="shared" si="41"/>
        <v>36.961681203199987</v>
      </c>
      <c r="CQ46" s="87">
        <f t="shared" si="41"/>
        <v>0</v>
      </c>
      <c r="CR46" s="87">
        <f t="shared" si="41"/>
        <v>38.440148451328014</v>
      </c>
      <c r="CS46" s="87">
        <f t="shared" si="41"/>
        <v>39.977754389381062</v>
      </c>
      <c r="CT46" s="87">
        <f t="shared" si="41"/>
        <v>39.977754389381062</v>
      </c>
      <c r="CU46" s="107"/>
      <c r="CV46" s="87">
        <f t="shared" ref="CV46:CX46" si="42">+CV47-SUM(CV43:CV45)</f>
        <v>41.576864564956622</v>
      </c>
      <c r="CW46" s="87">
        <f t="shared" si="42"/>
        <v>43.239939147554651</v>
      </c>
      <c r="CX46" s="87">
        <f t="shared" si="42"/>
        <v>43.239939147554651</v>
      </c>
      <c r="CY46" s="107"/>
      <c r="CZ46" s="25"/>
      <c r="DA46" s="26"/>
    </row>
    <row r="47" spans="1:110" ht="17.100000000000001" customHeight="1">
      <c r="A47" s="30"/>
      <c r="B47" s="81" t="s">
        <v>673</v>
      </c>
      <c r="D47" s="647">
        <f>+IFERROR(D23/D15,"")</f>
        <v>0.22586539323827473</v>
      </c>
      <c r="E47" s="647">
        <f>+IFERROR(E23/E15,"")</f>
        <v>0.27184664711098977</v>
      </c>
      <c r="F47" s="647">
        <f>+IFERROR(F23/F15,"")</f>
        <v>0.24931474242188431</v>
      </c>
      <c r="G47" s="1"/>
      <c r="H47" s="647">
        <f>+IFERROR(H23/H15,"")</f>
        <v>0.2300484358498126</v>
      </c>
      <c r="I47" s="647">
        <f>+IFERROR(I23/I15,"")</f>
        <v>0.28638617413070167</v>
      </c>
      <c r="J47" s="647">
        <f>+IFERROR(J23/J15,"")</f>
        <v>0.2600861944390136</v>
      </c>
      <c r="K47" s="1"/>
      <c r="L47" s="647">
        <f>+IFERROR(L23/L15,"")</f>
        <v>0.29007097182207864</v>
      </c>
      <c r="M47" s="647">
        <f>+IFERROR(M23/M15,"")</f>
        <v>0.30082721420786412</v>
      </c>
      <c r="N47" s="647">
        <f>+IFERROR(N23/N15,"")</f>
        <v>0.29568833309171927</v>
      </c>
      <c r="O47" s="1"/>
      <c r="P47" s="647">
        <f>+IFERROR(P23/P15,"")</f>
        <v>0.28308134735071999</v>
      </c>
      <c r="Q47" s="647">
        <f>+IFERROR(Q23/Q15,"")</f>
        <v>0.33967781103129657</v>
      </c>
      <c r="R47" s="647">
        <f>+IFERROR(R23/R15,"")</f>
        <v>0.31280966994570913</v>
      </c>
      <c r="S47" s="1"/>
      <c r="T47" s="647">
        <f>+IFERROR(T23/T15,"")</f>
        <v>0.28664984494481571</v>
      </c>
      <c r="U47" s="647">
        <f>+IFERROR(U23/U15,"")</f>
        <v>0.32496603360624954</v>
      </c>
      <c r="V47" s="647">
        <f>+IFERROR(V23/V15,"")</f>
        <v>0.30889791566446728</v>
      </c>
      <c r="W47" s="1"/>
      <c r="X47" s="647">
        <f>+IFERROR(X23/X15,"")</f>
        <v>0.3034749519438234</v>
      </c>
      <c r="Y47" s="647">
        <f>+IFERROR(Y23/Y15,"")</f>
        <v>0.33963018533724854</v>
      </c>
      <c r="Z47" s="647">
        <f>+IFERROR(Z23/Z15,"")</f>
        <v>0.32238339128129162</v>
      </c>
      <c r="AA47" s="557"/>
      <c r="AB47" s="647">
        <f>+IFERROR(AB23/AB15,"")</f>
        <v>0.30001484369311093</v>
      </c>
      <c r="AC47" s="647">
        <f>+IFERROR(AC23/AC15,"")</f>
        <v>0.35748383542211531</v>
      </c>
      <c r="AD47" s="647">
        <f>+IFERROR(AD23/AD15,"")</f>
        <v>0.33020054333910798</v>
      </c>
      <c r="AE47" s="647" t="str">
        <f t="shared" ref="AE47:AP47" si="43">+IFERROR(AE23/AE15,"")</f>
        <v/>
      </c>
      <c r="AF47" s="647">
        <f t="shared" si="43"/>
        <v>0.31259322873104789</v>
      </c>
      <c r="AG47" s="647">
        <f t="shared" si="43"/>
        <v>0.36547704577399537</v>
      </c>
      <c r="AH47" s="647">
        <f t="shared" si="43"/>
        <v>0.34001664495604306</v>
      </c>
      <c r="AI47" s="647" t="str">
        <f t="shared" si="43"/>
        <v/>
      </c>
      <c r="AJ47" s="647">
        <f t="shared" si="43"/>
        <v>0.31771270415492836</v>
      </c>
      <c r="AK47" s="647">
        <f t="shared" si="43"/>
        <v>0.37425180949032105</v>
      </c>
      <c r="AL47" s="647">
        <f t="shared" si="43"/>
        <v>0.34707795298645572</v>
      </c>
      <c r="AM47" s="647" t="str">
        <f t="shared" si="43"/>
        <v/>
      </c>
      <c r="AN47" s="647">
        <f t="shared" si="43"/>
        <v>0.32479709857568956</v>
      </c>
      <c r="AO47" s="647">
        <f t="shared" si="43"/>
        <v>0.38176922994017759</v>
      </c>
      <c r="AP47" s="647">
        <f t="shared" si="43"/>
        <v>0.35441695252191419</v>
      </c>
      <c r="AQ47" s="1"/>
      <c r="AR47" s="647">
        <f>+IFERROR(AR23/AR15,"")</f>
        <v>0.32480880920125593</v>
      </c>
      <c r="AS47" s="647">
        <f>+IFERROR(AS23/AS15,"")</f>
        <v>0.38189082253940104</v>
      </c>
      <c r="AT47" s="647">
        <f>+IFERROR(AT23/AT15,"")</f>
        <v>0.35451275514284919</v>
      </c>
      <c r="AU47" s="1"/>
      <c r="AV47" s="647">
        <f>+IFERROR(AV23/AV15,"")</f>
        <v>0.32482281371270183</v>
      </c>
      <c r="AW47" s="647">
        <f>+IFERROR(AW23/AW15,"")</f>
        <v>0.38201204437969566</v>
      </c>
      <c r="AX47" s="647">
        <f>+IFERROR(AX23/AX15,"")</f>
        <v>0.35460901168008258</v>
      </c>
      <c r="AY47" s="1"/>
      <c r="AZ47" s="647">
        <f>+IFERROR(AZ23/AZ15,"")</f>
        <v>0.32483914015573889</v>
      </c>
      <c r="BA47" s="647">
        <f>+IFERROR(BA23/BA15,"")</f>
        <v>0.38213290615023437</v>
      </c>
      <c r="BB47" s="647">
        <f>+IFERROR(BB23/BB15,"")</f>
        <v>0.35470573173115305</v>
      </c>
      <c r="BC47" s="1"/>
      <c r="BD47" s="647">
        <f>+IFERROR(BD23/BD15,"")</f>
        <v>0.3248578161954111</v>
      </c>
      <c r="BE47" s="647">
        <f>+IFERROR(BE23/BE15,"")</f>
        <v>0.38225342140768653</v>
      </c>
      <c r="BF47" s="647">
        <f>+IFERROR(BF23/BF15,"")</f>
        <v>0.3548029271103228</v>
      </c>
      <c r="BI47" s="60"/>
      <c r="BJ47" s="549" t="str">
        <f>+BS!B18</f>
        <v>Total current assets</v>
      </c>
      <c r="BK47" s="46"/>
      <c r="BL47" s="98">
        <f>+BS!T18</f>
        <v>253.75700000000003</v>
      </c>
      <c r="BM47" s="98">
        <f>+BS!U18</f>
        <v>312.70499999999998</v>
      </c>
      <c r="BN47" s="98">
        <f>+BS!V18</f>
        <v>312.70499999999998</v>
      </c>
      <c r="BO47" s="48"/>
      <c r="BP47" s="98">
        <f>+BS!X18</f>
        <v>285.25399999999996</v>
      </c>
      <c r="BQ47" s="98">
        <f>+BS!Y18</f>
        <v>347.5</v>
      </c>
      <c r="BR47" s="98">
        <f>+BS!Z18</f>
        <v>347.5</v>
      </c>
      <c r="BS47" s="48"/>
      <c r="BT47" s="98">
        <f>+BS!AB18</f>
        <v>336.96300000000002</v>
      </c>
      <c r="BU47" s="98">
        <f>+BS!AC18</f>
        <v>713.02700000000004</v>
      </c>
      <c r="BV47" s="98">
        <f>+BS!AD18</f>
        <v>713.02700000000004</v>
      </c>
      <c r="BW47" s="48"/>
      <c r="BX47" s="98">
        <f>+BS!AF18</f>
        <v>1318.8629999999998</v>
      </c>
      <c r="BY47" s="98">
        <f>+BS!AG18</f>
        <v>1537.144</v>
      </c>
      <c r="BZ47" s="98">
        <f>+BS!AH18</f>
        <v>1537.144</v>
      </c>
      <c r="CA47" s="48"/>
      <c r="CB47" s="98">
        <f>+BS!AJ18</f>
        <v>1354.4409999999998</v>
      </c>
      <c r="CC47" s="98">
        <f>+BS!AK18</f>
        <v>1607.385</v>
      </c>
      <c r="CD47" s="98">
        <f>+BS!AL18</f>
        <v>1607.385</v>
      </c>
      <c r="CE47" s="48"/>
      <c r="CF47" s="98">
        <f>+BS!AN18</f>
        <v>1522.134</v>
      </c>
      <c r="CG47" s="98">
        <f>+BS!AO18</f>
        <v>1675.2840000000001</v>
      </c>
      <c r="CH47" s="98">
        <f>+BS!AP18</f>
        <v>1675.2840000000001</v>
      </c>
      <c r="CI47" s="98">
        <f>+BS!AQ18</f>
        <v>0</v>
      </c>
      <c r="CJ47" s="98">
        <f>+BS!AR18</f>
        <v>1613.7176399953282</v>
      </c>
      <c r="CK47" s="98">
        <f>+BS!AS18</f>
        <v>1928.3777379177377</v>
      </c>
      <c r="CL47" s="98">
        <f>+BS!AT18</f>
        <v>1928.3777379177377</v>
      </c>
      <c r="CM47" s="98">
        <f>+BS!AU18</f>
        <v>0</v>
      </c>
      <c r="CN47" s="98">
        <f>+BS!AV18</f>
        <v>1780.6037565673087</v>
      </c>
      <c r="CO47" s="98">
        <f>+BS!AW18</f>
        <v>2121.9043066442064</v>
      </c>
      <c r="CP47" s="98">
        <f>+BS!AX18</f>
        <v>2121.9043066442064</v>
      </c>
      <c r="CQ47" s="98">
        <f>+BS!AY18</f>
        <v>0</v>
      </c>
      <c r="CR47" s="98">
        <f>+BS!AZ18</f>
        <v>1945.7698459156247</v>
      </c>
      <c r="CS47" s="98">
        <f>+BS!BA18</f>
        <v>2291.4569269785366</v>
      </c>
      <c r="CT47" s="98">
        <f>+BS!BB18</f>
        <v>2291.4569269785366</v>
      </c>
      <c r="CU47" s="48"/>
      <c r="CV47" s="98">
        <f>+BS!BD18</f>
        <v>2083.5894365459008</v>
      </c>
      <c r="CW47" s="98">
        <f>+BS!BE18</f>
        <v>2465.8405126871849</v>
      </c>
      <c r="CX47" s="98">
        <f>+BS!BF18</f>
        <v>2465.8405126871849</v>
      </c>
      <c r="CY47" s="48"/>
      <c r="CZ47" s="25"/>
      <c r="DA47" s="31"/>
    </row>
    <row r="48" spans="1:110" ht="17.100000000000001" customHeight="1">
      <c r="Z48" s="554"/>
      <c r="AA48" s="554"/>
      <c r="AB48" s="554"/>
      <c r="AC48" s="554"/>
      <c r="AD48" s="911"/>
      <c r="AE48" s="554"/>
      <c r="AF48" s="554"/>
      <c r="AG48" s="554"/>
      <c r="AH48" s="554"/>
      <c r="AI48" s="554"/>
      <c r="AJ48" s="554"/>
      <c r="AK48" s="554"/>
      <c r="AL48" s="554"/>
      <c r="AM48" s="554"/>
      <c r="AN48" s="554"/>
      <c r="AO48" s="554"/>
      <c r="AP48" s="554"/>
      <c r="BJ48" s="65"/>
      <c r="BK48" s="112"/>
      <c r="BL48" s="87"/>
      <c r="BM48" s="87"/>
      <c r="BN48" s="87"/>
      <c r="BO48" s="111"/>
      <c r="BP48" s="87"/>
      <c r="BQ48" s="87"/>
      <c r="BR48" s="87"/>
      <c r="BS48" s="111"/>
      <c r="BT48" s="87"/>
      <c r="BU48" s="87"/>
      <c r="BV48" s="87"/>
      <c r="BW48" s="111"/>
      <c r="BX48" s="87"/>
      <c r="BY48" s="87"/>
      <c r="BZ48" s="87"/>
      <c r="CA48" s="111"/>
      <c r="CB48" s="87"/>
      <c r="CC48" s="87"/>
      <c r="CD48" s="87"/>
      <c r="CE48" s="111"/>
      <c r="CF48" s="87"/>
      <c r="CG48" s="87"/>
      <c r="CH48" s="87"/>
      <c r="CI48" s="87"/>
      <c r="CJ48" s="87"/>
      <c r="CK48" s="87"/>
      <c r="CL48" s="87"/>
      <c r="CM48" s="87"/>
      <c r="CN48" s="87"/>
      <c r="CO48" s="87"/>
      <c r="CP48" s="87"/>
      <c r="CQ48" s="87"/>
      <c r="CR48" s="87"/>
      <c r="CS48" s="87"/>
      <c r="CT48" s="87"/>
      <c r="CU48" s="111"/>
      <c r="CV48" s="87"/>
      <c r="CW48" s="87"/>
      <c r="CX48" s="87"/>
      <c r="CY48" s="111"/>
      <c r="CZ48" s="25"/>
      <c r="DA48" s="32"/>
    </row>
    <row r="49" spans="1:105" ht="17.100000000000001" customHeight="1">
      <c r="B49" s="551" t="s">
        <v>61</v>
      </c>
      <c r="C49" s="95"/>
      <c r="D49" s="95"/>
      <c r="E49" s="95"/>
      <c r="F49" s="95"/>
      <c r="G49" s="95"/>
      <c r="H49" s="95"/>
      <c r="I49" s="95"/>
      <c r="J49" s="756" t="str">
        <f t="shared" ref="J49:AK49" si="44">+J41</f>
        <v>FY20</v>
      </c>
      <c r="K49" s="756">
        <f t="shared" si="44"/>
        <v>0</v>
      </c>
      <c r="L49" s="756">
        <f t="shared" si="44"/>
        <v>0</v>
      </c>
      <c r="M49" s="756">
        <f t="shared" si="44"/>
        <v>0</v>
      </c>
      <c r="N49" s="756" t="str">
        <f t="shared" si="44"/>
        <v>FY21</v>
      </c>
      <c r="O49" s="756">
        <f t="shared" si="44"/>
        <v>0</v>
      </c>
      <c r="P49" s="756" t="str">
        <f t="shared" si="44"/>
        <v>1H22</v>
      </c>
      <c r="Q49" s="756" t="str">
        <f t="shared" si="44"/>
        <v>2H22</v>
      </c>
      <c r="R49" s="756" t="str">
        <f t="shared" si="44"/>
        <v>FY22</v>
      </c>
      <c r="S49" s="756">
        <f t="shared" si="44"/>
        <v>0</v>
      </c>
      <c r="T49" s="825" t="str">
        <f t="shared" si="44"/>
        <v>1H23</v>
      </c>
      <c r="U49" s="825" t="str">
        <f t="shared" si="44"/>
        <v>2H23</v>
      </c>
      <c r="V49" s="756" t="str">
        <f t="shared" si="44"/>
        <v>FY23</v>
      </c>
      <c r="W49" s="756">
        <f t="shared" si="44"/>
        <v>0</v>
      </c>
      <c r="X49" s="846" t="str">
        <f t="shared" si="44"/>
        <v>1H24</v>
      </c>
      <c r="Y49" s="846" t="str">
        <f t="shared" si="44"/>
        <v>2H24</v>
      </c>
      <c r="Z49" s="756" t="str">
        <f t="shared" si="44"/>
        <v>FY24</v>
      </c>
      <c r="AA49" s="756">
        <f t="shared" si="44"/>
        <v>0</v>
      </c>
      <c r="AB49" s="846" t="str">
        <f t="shared" si="44"/>
        <v>1H25</v>
      </c>
      <c r="AC49" s="846" t="str">
        <f t="shared" si="44"/>
        <v>2H25</v>
      </c>
      <c r="AD49" s="756" t="str">
        <f t="shared" si="44"/>
        <v>FY25</v>
      </c>
      <c r="AE49" s="756">
        <f t="shared" si="44"/>
        <v>0</v>
      </c>
      <c r="AF49" s="846" t="str">
        <f t="shared" si="44"/>
        <v>1H26E</v>
      </c>
      <c r="AG49" s="846" t="str">
        <f t="shared" si="44"/>
        <v>2H26E</v>
      </c>
      <c r="AH49" s="756" t="str">
        <f t="shared" si="44"/>
        <v>FY26E</v>
      </c>
      <c r="AI49" s="910"/>
      <c r="AJ49" s="756" t="str">
        <f t="shared" si="44"/>
        <v>1H27E</v>
      </c>
      <c r="AK49" s="756" t="str">
        <f t="shared" si="44"/>
        <v>2H27E</v>
      </c>
      <c r="AL49" s="756" t="str">
        <f t="shared" ref="AL49:AP49" si="45">+AL41</f>
        <v>FY27E</v>
      </c>
      <c r="AM49" s="756">
        <f t="shared" si="45"/>
        <v>0</v>
      </c>
      <c r="AN49" s="756" t="str">
        <f t="shared" si="45"/>
        <v>1H28E</v>
      </c>
      <c r="AO49" s="756" t="str">
        <f t="shared" si="45"/>
        <v>2H28E</v>
      </c>
      <c r="AP49" s="756" t="str">
        <f t="shared" si="45"/>
        <v>FY28E</v>
      </c>
      <c r="AQ49" s="95"/>
      <c r="AR49" s="95"/>
      <c r="AS49" s="95"/>
      <c r="AT49" s="95"/>
      <c r="AU49" s="95"/>
      <c r="AV49" s="95"/>
      <c r="AW49" s="95"/>
      <c r="AX49" s="95"/>
      <c r="AY49" s="95"/>
      <c r="AZ49" s="95"/>
      <c r="BA49" s="95"/>
      <c r="BB49" s="95"/>
      <c r="BC49" s="95"/>
      <c r="BD49" s="95"/>
      <c r="BE49" s="95"/>
      <c r="BF49" s="95"/>
      <c r="BG49" s="95"/>
      <c r="BH49" s="95"/>
      <c r="BI49" s="102"/>
      <c r="BJ49" s="553" t="str">
        <f>+BS!B21</f>
        <v>Trade and other receivables</v>
      </c>
      <c r="BK49" s="104"/>
      <c r="BL49" s="87">
        <f>+BS!T21</f>
        <v>0.23499999999999999</v>
      </c>
      <c r="BM49" s="87">
        <f>+BS!U21</f>
        <v>0.318</v>
      </c>
      <c r="BN49" s="87">
        <f>+BS!V21</f>
        <v>0.318</v>
      </c>
      <c r="BO49" s="107"/>
      <c r="BP49" s="87">
        <f>+BS!X21</f>
        <v>4.7E-2</v>
      </c>
      <c r="BQ49" s="87">
        <f>+BS!Y21</f>
        <v>3.532</v>
      </c>
      <c r="BR49" s="87">
        <f>+BS!Z21</f>
        <v>3.532</v>
      </c>
      <c r="BS49" s="107"/>
      <c r="BT49" s="87">
        <f>+BS!AB21</f>
        <v>2.62</v>
      </c>
      <c r="BU49" s="87">
        <f>+BS!AC21</f>
        <v>0.73899999999999999</v>
      </c>
      <c r="BV49" s="87">
        <f>+BS!AD21</f>
        <v>0.73899999999999999</v>
      </c>
      <c r="BW49" s="107"/>
      <c r="BX49" s="87">
        <f>+BS!AF21</f>
        <v>4.234</v>
      </c>
      <c r="BY49" s="87">
        <f>+BS!AG21</f>
        <v>17.286000000000001</v>
      </c>
      <c r="BZ49" s="87">
        <f>+BS!AH21</f>
        <v>17.286000000000001</v>
      </c>
      <c r="CA49" s="107"/>
      <c r="CB49" s="87">
        <f>+BS!AJ21</f>
        <v>16.744</v>
      </c>
      <c r="CC49" s="87">
        <f>+BS!AK21</f>
        <v>14.56</v>
      </c>
      <c r="CD49" s="87">
        <f>+BS!AL21</f>
        <v>14.56</v>
      </c>
      <c r="CE49" s="107"/>
      <c r="CF49" s="87">
        <f>+BS!AN21</f>
        <v>4.6840000000000002</v>
      </c>
      <c r="CG49" s="87">
        <f>+BS!AO21</f>
        <v>9.9629999999999992</v>
      </c>
      <c r="CH49" s="87">
        <f>+BS!AP21</f>
        <v>9.9629999999999992</v>
      </c>
      <c r="CI49" s="87">
        <f>+BS!AQ21</f>
        <v>0</v>
      </c>
      <c r="CJ49" s="87">
        <f>+BS!AR21</f>
        <v>10.16226</v>
      </c>
      <c r="CK49" s="87">
        <f>+BS!AS21</f>
        <v>10.365505199999999</v>
      </c>
      <c r="CL49" s="87">
        <f>+BS!AT21</f>
        <v>10.365505199999999</v>
      </c>
      <c r="CM49" s="87">
        <f>+BS!AU21</f>
        <v>0</v>
      </c>
      <c r="CN49" s="87">
        <f>+BS!AV21</f>
        <v>10.572815303999999</v>
      </c>
      <c r="CO49" s="87">
        <f>+BS!AW21</f>
        <v>10.784271610079999</v>
      </c>
      <c r="CP49" s="87">
        <f>+BS!AX21</f>
        <v>10.784271610079999</v>
      </c>
      <c r="CQ49" s="87">
        <f>+BS!AY21</f>
        <v>0</v>
      </c>
      <c r="CR49" s="87">
        <f>+BS!AZ21</f>
        <v>10.999957042281599</v>
      </c>
      <c r="CS49" s="87">
        <f>+BS!BA21</f>
        <v>11.219956183127231</v>
      </c>
      <c r="CT49" s="87">
        <f>+BS!BB21</f>
        <v>11.219956183127231</v>
      </c>
      <c r="CU49" s="107"/>
      <c r="CV49" s="87">
        <f>+BS!BD21</f>
        <v>11.444355306789776</v>
      </c>
      <c r="CW49" s="87">
        <f>+BS!BE21</f>
        <v>11.673242412925571</v>
      </c>
      <c r="CX49" s="87">
        <f>+BS!BF21</f>
        <v>11.673242412925571</v>
      </c>
      <c r="CY49" s="107"/>
      <c r="CZ49" s="25"/>
      <c r="DA49" s="32"/>
    </row>
    <row r="50" spans="1:105" ht="17.100000000000001" customHeight="1">
      <c r="B50" s="86" t="str">
        <f>B8</f>
        <v>Australian Broking</v>
      </c>
      <c r="C50" s="87"/>
      <c r="D50" s="87"/>
      <c r="E50" s="87"/>
      <c r="F50" s="87"/>
      <c r="G50" s="87"/>
      <c r="H50" s="536">
        <f>H8/D8-1</f>
        <v>0</v>
      </c>
      <c r="I50" s="536">
        <f>I8/E8-1</f>
        <v>8.7230688386757516E-2</v>
      </c>
      <c r="J50" s="536">
        <f>J8/F8-1</f>
        <v>4.3880518107322075E-2</v>
      </c>
      <c r="K50" s="98"/>
      <c r="L50" s="536">
        <f>L8/H8-1</f>
        <v>9.3085106382978511E-2</v>
      </c>
      <c r="M50" s="536">
        <f>M8/I8-1</f>
        <v>8.1198646689221832E-2</v>
      </c>
      <c r="N50" s="536">
        <f>N8/J8-1</f>
        <v>8.6857432261332024E-2</v>
      </c>
      <c r="O50" s="536"/>
      <c r="P50" s="536">
        <f t="shared" ref="P50:R53" si="46">P8/L8-1</f>
        <v>6.5693430656934337E-2</v>
      </c>
      <c r="Q50" s="536">
        <f t="shared" si="46"/>
        <v>6.4818953956191416E-2</v>
      </c>
      <c r="R50" s="536">
        <f t="shared" si="46"/>
        <v>6.5237651444548073E-2</v>
      </c>
      <c r="S50" s="536"/>
      <c r="T50" s="536">
        <f t="shared" ref="T50:V53" si="47">T8/P8-1</f>
        <v>0.14018264840182648</v>
      </c>
      <c r="U50" s="536">
        <f t="shared" si="47"/>
        <v>0.13341729638958855</v>
      </c>
      <c r="V50" s="536">
        <f t="shared" si="47"/>
        <v>0.13665791776028002</v>
      </c>
      <c r="W50" s="536"/>
      <c r="X50" s="536">
        <f t="shared" ref="X50:Z54" si="48">X8/T8-1</f>
        <v>0.10052062474969969</v>
      </c>
      <c r="Y50" s="536">
        <f t="shared" si="48"/>
        <v>6.9964441810504541E-2</v>
      </c>
      <c r="Z50" s="536">
        <f t="shared" si="48"/>
        <v>8.4646320812807652E-2</v>
      </c>
      <c r="AA50" s="536"/>
      <c r="AB50" s="536">
        <f t="shared" ref="AB50:AD53" si="49">AB8/X8-1</f>
        <v>0.10116448326055316</v>
      </c>
      <c r="AC50" s="536">
        <f t="shared" si="49"/>
        <v>6.7958140195036876E-2</v>
      </c>
      <c r="AD50" s="536">
        <f t="shared" si="49"/>
        <v>8.4146901816491759E-2</v>
      </c>
      <c r="AE50" s="536" t="e">
        <f t="shared" ref="AE50:AE54" si="50">AE8/AA8-1</f>
        <v>#DIV/0!</v>
      </c>
      <c r="AF50" s="536">
        <f t="shared" ref="AF50:AF54" si="51">AF8/AB8-1</f>
        <v>3.9203063450099052E-2</v>
      </c>
      <c r="AG50" s="536">
        <f t="shared" ref="AG50:AG54" si="52">AG8/AC8-1</f>
        <v>3.276858681445094E-2</v>
      </c>
      <c r="AH50" s="536">
        <f t="shared" ref="AH50:AH54" si="53">AH8/AD8-1</f>
        <v>3.595476359394234E-2</v>
      </c>
      <c r="AI50" s="536" t="e">
        <f t="shared" ref="AI50:AI54" si="54">AI8/AE8-1</f>
        <v>#DIV/0!</v>
      </c>
      <c r="AJ50" s="536">
        <f t="shared" ref="AJ50:AJ54" si="55">AJ8/AF8-1</f>
        <v>3.1412165671095726E-2</v>
      </c>
      <c r="AK50" s="536">
        <f t="shared" ref="AK50:AK54" si="56">AK8/AG8-1</f>
        <v>3.3238993610941625E-2</v>
      </c>
      <c r="AL50" s="536">
        <f t="shared" ref="AL50:AL54" si="57">AL8/AH8-1</f>
        <v>3.2331561984142665E-2</v>
      </c>
      <c r="AM50" s="536" t="e">
        <f t="shared" ref="AM50:AM54" si="58">AM8/AI8-1</f>
        <v>#DIV/0!</v>
      </c>
      <c r="AN50" s="536">
        <f t="shared" ref="AN50:AN54" si="59">AN8/AJ8-1</f>
        <v>3.1903098062716628E-2</v>
      </c>
      <c r="AO50" s="536">
        <f t="shared" ref="AO50:AO54" si="60">AO8/AK8-1</f>
        <v>3.3715500136002774E-2</v>
      </c>
      <c r="AP50" s="536">
        <f t="shared" ref="AP50:AP54" si="61">AP8/AL8-1</f>
        <v>3.281603598029581E-2</v>
      </c>
      <c r="AQ50" s="536"/>
      <c r="AR50" s="536">
        <f t="shared" ref="AR50:AT53" si="62">AR8/AN8-1</f>
        <v>3.2245404617789353E-2</v>
      </c>
      <c r="AS50" s="536">
        <f t="shared" si="62"/>
        <v>3.4039999666637621E-2</v>
      </c>
      <c r="AT50" s="536">
        <f t="shared" si="62"/>
        <v>3.3150160085148261E-2</v>
      </c>
      <c r="AU50" s="536"/>
      <c r="AV50" s="536">
        <f t="shared" ref="AV50:AX53" si="63">AV8/AR8-1</f>
        <v>3.2585410311578356E-2</v>
      </c>
      <c r="AW50" s="536">
        <f t="shared" si="63"/>
        <v>3.4361566163092938E-2</v>
      </c>
      <c r="AX50" s="536">
        <f t="shared" si="63"/>
        <v>3.3481640799093215E-2</v>
      </c>
      <c r="AY50" s="536"/>
      <c r="AZ50" s="536">
        <f t="shared" ref="AZ50:BB53" si="64">AZ8/AV8-1</f>
        <v>3.2922965724368369E-2</v>
      </c>
      <c r="BA50" s="536">
        <f t="shared" si="64"/>
        <v>3.4680078607501441E-2</v>
      </c>
      <c r="BB50" s="536">
        <f t="shared" si="64"/>
        <v>3.3810342206407329E-2</v>
      </c>
      <c r="BC50" s="536"/>
      <c r="BD50" s="536">
        <f t="shared" ref="BD50:BF53" si="65">BD8/AZ8-1</f>
        <v>3.3257925794136778E-2</v>
      </c>
      <c r="BE50" s="536">
        <f t="shared" si="65"/>
        <v>3.4995421170960439E-2</v>
      </c>
      <c r="BF50" s="536">
        <f t="shared" si="65"/>
        <v>3.413613325846887E-2</v>
      </c>
      <c r="BG50" s="536"/>
      <c r="BH50" s="536"/>
      <c r="BI50" s="102"/>
      <c r="BJ50" s="553" t="str">
        <f>+BS!B22</f>
        <v>Investment in associates</v>
      </c>
      <c r="BK50" s="104"/>
      <c r="BL50" s="87">
        <f>+BS!T22</f>
        <v>127.371</v>
      </c>
      <c r="BM50" s="87">
        <f>+BS!U22</f>
        <v>271.041</v>
      </c>
      <c r="BN50" s="87">
        <f>+BS!V22</f>
        <v>271.041</v>
      </c>
      <c r="BO50" s="107"/>
      <c r="BP50" s="87">
        <f>+BS!X22</f>
        <v>267.33100000000002</v>
      </c>
      <c r="BQ50" s="87">
        <f>+BS!Y22</f>
        <v>280.64299999999997</v>
      </c>
      <c r="BR50" s="87">
        <f>+BS!Z22</f>
        <v>280.64299999999997</v>
      </c>
      <c r="BS50" s="107"/>
      <c r="BT50" s="87">
        <f>+BS!AB22</f>
        <v>275.59899999999999</v>
      </c>
      <c r="BU50" s="87">
        <f>+BS!AC22</f>
        <v>250.1</v>
      </c>
      <c r="BV50" s="87">
        <f>+BS!AD22</f>
        <v>250.1</v>
      </c>
      <c r="BW50" s="107"/>
      <c r="BX50" s="87">
        <f>+BS!AF22</f>
        <v>249.798</v>
      </c>
      <c r="BY50" s="87">
        <f>+BS!AG22</f>
        <v>238.52600000000001</v>
      </c>
      <c r="BZ50" s="87">
        <f>+BS!AH22</f>
        <v>238.52600000000001</v>
      </c>
      <c r="CA50" s="107"/>
      <c r="CB50" s="87">
        <f>+BS!AJ22</f>
        <v>248.78399999999999</v>
      </c>
      <c r="CC50" s="87">
        <f>+BS!AK22</f>
        <v>250.911</v>
      </c>
      <c r="CD50" s="87">
        <f>+BS!AL22</f>
        <v>250.911</v>
      </c>
      <c r="CE50" s="107"/>
      <c r="CF50" s="87">
        <f>+BS!AN22</f>
        <v>313.18900000000002</v>
      </c>
      <c r="CG50" s="87">
        <f>+BS!AO22</f>
        <v>301.85500000000002</v>
      </c>
      <c r="CH50" s="87">
        <f>+BS!AP22</f>
        <v>301.85500000000002</v>
      </c>
      <c r="CI50" s="87">
        <f>+BS!AQ22</f>
        <v>0</v>
      </c>
      <c r="CJ50" s="87">
        <f>+BS!AR22</f>
        <v>287.92805626774401</v>
      </c>
      <c r="CK50" s="87">
        <f>+BS!AS22</f>
        <v>273.88372249999998</v>
      </c>
      <c r="CL50" s="87">
        <f>+BS!AT22</f>
        <v>273.88372249999998</v>
      </c>
      <c r="CM50" s="87">
        <f>+BS!AU22</f>
        <v>0</v>
      </c>
      <c r="CN50" s="87">
        <f>+BS!AV22</f>
        <v>259.97882506916352</v>
      </c>
      <c r="CO50" s="87">
        <f>+BS!AW22</f>
        <v>245.84000229999998</v>
      </c>
      <c r="CP50" s="87">
        <f>+BS!AX22</f>
        <v>245.84000229999998</v>
      </c>
      <c r="CQ50" s="87">
        <f>+BS!AY22</f>
        <v>0</v>
      </c>
      <c r="CR50" s="87">
        <f>+BS!AZ22</f>
        <v>231.86915192869657</v>
      </c>
      <c r="CS50" s="87">
        <f>+BS!BA22</f>
        <v>217.64566219199997</v>
      </c>
      <c r="CT50" s="87">
        <f>+BS!BB22</f>
        <v>217.64566219199997</v>
      </c>
      <c r="CU50" s="107"/>
      <c r="CV50" s="87">
        <f>+BS!BD22</f>
        <v>203.62131142207232</v>
      </c>
      <c r="CW50" s="87">
        <f>+BS!BE22</f>
        <v>189.32411013751999</v>
      </c>
      <c r="CX50" s="87">
        <f>+BS!BF22</f>
        <v>189.32411013751999</v>
      </c>
      <c r="CY50" s="107"/>
      <c r="CZ50" s="25"/>
      <c r="DA50" s="29"/>
    </row>
    <row r="51" spans="1:105" ht="17.100000000000001" customHeight="1">
      <c r="B51" s="86" t="str">
        <f>B9</f>
        <v>BIZCOVER</v>
      </c>
      <c r="C51" s="87"/>
      <c r="D51" s="87"/>
      <c r="E51" s="87"/>
      <c r="F51" s="87"/>
      <c r="G51" s="87"/>
      <c r="H51" s="536"/>
      <c r="I51" s="536"/>
      <c r="J51" s="536"/>
      <c r="K51" s="98"/>
      <c r="L51" s="536"/>
      <c r="M51" s="536">
        <f t="shared" ref="M51:N53" si="66">M9/I9-1</f>
        <v>0.57142857142857162</v>
      </c>
      <c r="N51" s="536">
        <f t="shared" si="66"/>
        <v>1.9948979591836733</v>
      </c>
      <c r="O51" s="536"/>
      <c r="P51" s="536">
        <f t="shared" si="46"/>
        <v>0.19354838709677424</v>
      </c>
      <c r="Q51" s="536">
        <f t="shared" si="46"/>
        <v>0.18279220779220795</v>
      </c>
      <c r="R51" s="536">
        <f t="shared" si="46"/>
        <v>0.18790459965928452</v>
      </c>
      <c r="S51" s="536"/>
      <c r="T51" s="536">
        <f t="shared" si="47"/>
        <v>0.12912912912912922</v>
      </c>
      <c r="U51" s="536">
        <f t="shared" si="47"/>
        <v>0.16522097172659889</v>
      </c>
      <c r="V51" s="536">
        <f t="shared" si="47"/>
        <v>0.14798508532912669</v>
      </c>
      <c r="W51" s="536"/>
      <c r="X51" s="536">
        <f t="shared" si="48"/>
        <v>0.14627659574468077</v>
      </c>
      <c r="Y51" s="536">
        <f t="shared" si="48"/>
        <v>0.1524417536337721</v>
      </c>
      <c r="Z51" s="536">
        <f t="shared" si="48"/>
        <v>0.14954590313433003</v>
      </c>
      <c r="AA51" s="536"/>
      <c r="AB51" s="536">
        <f t="shared" si="49"/>
        <v>0.16473317865429227</v>
      </c>
      <c r="AC51" s="536">
        <f t="shared" si="49"/>
        <v>0.1365494685200328</v>
      </c>
      <c r="AD51" s="536">
        <f t="shared" si="49"/>
        <v>0.14975005433601396</v>
      </c>
      <c r="AE51" s="536" t="e">
        <f t="shared" si="50"/>
        <v>#DIV/0!</v>
      </c>
      <c r="AF51" s="536">
        <f t="shared" si="51"/>
        <v>0.10000000000000009</v>
      </c>
      <c r="AG51" s="536">
        <f t="shared" si="52"/>
        <v>0.10000000000000009</v>
      </c>
      <c r="AH51" s="536">
        <f t="shared" si="53"/>
        <v>0.10000000000000009</v>
      </c>
      <c r="AI51" s="536" t="e">
        <f t="shared" si="54"/>
        <v>#DIV/0!</v>
      </c>
      <c r="AJ51" s="536">
        <f t="shared" si="55"/>
        <v>0.10000000000000009</v>
      </c>
      <c r="AK51" s="536">
        <f t="shared" si="56"/>
        <v>0.10000000000000009</v>
      </c>
      <c r="AL51" s="536">
        <f t="shared" si="57"/>
        <v>0.10000000000000009</v>
      </c>
      <c r="AM51" s="536" t="e">
        <f t="shared" si="58"/>
        <v>#DIV/0!</v>
      </c>
      <c r="AN51" s="536">
        <f t="shared" si="59"/>
        <v>0.10000000000000009</v>
      </c>
      <c r="AO51" s="536">
        <f t="shared" si="60"/>
        <v>0.10000000000000009</v>
      </c>
      <c r="AP51" s="536">
        <f t="shared" si="61"/>
        <v>0.10000000000000031</v>
      </c>
      <c r="AQ51" s="536"/>
      <c r="AR51" s="536">
        <f t="shared" si="62"/>
        <v>6.0000000000000053E-2</v>
      </c>
      <c r="AS51" s="536">
        <f t="shared" si="62"/>
        <v>6.0000000000000053E-2</v>
      </c>
      <c r="AT51" s="536">
        <f t="shared" si="62"/>
        <v>5.9999999999999831E-2</v>
      </c>
      <c r="AU51" s="536"/>
      <c r="AV51" s="536">
        <f t="shared" si="63"/>
        <v>6.0000000000000053E-2</v>
      </c>
      <c r="AW51" s="536">
        <f t="shared" si="63"/>
        <v>6.0000000000000053E-2</v>
      </c>
      <c r="AX51" s="536">
        <f t="shared" si="63"/>
        <v>6.0000000000000053E-2</v>
      </c>
      <c r="AY51" s="536"/>
      <c r="AZ51" s="536">
        <f t="shared" si="64"/>
        <v>6.0000000000000053E-2</v>
      </c>
      <c r="BA51" s="536">
        <f t="shared" si="64"/>
        <v>6.0000000000000053E-2</v>
      </c>
      <c r="BB51" s="536">
        <f t="shared" si="64"/>
        <v>6.0000000000000053E-2</v>
      </c>
      <c r="BC51" s="536"/>
      <c r="BD51" s="536">
        <f t="shared" si="65"/>
        <v>6.0000000000000053E-2</v>
      </c>
      <c r="BE51" s="536">
        <f t="shared" si="65"/>
        <v>6.0000000000000053E-2</v>
      </c>
      <c r="BF51" s="536">
        <f t="shared" si="65"/>
        <v>6.0000000000000053E-2</v>
      </c>
      <c r="BG51" s="536"/>
      <c r="BH51" s="536"/>
      <c r="BI51" s="102"/>
      <c r="BJ51" s="553" t="str">
        <f>+BS!B23</f>
        <v>Property, plant and equipment</v>
      </c>
      <c r="BK51" s="104"/>
      <c r="BL51" s="87">
        <f>+BS!T23</f>
        <v>14.029</v>
      </c>
      <c r="BM51" s="87">
        <f>+BS!U23</f>
        <v>11.676</v>
      </c>
      <c r="BN51" s="87">
        <f>+BS!V23</f>
        <v>11.676</v>
      </c>
      <c r="BO51" s="107"/>
      <c r="BP51" s="87">
        <f>+BS!X23</f>
        <v>11.994</v>
      </c>
      <c r="BQ51" s="87">
        <f>+BS!Y23</f>
        <v>7.5339999999999998</v>
      </c>
      <c r="BR51" s="87">
        <f>+BS!Z23</f>
        <v>7.5339999999999998</v>
      </c>
      <c r="BS51" s="107"/>
      <c r="BT51" s="87">
        <f>+BS!AB23</f>
        <v>6.8979999999999997</v>
      </c>
      <c r="BU51" s="87">
        <f>+BS!AC23</f>
        <v>6.3470000000000004</v>
      </c>
      <c r="BV51" s="87">
        <f>+BS!AD23</f>
        <v>6.3470000000000004</v>
      </c>
      <c r="BW51" s="107"/>
      <c r="BX51" s="87">
        <f>+BS!AF23</f>
        <v>15.385</v>
      </c>
      <c r="BY51" s="87">
        <f>+BS!AG23</f>
        <v>12.885</v>
      </c>
      <c r="BZ51" s="87">
        <f>+BS!AH23</f>
        <v>12.885</v>
      </c>
      <c r="CA51" s="107"/>
      <c r="CB51" s="87">
        <f>+BS!AJ23</f>
        <v>12.484</v>
      </c>
      <c r="CC51" s="87">
        <f>+BS!AK23</f>
        <v>11.598000000000001</v>
      </c>
      <c r="CD51" s="87">
        <f>+BS!AL23</f>
        <v>11.598000000000001</v>
      </c>
      <c r="CE51" s="107"/>
      <c r="CF51" s="87">
        <f>+BS!AN23</f>
        <v>12.519</v>
      </c>
      <c r="CG51" s="87">
        <f>+BS!AO23</f>
        <v>12.811999999999999</v>
      </c>
      <c r="CH51" s="87">
        <f>+BS!AP23</f>
        <v>12.811999999999999</v>
      </c>
      <c r="CI51" s="87">
        <f>+BS!AQ23</f>
        <v>0</v>
      </c>
      <c r="CJ51" s="87">
        <f>+BS!AR23</f>
        <v>13.068239999999999</v>
      </c>
      <c r="CK51" s="87">
        <f>+BS!AS23</f>
        <v>13.3296048</v>
      </c>
      <c r="CL51" s="87">
        <f>+BS!AT23</f>
        <v>13.3296048</v>
      </c>
      <c r="CM51" s="87">
        <f>+BS!AU23</f>
        <v>0</v>
      </c>
      <c r="CN51" s="87">
        <f>+BS!AV23</f>
        <v>13.596196896</v>
      </c>
      <c r="CO51" s="87">
        <f>+BS!AW23</f>
        <v>13.868120833920001</v>
      </c>
      <c r="CP51" s="87">
        <f>+BS!AX23</f>
        <v>13.868120833920001</v>
      </c>
      <c r="CQ51" s="87">
        <f>+BS!AY23</f>
        <v>0</v>
      </c>
      <c r="CR51" s="87">
        <f>+BS!AZ23</f>
        <v>14.145483250598401</v>
      </c>
      <c r="CS51" s="87">
        <f>+BS!BA23</f>
        <v>14.42839291561037</v>
      </c>
      <c r="CT51" s="87">
        <f>+BS!BB23</f>
        <v>14.42839291561037</v>
      </c>
      <c r="CU51" s="107"/>
      <c r="CV51" s="87">
        <f>+BS!BD23</f>
        <v>14.716960773922578</v>
      </c>
      <c r="CW51" s="87">
        <f>+BS!BE23</f>
        <v>15.01129998940103</v>
      </c>
      <c r="CX51" s="87">
        <f>+BS!BF23</f>
        <v>15.01129998940103</v>
      </c>
      <c r="CY51" s="107"/>
      <c r="CZ51" s="25"/>
      <c r="DA51" s="29"/>
    </row>
    <row r="52" spans="1:105" ht="17.100000000000001" customHeight="1">
      <c r="B52" s="86" t="str">
        <f>B10</f>
        <v>Agencies</v>
      </c>
      <c r="C52" s="87"/>
      <c r="D52" s="87"/>
      <c r="E52" s="87"/>
      <c r="F52" s="87"/>
      <c r="G52" s="87"/>
      <c r="H52" s="536">
        <f t="shared" ref="H52:J53" si="67">H10/D10-1</f>
        <v>1.7421602787456525E-2</v>
      </c>
      <c r="I52" s="536">
        <f t="shared" si="67"/>
        <v>-7.9510703363914415E-2</v>
      </c>
      <c r="J52" s="536">
        <f t="shared" si="67"/>
        <v>-3.4201954397394152E-2</v>
      </c>
      <c r="K52" s="87"/>
      <c r="L52" s="536">
        <f>L10/H10-1</f>
        <v>3.4246575342467001E-3</v>
      </c>
      <c r="M52" s="536">
        <f t="shared" si="66"/>
        <v>0.46843853820598014</v>
      </c>
      <c r="N52" s="536">
        <f t="shared" si="66"/>
        <v>0.239460370994941</v>
      </c>
      <c r="O52" s="536"/>
      <c r="P52" s="536">
        <f t="shared" si="46"/>
        <v>0.58020477815699656</v>
      </c>
      <c r="Q52" s="536">
        <f t="shared" si="46"/>
        <v>0.29751131221719462</v>
      </c>
      <c r="R52" s="536">
        <f t="shared" si="46"/>
        <v>0.41020408163265309</v>
      </c>
      <c r="S52" s="536"/>
      <c r="T52" s="536">
        <f t="shared" si="47"/>
        <v>0.25701943844492448</v>
      </c>
      <c r="U52" s="536">
        <f t="shared" si="47"/>
        <v>0.41412380122057546</v>
      </c>
      <c r="V52" s="536">
        <f t="shared" si="47"/>
        <v>0.34394597202122501</v>
      </c>
      <c r="W52" s="536"/>
      <c r="X52" s="536">
        <f t="shared" si="48"/>
        <v>0.45360824742268058</v>
      </c>
      <c r="Y52" s="536">
        <f t="shared" si="48"/>
        <v>0.12970406905055487</v>
      </c>
      <c r="Z52" s="536">
        <f t="shared" si="48"/>
        <v>0.26503230437903835</v>
      </c>
      <c r="AA52" s="536"/>
      <c r="AB52" s="536">
        <f t="shared" si="49"/>
        <v>0.26004728132387678</v>
      </c>
      <c r="AC52" s="536">
        <f t="shared" si="49"/>
        <v>0.24319191434091159</v>
      </c>
      <c r="AD52" s="536">
        <f t="shared" si="49"/>
        <v>0.2512839137663927</v>
      </c>
      <c r="AE52" s="536" t="e">
        <f t="shared" si="50"/>
        <v>#DIV/0!</v>
      </c>
      <c r="AF52" s="536">
        <f t="shared" si="51"/>
        <v>7.141643631942296E-2</v>
      </c>
      <c r="AG52" s="536">
        <f t="shared" si="52"/>
        <v>6.9360371517027897E-2</v>
      </c>
      <c r="AH52" s="536">
        <f t="shared" si="53"/>
        <v>7.0354369285442031E-2</v>
      </c>
      <c r="AI52" s="536" t="e">
        <f t="shared" si="54"/>
        <v>#DIV/0!</v>
      </c>
      <c r="AJ52" s="536">
        <f t="shared" si="55"/>
        <v>5.5924697686188019E-2</v>
      </c>
      <c r="AK52" s="536">
        <f t="shared" si="56"/>
        <v>6.1436879788036469E-2</v>
      </c>
      <c r="AL52" s="536">
        <f t="shared" si="57"/>
        <v>5.8769389261402294E-2</v>
      </c>
      <c r="AM52" s="536" t="e">
        <f t="shared" si="58"/>
        <v>#DIV/0!</v>
      </c>
      <c r="AN52" s="536">
        <f t="shared" si="59"/>
        <v>3.9637698558244061E-2</v>
      </c>
      <c r="AO52" s="536">
        <f t="shared" si="60"/>
        <v>4.4209177501858932E-2</v>
      </c>
      <c r="AP52" s="536">
        <f t="shared" si="61"/>
        <v>4.2002861960395599E-2</v>
      </c>
      <c r="AQ52" s="536"/>
      <c r="AR52" s="536">
        <f t="shared" si="62"/>
        <v>2.2609324022468069E-2</v>
      </c>
      <c r="AS52" s="536">
        <f t="shared" si="62"/>
        <v>2.6396923017544704E-2</v>
      </c>
      <c r="AT52" s="536">
        <f t="shared" si="62"/>
        <v>2.4573077708525792E-2</v>
      </c>
      <c r="AU52" s="536"/>
      <c r="AV52" s="536">
        <f t="shared" si="63"/>
        <v>2.2749162994857963E-2</v>
      </c>
      <c r="AW52" s="536">
        <f t="shared" si="63"/>
        <v>2.6548676448271857E-2</v>
      </c>
      <c r="AX52" s="536">
        <f t="shared" si="63"/>
        <v>2.4722600640878056E-2</v>
      </c>
      <c r="AY52" s="536"/>
      <c r="AZ52" s="536">
        <f t="shared" si="64"/>
        <v>2.2888874384549673E-2</v>
      </c>
      <c r="BA52" s="536">
        <f t="shared" si="64"/>
        <v>2.6699728115338717E-2</v>
      </c>
      <c r="BB52" s="536">
        <f t="shared" si="64"/>
        <v>2.4871729283014288E-2</v>
      </c>
      <c r="BC52" s="536"/>
      <c r="BD52" s="536">
        <f t="shared" si="65"/>
        <v>2.3028452409570743E-2</v>
      </c>
      <c r="BE52" s="536">
        <f t="shared" si="65"/>
        <v>2.6850063846712624E-2</v>
      </c>
      <c r="BF52" s="536">
        <f t="shared" si="65"/>
        <v>2.5020451410315836E-2</v>
      </c>
      <c r="BG52" s="536"/>
      <c r="BH52" s="536"/>
      <c r="BI52" s="102"/>
      <c r="BJ52" s="553" t="str">
        <f>+BS!B24</f>
        <v>Intangible assets and goodwill</v>
      </c>
      <c r="BK52" s="104"/>
      <c r="BL52" s="87">
        <f>+BS!T24</f>
        <v>395.73899999999998</v>
      </c>
      <c r="BM52" s="87">
        <f>+BS!U24</f>
        <v>382.99599999999998</v>
      </c>
      <c r="BN52" s="87">
        <f>+BS!V24</f>
        <v>382.99599999999998</v>
      </c>
      <c r="BO52" s="107"/>
      <c r="BP52" s="87">
        <f>+BS!X24</f>
        <v>510.73500000000001</v>
      </c>
      <c r="BQ52" s="87">
        <f>+BS!Y24</f>
        <v>469.67700000000002</v>
      </c>
      <c r="BR52" s="87">
        <f>+BS!Z24</f>
        <v>469.67700000000002</v>
      </c>
      <c r="BS52" s="107"/>
      <c r="BT52" s="87">
        <f>+BS!AB24</f>
        <v>514.83600000000001</v>
      </c>
      <c r="BU52" s="87">
        <f>+BS!AC24</f>
        <v>622.51</v>
      </c>
      <c r="BV52" s="87">
        <f>+BS!AD24</f>
        <v>622.51</v>
      </c>
      <c r="BW52" s="107"/>
      <c r="BX52" s="87">
        <f>+BS!AF24</f>
        <v>1806.8510000000001</v>
      </c>
      <c r="BY52" s="87">
        <f>+BS!AG24</f>
        <v>1956.8409999999999</v>
      </c>
      <c r="BZ52" s="87">
        <f>+BS!AH24</f>
        <v>1956.8409999999999</v>
      </c>
      <c r="CA52" s="107"/>
      <c r="CB52" s="87">
        <f>+BS!AJ24</f>
        <v>2005.4269999999999</v>
      </c>
      <c r="CC52" s="87">
        <f>+BS!AK24</f>
        <v>2042.894</v>
      </c>
      <c r="CD52" s="87">
        <f>+BS!AL24</f>
        <v>2042.894</v>
      </c>
      <c r="CE52" s="107"/>
      <c r="CF52" s="87">
        <f>+BS!AN24</f>
        <v>2462.299</v>
      </c>
      <c r="CG52" s="87">
        <f>+BS!AO24</f>
        <v>2601.65</v>
      </c>
      <c r="CH52" s="87">
        <f>+BS!AP24</f>
        <v>2601.65</v>
      </c>
      <c r="CI52" s="87">
        <f>+BS!AQ24</f>
        <v>0</v>
      </c>
      <c r="CJ52" s="87">
        <f>+BS!AR24</f>
        <v>2546.3255974000003</v>
      </c>
      <c r="CK52" s="87">
        <f>+BS!AS24</f>
        <v>2482.3110900000001</v>
      </c>
      <c r="CL52" s="87">
        <f>+BS!AT24</f>
        <v>2482.3110900000001</v>
      </c>
      <c r="CM52" s="87">
        <f>+BS!AU24</f>
        <v>0</v>
      </c>
      <c r="CN52" s="87">
        <f>+BS!AV24</f>
        <v>2428.0449003822505</v>
      </c>
      <c r="CO52" s="87">
        <f>+BS!AW24</f>
        <v>2371.9514197250001</v>
      </c>
      <c r="CP52" s="87">
        <f>+BS!AX24</f>
        <v>2371.9514197250005</v>
      </c>
      <c r="CQ52" s="87">
        <f>+BS!AY24</f>
        <v>0</v>
      </c>
      <c r="CR52" s="87">
        <f>+BS!AZ24</f>
        <v>2324.7911668491879</v>
      </c>
      <c r="CS52" s="87">
        <f>+BS!BA24</f>
        <v>2276.1014142777503</v>
      </c>
      <c r="CT52" s="87">
        <f>+BS!BB24</f>
        <v>2276.1014142777499</v>
      </c>
      <c r="CU52" s="107"/>
      <c r="CV52" s="87">
        <f>+BS!BD24</f>
        <v>2234.8100305878847</v>
      </c>
      <c r="CW52" s="87">
        <f>+BS!BE24</f>
        <v>2192.2366010551527</v>
      </c>
      <c r="CX52" s="87">
        <f>+BS!BF24</f>
        <v>2192.2366010551532</v>
      </c>
      <c r="CY52" s="107"/>
      <c r="CZ52" s="25"/>
      <c r="DA52" s="29"/>
    </row>
    <row r="53" spans="1:105" s="1" customFormat="1" ht="17.100000000000001" customHeight="1">
      <c r="B53" s="86" t="str">
        <f>B11</f>
        <v>New Zealand Broking</v>
      </c>
      <c r="C53" s="87"/>
      <c r="D53" s="98"/>
      <c r="E53" s="98"/>
      <c r="F53" s="98"/>
      <c r="G53" s="87"/>
      <c r="H53" s="536">
        <f t="shared" si="67"/>
        <v>0.22869955156950672</v>
      </c>
      <c r="I53" s="536">
        <f t="shared" si="67"/>
        <v>9.5070422535211474E-2</v>
      </c>
      <c r="J53" s="536">
        <f t="shared" si="67"/>
        <v>0.15384615384615374</v>
      </c>
      <c r="K53" s="101"/>
      <c r="L53" s="536">
        <f>L11/H11-1</f>
        <v>-3.6496350364964014E-3</v>
      </c>
      <c r="M53" s="536">
        <f t="shared" si="66"/>
        <v>6.4308681672025081E-3</v>
      </c>
      <c r="N53" s="536">
        <f t="shared" si="66"/>
        <v>1.7094017094019254E-3</v>
      </c>
      <c r="O53" s="536"/>
      <c r="P53" s="536">
        <f t="shared" si="46"/>
        <v>5.1282051282051322E-2</v>
      </c>
      <c r="Q53" s="536">
        <f t="shared" si="46"/>
        <v>-3.514376996805102E-2</v>
      </c>
      <c r="R53" s="536">
        <f t="shared" si="46"/>
        <v>5.1194539249146409E-3</v>
      </c>
      <c r="S53" s="536"/>
      <c r="T53" s="536">
        <f t="shared" si="47"/>
        <v>3.8327526132404088E-2</v>
      </c>
      <c r="U53" s="536">
        <f t="shared" si="47"/>
        <v>0.35430463576158955</v>
      </c>
      <c r="V53" s="536">
        <f t="shared" si="47"/>
        <v>0.20033955857385388</v>
      </c>
      <c r="W53" s="536"/>
      <c r="X53" s="536">
        <f t="shared" si="48"/>
        <v>0.36912751677852329</v>
      </c>
      <c r="Y53" s="536">
        <f t="shared" si="48"/>
        <v>0.1716870415647922</v>
      </c>
      <c r="Z53" s="536">
        <f t="shared" si="48"/>
        <v>0.25521923620933573</v>
      </c>
      <c r="AA53" s="536"/>
      <c r="AB53" s="536">
        <f t="shared" si="49"/>
        <v>0.18872549019607843</v>
      </c>
      <c r="AC53" s="536">
        <f t="shared" si="49"/>
        <v>3.0841784566587149E-2</v>
      </c>
      <c r="AD53" s="536">
        <f t="shared" si="49"/>
        <v>0.10342107635445741</v>
      </c>
      <c r="AE53" s="536" t="e">
        <f t="shared" si="50"/>
        <v>#DIV/0!</v>
      </c>
      <c r="AF53" s="536">
        <f t="shared" si="51"/>
        <v>8.9146884475439725E-2</v>
      </c>
      <c r="AG53" s="536">
        <f t="shared" si="52"/>
        <v>6.0939314632735719E-2</v>
      </c>
      <c r="AH53" s="536">
        <f t="shared" si="53"/>
        <v>7.467194338265104E-2</v>
      </c>
      <c r="AI53" s="536" t="e">
        <f t="shared" si="54"/>
        <v>#DIV/0!</v>
      </c>
      <c r="AJ53" s="536">
        <f t="shared" si="55"/>
        <v>3.9180791242201529E-2</v>
      </c>
      <c r="AK53" s="536">
        <f t="shared" si="56"/>
        <v>4.0877106030146493E-2</v>
      </c>
      <c r="AL53" s="536">
        <f t="shared" si="57"/>
        <v>4.0025618182143452E-2</v>
      </c>
      <c r="AM53" s="536" t="e">
        <f t="shared" si="58"/>
        <v>#DIV/0!</v>
      </c>
      <c r="AN53" s="536">
        <f t="shared" si="59"/>
        <v>3.9557769155090572E-2</v>
      </c>
      <c r="AO53" s="536">
        <f t="shared" si="60"/>
        <v>4.120299071486877E-2</v>
      </c>
      <c r="AP53" s="536">
        <f t="shared" si="61"/>
        <v>4.0377820636469552E-2</v>
      </c>
      <c r="AQ53" s="536"/>
      <c r="AR53" s="536">
        <f t="shared" si="62"/>
        <v>3.9848853901811143E-2</v>
      </c>
      <c r="AS53" s="536">
        <f t="shared" si="62"/>
        <v>4.1447272688139858E-2</v>
      </c>
      <c r="AT53" s="536">
        <f t="shared" si="62"/>
        <v>4.064620871911595E-2</v>
      </c>
      <c r="AU53" s="536"/>
      <c r="AV53" s="536">
        <f t="shared" si="63"/>
        <v>4.0133624095666676E-2</v>
      </c>
      <c r="AW53" s="536">
        <f t="shared" si="63"/>
        <v>4.168595295891997E-2</v>
      </c>
      <c r="AX53" s="536">
        <f t="shared" si="63"/>
        <v>4.0908583513499241E-2</v>
      </c>
      <c r="AY53" s="536"/>
      <c r="AZ53" s="536">
        <f t="shared" si="64"/>
        <v>4.0412096857598279E-2</v>
      </c>
      <c r="BA53" s="536">
        <f t="shared" si="64"/>
        <v>4.1919080648244567E-2</v>
      </c>
      <c r="BB53" s="536">
        <f t="shared" si="64"/>
        <v>4.1164980786582372E-2</v>
      </c>
      <c r="BC53" s="536"/>
      <c r="BD53" s="536">
        <f t="shared" si="65"/>
        <v>4.0684297490371391E-2</v>
      </c>
      <c r="BE53" s="536">
        <f t="shared" si="65"/>
        <v>4.2146709750739975E-2</v>
      </c>
      <c r="BF53" s="536">
        <f t="shared" si="65"/>
        <v>4.1415442809916492E-2</v>
      </c>
      <c r="BG53" s="536"/>
      <c r="BH53" s="536"/>
      <c r="BI53" s="49"/>
      <c r="BJ53" s="553" t="s">
        <v>533</v>
      </c>
      <c r="BK53" s="104"/>
      <c r="BL53" s="87">
        <f>+BL54-SUM(BL49:BL52)</f>
        <v>45.348999999999933</v>
      </c>
      <c r="BM53" s="87">
        <f>+BM54-SUM(BM49:BM52)</f>
        <v>41.617999999999938</v>
      </c>
      <c r="BN53" s="87">
        <f>+BN54-SUM(BN49:BN52)</f>
        <v>41.617999999999938</v>
      </c>
      <c r="BO53" s="107"/>
      <c r="BP53" s="87">
        <f t="shared" ref="BP53:BR53" si="68">+BP54-SUM(BP49:BP52)</f>
        <v>39.973999999999933</v>
      </c>
      <c r="BQ53" s="87">
        <f t="shared" si="68"/>
        <v>37.231999999999971</v>
      </c>
      <c r="BR53" s="87">
        <f t="shared" si="68"/>
        <v>37.231999999999971</v>
      </c>
      <c r="BS53" s="107"/>
      <c r="BT53" s="87">
        <f t="shared" ref="BT53:BV53" si="69">+BT54-SUM(BT49:BT52)</f>
        <v>49.029999999999973</v>
      </c>
      <c r="BU53" s="87">
        <f t="shared" si="69"/>
        <v>47.759000000000015</v>
      </c>
      <c r="BV53" s="87">
        <f t="shared" si="69"/>
        <v>47.759000000000015</v>
      </c>
      <c r="BW53" s="107"/>
      <c r="BX53" s="87">
        <f t="shared" ref="BX53:BZ53" si="70">+BX54-SUM(BX49:BX52)</f>
        <v>88.353000000000065</v>
      </c>
      <c r="BY53" s="87">
        <f t="shared" si="70"/>
        <v>121.63600000000042</v>
      </c>
      <c r="BZ53" s="87">
        <f t="shared" si="70"/>
        <v>121.63600000000042</v>
      </c>
      <c r="CA53" s="107"/>
      <c r="CB53" s="87">
        <f t="shared" ref="CB53:CD53" si="71">+CB54-SUM(CB49:CB52)</f>
        <v>119.24200000000019</v>
      </c>
      <c r="CC53" s="87">
        <f t="shared" si="71"/>
        <v>121.90200000000004</v>
      </c>
      <c r="CD53" s="87">
        <f t="shared" si="71"/>
        <v>121.90200000000004</v>
      </c>
      <c r="CE53" s="107"/>
      <c r="CF53" s="87">
        <f t="shared" ref="CF53:CH53" si="72">+CF54-SUM(CF49:CF52)</f>
        <v>116.67100000000028</v>
      </c>
      <c r="CG53" s="87">
        <f t="shared" si="72"/>
        <v>131.79300000000012</v>
      </c>
      <c r="CH53" s="87">
        <f t="shared" si="72"/>
        <v>131.79300000000012</v>
      </c>
      <c r="CI53" s="87">
        <f t="shared" ref="CI53:CT53" si="73">+CI54-SUM(CI49:CI52)</f>
        <v>0</v>
      </c>
      <c r="CJ53" s="87">
        <f t="shared" si="73"/>
        <v>232.59676407285951</v>
      </c>
      <c r="CK53" s="87">
        <f t="shared" si="73"/>
        <v>211.85545321265545</v>
      </c>
      <c r="CL53" s="87">
        <f t="shared" si="73"/>
        <v>211.85545321265545</v>
      </c>
      <c r="CM53" s="87">
        <f t="shared" si="73"/>
        <v>0</v>
      </c>
      <c r="CN53" s="87">
        <f t="shared" si="73"/>
        <v>331.15122638724188</v>
      </c>
      <c r="CO53" s="87">
        <f t="shared" si="73"/>
        <v>295.50319427035902</v>
      </c>
      <c r="CP53" s="87">
        <f t="shared" si="73"/>
        <v>295.50319427035902</v>
      </c>
      <c r="CQ53" s="87">
        <f t="shared" si="73"/>
        <v>0</v>
      </c>
      <c r="CR53" s="87">
        <f t="shared" si="73"/>
        <v>411.56219524303879</v>
      </c>
      <c r="CS53" s="87">
        <f t="shared" si="73"/>
        <v>367.97096580865218</v>
      </c>
      <c r="CT53" s="87">
        <f t="shared" si="73"/>
        <v>367.97096580865218</v>
      </c>
      <c r="CU53" s="107"/>
      <c r="CV53" s="87">
        <f t="shared" ref="CV53:CX53" si="74">+CV54-SUM(CV49:CV52)</f>
        <v>489.49656021752662</v>
      </c>
      <c r="CW53" s="87">
        <f t="shared" si="74"/>
        <v>427.3235083463619</v>
      </c>
      <c r="CX53" s="87">
        <f t="shared" si="74"/>
        <v>427.3235083463619</v>
      </c>
      <c r="CY53" s="107"/>
      <c r="CZ53" s="277"/>
      <c r="DA53" s="33"/>
    </row>
    <row r="54" spans="1:105" ht="17.100000000000001" customHeight="1">
      <c r="B54" s="52" t="s">
        <v>699</v>
      </c>
      <c r="C54" s="98"/>
      <c r="D54" s="98"/>
      <c r="E54" s="98"/>
      <c r="F54" s="98"/>
      <c r="G54" s="98"/>
      <c r="H54" s="536"/>
      <c r="I54" s="536"/>
      <c r="J54" s="536"/>
      <c r="K54" s="101"/>
      <c r="L54" s="536"/>
      <c r="M54" s="536"/>
      <c r="N54" s="536"/>
      <c r="O54" s="536"/>
      <c r="P54" s="536"/>
      <c r="Q54" s="536"/>
      <c r="R54" s="536"/>
      <c r="S54" s="536"/>
      <c r="T54" s="536"/>
      <c r="U54" s="536"/>
      <c r="V54" s="536"/>
      <c r="W54" s="536"/>
      <c r="X54" s="536"/>
      <c r="Y54" s="536"/>
      <c r="Z54" s="536">
        <f t="shared" si="48"/>
        <v>0.36264213492458119</v>
      </c>
      <c r="AA54" s="536"/>
      <c r="AB54" s="536">
        <f t="shared" ref="AB54" si="75">AB12/X12-1</f>
        <v>6.3409563409563496E-2</v>
      </c>
      <c r="AC54" s="536">
        <f t="shared" ref="AC54" si="76">AC12/Y12-1</f>
        <v>0.19510979185056776</v>
      </c>
      <c r="AD54" s="536">
        <f t="shared" ref="AD54" si="77">AD12/Z12-1</f>
        <v>0.13346357176048129</v>
      </c>
      <c r="AE54" s="536" t="e">
        <f t="shared" si="50"/>
        <v>#DIV/0!</v>
      </c>
      <c r="AF54" s="536">
        <f t="shared" si="51"/>
        <v>0.10897360703812331</v>
      </c>
      <c r="AG54" s="536">
        <f t="shared" si="52"/>
        <v>3.113279755070808E-2</v>
      </c>
      <c r="AH54" s="536">
        <f t="shared" si="53"/>
        <v>6.5316591543249647E-2</v>
      </c>
      <c r="AI54" s="536" t="e">
        <f t="shared" si="54"/>
        <v>#DIV/0!</v>
      </c>
      <c r="AJ54" s="536">
        <f t="shared" si="55"/>
        <v>4.5857132783301724E-2</v>
      </c>
      <c r="AK54" s="536">
        <f t="shared" si="56"/>
        <v>4.6511217918978609E-2</v>
      </c>
      <c r="AL54" s="536">
        <f t="shared" si="57"/>
        <v>4.621220516147484E-2</v>
      </c>
      <c r="AM54" s="536" t="e">
        <f t="shared" si="58"/>
        <v>#DIV/0!</v>
      </c>
      <c r="AN54" s="536">
        <f t="shared" si="59"/>
        <v>4.6038782844390003E-2</v>
      </c>
      <c r="AO54" s="536">
        <f t="shared" si="60"/>
        <v>4.6666273594315744E-2</v>
      </c>
      <c r="AP54" s="536">
        <f t="shared" si="61"/>
        <v>4.6379515723638187E-2</v>
      </c>
      <c r="AQ54" s="536"/>
      <c r="AR54" s="536"/>
      <c r="AS54" s="536"/>
      <c r="AT54" s="536"/>
      <c r="AU54" s="536"/>
      <c r="AV54" s="536"/>
      <c r="AW54" s="536"/>
      <c r="AX54" s="536"/>
      <c r="AY54" s="536"/>
      <c r="AZ54" s="536"/>
      <c r="BA54" s="536"/>
      <c r="BB54" s="536"/>
      <c r="BC54" s="536"/>
      <c r="BD54" s="536"/>
      <c r="BE54" s="536"/>
      <c r="BF54" s="536"/>
      <c r="BG54" s="536"/>
      <c r="BH54" s="536"/>
      <c r="BI54" s="49"/>
      <c r="BJ54" s="549" t="str">
        <f>+BS!B28</f>
        <v>Total non-current assets</v>
      </c>
      <c r="BK54" s="104"/>
      <c r="BL54" s="98">
        <f>+BS!T28</f>
        <v>582.72299999999996</v>
      </c>
      <c r="BM54" s="98">
        <f>+BS!U28</f>
        <v>707.64899999999989</v>
      </c>
      <c r="BN54" s="98">
        <f>+BS!V28</f>
        <v>707.64899999999989</v>
      </c>
      <c r="BO54" s="107"/>
      <c r="BP54" s="98">
        <f>+BS!X28</f>
        <v>830.08100000000002</v>
      </c>
      <c r="BQ54" s="98">
        <f>+BS!Y28</f>
        <v>798.61799999999994</v>
      </c>
      <c r="BR54" s="98">
        <f>+BS!Z28</f>
        <v>798.61799999999994</v>
      </c>
      <c r="BS54" s="107"/>
      <c r="BT54" s="98">
        <f>+BS!AB28</f>
        <v>848.98299999999995</v>
      </c>
      <c r="BU54" s="98">
        <f>+BS!AC28</f>
        <v>927.45499999999993</v>
      </c>
      <c r="BV54" s="98">
        <f>+BS!AD28</f>
        <v>927.45499999999993</v>
      </c>
      <c r="BW54" s="107"/>
      <c r="BX54" s="98">
        <f>+BS!AF28</f>
        <v>2164.6210000000001</v>
      </c>
      <c r="BY54" s="98">
        <f>+BS!AG28</f>
        <v>2347.1740000000004</v>
      </c>
      <c r="BZ54" s="98">
        <f>+BS!AH28</f>
        <v>2347.1740000000004</v>
      </c>
      <c r="CA54" s="107"/>
      <c r="CB54" s="98">
        <f>+BS!AJ28</f>
        <v>2402.681</v>
      </c>
      <c r="CC54" s="98">
        <f>+BS!AK28</f>
        <v>2441.8650000000002</v>
      </c>
      <c r="CD54" s="98">
        <f>+BS!AL28</f>
        <v>2441.8650000000002</v>
      </c>
      <c r="CE54" s="107"/>
      <c r="CF54" s="98">
        <f>+BS!AN28</f>
        <v>2909.3620000000001</v>
      </c>
      <c r="CG54" s="98">
        <f>+BS!AO28</f>
        <v>3058.0730000000003</v>
      </c>
      <c r="CH54" s="98">
        <f>+BS!AP28</f>
        <v>3058.0730000000003</v>
      </c>
      <c r="CI54" s="98">
        <f>+BS!AQ28</f>
        <v>0</v>
      </c>
      <c r="CJ54" s="98">
        <f>+BS!AR28</f>
        <v>3090.080917740604</v>
      </c>
      <c r="CK54" s="98">
        <f>+BS!AS28</f>
        <v>2991.7453757126555</v>
      </c>
      <c r="CL54" s="98">
        <f>+BS!AT28</f>
        <v>2991.7453757126555</v>
      </c>
      <c r="CM54" s="98">
        <f>+BS!AU28</f>
        <v>0</v>
      </c>
      <c r="CN54" s="98">
        <f>+BS!AV28</f>
        <v>3043.3439640386559</v>
      </c>
      <c r="CO54" s="98">
        <f>+BS!AW28</f>
        <v>2937.9470087393593</v>
      </c>
      <c r="CP54" s="98">
        <f>+BS!AX28</f>
        <v>2937.9470087393593</v>
      </c>
      <c r="CQ54" s="98">
        <f>+BS!AY28</f>
        <v>0</v>
      </c>
      <c r="CR54" s="98">
        <f>+BS!AZ28</f>
        <v>2993.3679543138032</v>
      </c>
      <c r="CS54" s="98">
        <f>+BS!BA28</f>
        <v>2887.3663913771402</v>
      </c>
      <c r="CT54" s="98">
        <f>+BS!BB28</f>
        <v>2887.3663913771397</v>
      </c>
      <c r="CU54" s="107"/>
      <c r="CV54" s="98">
        <f>+BS!BD28</f>
        <v>2954.089218308196</v>
      </c>
      <c r="CW54" s="98">
        <f>+BS!BE28</f>
        <v>2835.5687619413611</v>
      </c>
      <c r="CX54" s="98">
        <f>+BS!BF28</f>
        <v>2835.5687619413616</v>
      </c>
      <c r="CY54" s="107"/>
    </row>
    <row r="55" spans="1:105" ht="17.100000000000001" customHeight="1">
      <c r="B55" s="86" t="str">
        <f>B14</f>
        <v>Corporate</v>
      </c>
      <c r="C55" s="87"/>
      <c r="D55" s="87"/>
      <c r="E55" s="87"/>
      <c r="F55" s="87"/>
      <c r="G55" s="87"/>
      <c r="H55" s="536">
        <f t="shared" ref="H55:J56" si="78">H14/D14-1</f>
        <v>0</v>
      </c>
      <c r="I55" s="536">
        <f t="shared" si="78"/>
        <v>-2.7777777777777679E-2</v>
      </c>
      <c r="J55" s="536">
        <f t="shared" si="78"/>
        <v>-1.2761276127612686E-2</v>
      </c>
      <c r="K55" s="105"/>
      <c r="L55" s="536">
        <f t="shared" ref="L55:N56" si="79">L14/H14-1</f>
        <v>-0.12983312983312978</v>
      </c>
      <c r="M55" s="536">
        <f t="shared" si="79"/>
        <v>-0.30098522167487696</v>
      </c>
      <c r="N55" s="536">
        <f t="shared" si="79"/>
        <v>-0.2072654334744819</v>
      </c>
      <c r="O55" s="536"/>
      <c r="P55" s="536">
        <f t="shared" ref="P55:R56" si="80">P14/L14-1</f>
        <v>-0.55144995322731527</v>
      </c>
      <c r="Q55" s="536">
        <f t="shared" si="80"/>
        <v>-0.27906976744186041</v>
      </c>
      <c r="R55" s="536">
        <f t="shared" si="80"/>
        <v>-0.44278886702277198</v>
      </c>
      <c r="S55" s="536"/>
      <c r="T55" s="536">
        <f t="shared" ref="T55:V56" si="81">T14/P14-1</f>
        <v>0.20229405630865482</v>
      </c>
      <c r="U55" s="536">
        <f t="shared" si="81"/>
        <v>0.64613880742912988</v>
      </c>
      <c r="V55" s="536">
        <f t="shared" si="81"/>
        <v>0.43138244197780029</v>
      </c>
      <c r="W55" s="536"/>
      <c r="X55" s="536">
        <f t="shared" ref="X55:Z56" si="82">X14/T14-1</f>
        <v>0.36600173460537722</v>
      </c>
      <c r="Y55" s="536">
        <f t="shared" si="82"/>
        <v>9.1448931116389298E-2</v>
      </c>
      <c r="Z55" s="536">
        <f t="shared" si="82"/>
        <v>0.20303137116672532</v>
      </c>
      <c r="AA55" s="536"/>
      <c r="AB55" s="536">
        <f t="shared" ref="AB55:AD56" si="83">AB14/X14-1</f>
        <v>2.0952380952381056E-2</v>
      </c>
      <c r="AC55" s="536">
        <f t="shared" si="83"/>
        <v>-0.54570184983677916</v>
      </c>
      <c r="AD55" s="536">
        <f t="shared" si="83"/>
        <v>-0.28420744213302074</v>
      </c>
      <c r="AE55" s="536" t="e">
        <f t="shared" ref="AE55:AE56" si="84">AE14/AA14-1</f>
        <v>#DIV/0!</v>
      </c>
      <c r="AF55" s="536">
        <f t="shared" ref="AF55:AF56" si="85">AF14/AB14-1</f>
        <v>3.0000000000000027E-2</v>
      </c>
      <c r="AG55" s="536">
        <f t="shared" ref="AG55:AG56" si="86">AG14/AC14-1</f>
        <v>3.0000000000000027E-2</v>
      </c>
      <c r="AH55" s="536">
        <f t="shared" ref="AH55:AH56" si="87">AH14/AD14-1</f>
        <v>3.0000000000000027E-2</v>
      </c>
      <c r="AI55" s="536" t="e">
        <f t="shared" ref="AI55:AI56" si="88">AI14/AE14-1</f>
        <v>#DIV/0!</v>
      </c>
      <c r="AJ55" s="536">
        <f t="shared" ref="AJ55:AJ56" si="89">AJ14/AF14-1</f>
        <v>-0.47293221393034834</v>
      </c>
      <c r="AK55" s="536">
        <f t="shared" ref="AK55:AK56" si="90">AK14/AG14-1</f>
        <v>3.0224999999999724E-2</v>
      </c>
      <c r="AL55" s="536">
        <f t="shared" ref="AL55:AL56" si="91">AL14/AH14-1</f>
        <v>-0.30095666189111769</v>
      </c>
      <c r="AM55" s="536" t="e">
        <f t="shared" ref="AM55:AM56" si="92">AM14/AI14-1</f>
        <v>#DIV/0!</v>
      </c>
      <c r="AN55" s="536">
        <f t="shared" ref="AN55:AN56" si="93">AN14/AJ14-1</f>
        <v>3.0224999999999724E-2</v>
      </c>
      <c r="AO55" s="536">
        <f t="shared" ref="AO55:AO56" si="94">AO14/AK14-1</f>
        <v>3.0224999999999724E-2</v>
      </c>
      <c r="AP55" s="536">
        <f t="shared" ref="AP55:AP56" si="95">AP14/AL14-1</f>
        <v>3.0224999999999946E-2</v>
      </c>
      <c r="AQ55" s="536"/>
      <c r="AR55" s="536">
        <f t="shared" ref="AR55:AT56" si="96">AR14/AN14-1</f>
        <v>3.0224999999999724E-2</v>
      </c>
      <c r="AS55" s="536">
        <f t="shared" si="96"/>
        <v>3.0224999999999724E-2</v>
      </c>
      <c r="AT55" s="536">
        <f t="shared" si="96"/>
        <v>3.0224999999999724E-2</v>
      </c>
      <c r="AU55" s="536"/>
      <c r="AV55" s="536">
        <f t="shared" ref="AV55:AX56" si="97">AV14/AR14-1</f>
        <v>3.0224999999999724E-2</v>
      </c>
      <c r="AW55" s="536">
        <f t="shared" si="97"/>
        <v>3.0224999999999946E-2</v>
      </c>
      <c r="AX55" s="536">
        <f t="shared" si="97"/>
        <v>3.0224999999999724E-2</v>
      </c>
      <c r="AY55" s="536"/>
      <c r="AZ55" s="536">
        <f t="shared" ref="AZ55:BB56" si="98">AZ14/AV14-1</f>
        <v>3.0224999999999724E-2</v>
      </c>
      <c r="BA55" s="536">
        <f t="shared" si="98"/>
        <v>3.0224999999999946E-2</v>
      </c>
      <c r="BB55" s="536">
        <f t="shared" si="98"/>
        <v>3.0224999999999724E-2</v>
      </c>
      <c r="BC55" s="536"/>
      <c r="BD55" s="536">
        <f t="shared" ref="BD55:BF56" si="99">BD14/AZ14-1</f>
        <v>3.0224999999999946E-2</v>
      </c>
      <c r="BE55" s="536">
        <f t="shared" si="99"/>
        <v>3.0224999999999946E-2</v>
      </c>
      <c r="BF55" s="536">
        <f t="shared" si="99"/>
        <v>3.0224999999999724E-2</v>
      </c>
      <c r="BG55" s="536"/>
      <c r="BH55" s="536"/>
      <c r="BI55" s="49"/>
      <c r="BJ55" s="553"/>
      <c r="BL55" s="87"/>
      <c r="BM55" s="87"/>
      <c r="BN55" s="87"/>
      <c r="BP55" s="87"/>
      <c r="BQ55" s="87"/>
      <c r="BR55" s="87"/>
      <c r="BT55" s="87"/>
      <c r="BU55" s="87"/>
      <c r="BV55" s="87"/>
      <c r="BX55" s="87"/>
      <c r="BY55" s="87"/>
      <c r="BZ55" s="87"/>
      <c r="CB55" s="87"/>
      <c r="CC55" s="87"/>
      <c r="CD55" s="87"/>
      <c r="CF55" s="87"/>
      <c r="CG55" s="87"/>
      <c r="CH55" s="87"/>
      <c r="CI55" s="87"/>
      <c r="CJ55" s="87"/>
      <c r="CK55" s="87"/>
      <c r="CL55" s="87"/>
      <c r="CM55" s="87"/>
      <c r="CN55" s="87"/>
      <c r="CO55" s="87"/>
      <c r="CP55" s="87"/>
      <c r="CQ55" s="87"/>
      <c r="CR55" s="87"/>
      <c r="CS55" s="87"/>
      <c r="CT55" s="87"/>
      <c r="CV55" s="87"/>
      <c r="CW55" s="87"/>
      <c r="CX55" s="87"/>
    </row>
    <row r="56" spans="1:105" ht="17.100000000000001" customHeight="1">
      <c r="B56" s="594" t="str">
        <f>B15</f>
        <v>Total Underlying Revenue</v>
      </c>
      <c r="C56" s="110"/>
      <c r="D56" s="98"/>
      <c r="E56" s="98"/>
      <c r="F56" s="98"/>
      <c r="G56" s="110"/>
      <c r="H56" s="595">
        <f t="shared" si="78"/>
        <v>2.6029055690072633E-2</v>
      </c>
      <c r="I56" s="595">
        <f t="shared" si="78"/>
        <v>0.12600127099931391</v>
      </c>
      <c r="J56" s="595">
        <f t="shared" si="78"/>
        <v>7.7012514991439796E-2</v>
      </c>
      <c r="K56" s="98"/>
      <c r="L56" s="595">
        <f t="shared" si="79"/>
        <v>0.14017990458501761</v>
      </c>
      <c r="M56" s="595">
        <f t="shared" si="79"/>
        <v>9.1252012818264561E-2</v>
      </c>
      <c r="N56" s="595">
        <f t="shared" si="79"/>
        <v>0.11409287578310301</v>
      </c>
      <c r="O56" s="595"/>
      <c r="P56" s="595">
        <f t="shared" si="80"/>
        <v>4.8476118077692254E-2</v>
      </c>
      <c r="Q56" s="595">
        <f t="shared" si="80"/>
        <v>6.1274044291462326E-2</v>
      </c>
      <c r="R56" s="595">
        <f t="shared" si="80"/>
        <v>5.5159732342461076E-2</v>
      </c>
      <c r="S56" s="595"/>
      <c r="T56" s="595">
        <f t="shared" si="81"/>
        <v>0.42342784203936534</v>
      </c>
      <c r="U56" s="595">
        <f t="shared" si="81"/>
        <v>0.7812710798093625</v>
      </c>
      <c r="V56" s="595">
        <f t="shared" si="81"/>
        <v>0.61139151536888559</v>
      </c>
      <c r="W56" s="595"/>
      <c r="X56" s="595">
        <f t="shared" si="82"/>
        <v>0.36387567335041204</v>
      </c>
      <c r="Y56" s="595">
        <f t="shared" si="82"/>
        <v>7.8591820552334601E-2</v>
      </c>
      <c r="Z56" s="595">
        <f t="shared" si="82"/>
        <v>0.19824701853141558</v>
      </c>
      <c r="AA56" s="595"/>
      <c r="AB56" s="595">
        <f t="shared" si="83"/>
        <v>0.12056490526068009</v>
      </c>
      <c r="AC56" s="595">
        <f t="shared" si="83"/>
        <v>0.13144857690284883</v>
      </c>
      <c r="AD56" s="595">
        <f t="shared" si="83"/>
        <v>0.12625139876534131</v>
      </c>
      <c r="AE56" s="595" t="e">
        <f t="shared" si="84"/>
        <v>#DIV/0!</v>
      </c>
      <c r="AF56" s="595">
        <f t="shared" si="85"/>
        <v>7.1647009988278443E-2</v>
      </c>
      <c r="AG56" s="595">
        <f t="shared" si="86"/>
        <v>4.4000212138670003E-2</v>
      </c>
      <c r="AH56" s="595">
        <f t="shared" si="87"/>
        <v>5.7114723359002362E-2</v>
      </c>
      <c r="AI56" s="595" t="e">
        <f t="shared" si="88"/>
        <v>#DIV/0!</v>
      </c>
      <c r="AJ56" s="595">
        <f t="shared" si="89"/>
        <v>4.3747166009133975E-2</v>
      </c>
      <c r="AK56" s="595">
        <f t="shared" si="90"/>
        <v>4.7180141899519024E-2</v>
      </c>
      <c r="AL56" s="595">
        <f t="shared" si="91"/>
        <v>4.5527368952048564E-2</v>
      </c>
      <c r="AM56" s="595" t="e">
        <f t="shared" si="92"/>
        <v>#DIV/0!</v>
      </c>
      <c r="AN56" s="595">
        <f t="shared" si="93"/>
        <v>4.2973232574134101E-2</v>
      </c>
      <c r="AO56" s="595">
        <f t="shared" si="94"/>
        <v>4.51537307642218E-2</v>
      </c>
      <c r="AP56" s="595">
        <f t="shared" si="95"/>
        <v>4.4105738501647229E-2</v>
      </c>
      <c r="AQ56" s="595"/>
      <c r="AR56" s="595">
        <f t="shared" si="96"/>
        <v>3.7701695675850244E-2</v>
      </c>
      <c r="AS56" s="595">
        <f t="shared" si="96"/>
        <v>3.9667489806464395E-2</v>
      </c>
      <c r="AT56" s="595">
        <f t="shared" si="96"/>
        <v>3.8723713522867742E-2</v>
      </c>
      <c r="AU56" s="595"/>
      <c r="AV56" s="595">
        <f t="shared" si="97"/>
        <v>3.8032267887200266E-2</v>
      </c>
      <c r="AW56" s="595">
        <f t="shared" si="97"/>
        <v>3.9958332857016554E-2</v>
      </c>
      <c r="AX56" s="595">
        <f t="shared" si="97"/>
        <v>3.9034540343928725E-2</v>
      </c>
      <c r="AY56" s="595"/>
      <c r="AZ56" s="595">
        <f t="shared" si="98"/>
        <v>3.8358020628428857E-2</v>
      </c>
      <c r="BA56" s="595">
        <f t="shared" si="98"/>
        <v>4.0244130220604246E-2</v>
      </c>
      <c r="BB56" s="595">
        <f t="shared" si="98"/>
        <v>3.9340374002402978E-2</v>
      </c>
      <c r="BC56" s="595"/>
      <c r="BD56" s="595">
        <f t="shared" si="99"/>
        <v>3.8678885229743054E-2</v>
      </c>
      <c r="BE56" s="595">
        <f t="shared" si="99"/>
        <v>4.0524871102693094E-2</v>
      </c>
      <c r="BF56" s="595">
        <f t="shared" si="99"/>
        <v>3.9641176766429309E-2</v>
      </c>
      <c r="BG56" s="595"/>
      <c r="BH56" s="536"/>
      <c r="BI56" s="49"/>
      <c r="BJ56" s="553" t="str">
        <f>+BS!B33</f>
        <v>Trade and other payables</v>
      </c>
      <c r="BK56" s="108"/>
      <c r="BL56" s="87">
        <f>+BS!T33</f>
        <v>196.16200000000001</v>
      </c>
      <c r="BM56" s="87">
        <f>+BS!U33</f>
        <v>215.18600000000001</v>
      </c>
      <c r="BN56" s="87">
        <f>+BS!V33</f>
        <v>215.18600000000001</v>
      </c>
      <c r="BO56" s="108"/>
      <c r="BP56" s="87">
        <f>+BS!X33</f>
        <v>195.78200000000001</v>
      </c>
      <c r="BQ56" s="87">
        <f>+BS!Y33</f>
        <v>242.904</v>
      </c>
      <c r="BR56" s="87">
        <f>+BS!Z33</f>
        <v>242.904</v>
      </c>
      <c r="BS56" s="108"/>
      <c r="BT56" s="87">
        <f>+BS!AB33</f>
        <v>238.70400000000001</v>
      </c>
      <c r="BU56" s="87">
        <f>+BS!AC33</f>
        <v>425.625</v>
      </c>
      <c r="BV56" s="87">
        <f>+BS!AD33</f>
        <v>425.625</v>
      </c>
      <c r="BW56" s="108"/>
      <c r="BX56" s="87">
        <f>+BS!AF33</f>
        <v>958.52099999999996</v>
      </c>
      <c r="BY56" s="87">
        <f>+BS!AG33</f>
        <v>1086.2549999999999</v>
      </c>
      <c r="BZ56" s="87">
        <f>+BS!AH33</f>
        <v>1086.2549999999999</v>
      </c>
      <c r="CA56" s="108"/>
      <c r="CB56" s="87">
        <f>+BS!AJ33</f>
        <v>987.20799999999997</v>
      </c>
      <c r="CC56" s="87">
        <f>+BS!AK33</f>
        <v>1206.1610000000001</v>
      </c>
      <c r="CD56" s="87">
        <f>+BS!AL33</f>
        <v>1206.1610000000001</v>
      </c>
      <c r="CE56" s="108"/>
      <c r="CF56" s="87">
        <f>+BS!AN33</f>
        <v>1339.6279999999999</v>
      </c>
      <c r="CG56" s="87">
        <f>+BS!AO33</f>
        <v>1295.855</v>
      </c>
      <c r="CH56" s="87">
        <f>+BS!AP33</f>
        <v>1295.855</v>
      </c>
      <c r="CI56" s="87">
        <f>+BS!AQ33</f>
        <v>0</v>
      </c>
      <c r="CJ56" s="87">
        <f>+BS!AR33</f>
        <v>1249.3321535928551</v>
      </c>
      <c r="CK56" s="87">
        <f>+BS!AS33</f>
        <v>1348.7409094924326</v>
      </c>
      <c r="CL56" s="87">
        <f>+BS!AT33</f>
        <v>1348.7409094924326</v>
      </c>
      <c r="CM56" s="87">
        <f>+BS!AU33</f>
        <v>0</v>
      </c>
      <c r="CN56" s="87">
        <f>+BS!AV33</f>
        <v>1301.4300938594911</v>
      </c>
      <c r="CO56" s="87">
        <f>+BS!AW33</f>
        <v>1408.0514624734817</v>
      </c>
      <c r="CP56" s="87">
        <f>+BS!AX33</f>
        <v>1408.0514624734817</v>
      </c>
      <c r="CQ56" s="87">
        <f>+BS!AY33</f>
        <v>0</v>
      </c>
      <c r="CR56" s="87">
        <f>+BS!AZ33</f>
        <v>1340.402413857302</v>
      </c>
      <c r="CS56" s="87">
        <f>+BS!BA33</f>
        <v>1444.9211554223541</v>
      </c>
      <c r="CT56" s="87">
        <f>+BS!BB33</f>
        <v>1444.9211554223541</v>
      </c>
      <c r="CU56" s="108"/>
      <c r="CV56" s="87">
        <f>+BS!BD33</f>
        <v>1365.7353569213008</v>
      </c>
      <c r="CW56" s="87">
        <f>+BS!BE33</f>
        <v>1482.805176666152</v>
      </c>
      <c r="CX56" s="87">
        <f>+BS!BF33</f>
        <v>1482.805176666152</v>
      </c>
      <c r="CY56" s="108"/>
    </row>
    <row r="57" spans="1:105" ht="17.100000000000001" customHeight="1">
      <c r="B57" s="86"/>
      <c r="C57" s="88"/>
      <c r="D57" s="98"/>
      <c r="E57" s="98"/>
      <c r="F57" s="98"/>
      <c r="G57" s="88"/>
      <c r="H57" s="536"/>
      <c r="I57" s="536"/>
      <c r="J57" s="536"/>
      <c r="K57" s="101"/>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6"/>
      <c r="BC57" s="536"/>
      <c r="BD57" s="536"/>
      <c r="BE57" s="536"/>
      <c r="BF57" s="536"/>
      <c r="BG57" s="536"/>
      <c r="BH57" s="536"/>
      <c r="BI57" s="46"/>
      <c r="BJ57" s="553" t="str">
        <f>+BS!B34</f>
        <v>Deferred revenue from contracts with customers</v>
      </c>
      <c r="BK57" s="109"/>
      <c r="BL57" s="87">
        <f>+BS!T34</f>
        <v>0</v>
      </c>
      <c r="BM57" s="87">
        <f>+BS!U34</f>
        <v>6.2430000000000003</v>
      </c>
      <c r="BN57" s="87">
        <f>+BS!V34</f>
        <v>6.2430000000000003</v>
      </c>
      <c r="BO57" s="107"/>
      <c r="BP57" s="87">
        <f>+BS!X34</f>
        <v>6.44</v>
      </c>
      <c r="BQ57" s="87">
        <f>+BS!Y34</f>
        <v>7.1660000000000004</v>
      </c>
      <c r="BR57" s="87">
        <f>+BS!Z34</f>
        <v>7.1660000000000004</v>
      </c>
      <c r="BS57" s="107"/>
      <c r="BT57" s="87">
        <f>+BS!AB34</f>
        <v>7.2679999999999998</v>
      </c>
      <c r="BU57" s="87">
        <f>+BS!AC34</f>
        <v>10.384</v>
      </c>
      <c r="BV57" s="87">
        <f>+BS!AD34</f>
        <v>10.384</v>
      </c>
      <c r="BW57" s="107"/>
      <c r="BX57" s="87">
        <f>+BS!AF34</f>
        <v>23.151</v>
      </c>
      <c r="BY57" s="87">
        <f>+BS!AG34</f>
        <v>30.827000000000002</v>
      </c>
      <c r="BZ57" s="87">
        <f>+BS!AH34</f>
        <v>30.827000000000002</v>
      </c>
      <c r="CA57" s="107"/>
      <c r="CB57" s="87">
        <f>+BS!AJ34</f>
        <v>30.417999999999999</v>
      </c>
      <c r="CC57" s="87">
        <f>+BS!AK34</f>
        <v>31.016999999999999</v>
      </c>
      <c r="CD57" s="87">
        <f>+BS!AL34</f>
        <v>31.016999999999999</v>
      </c>
      <c r="CE57" s="107"/>
      <c r="CF57" s="87">
        <f>+BS!AN34</f>
        <v>32.015000000000001</v>
      </c>
      <c r="CG57" s="87">
        <f>+BS!AO34</f>
        <v>32.465000000000003</v>
      </c>
      <c r="CH57" s="87">
        <f>+BS!AP34</f>
        <v>32.465000000000003</v>
      </c>
      <c r="CI57" s="87">
        <f>+BS!AQ34</f>
        <v>0</v>
      </c>
      <c r="CJ57" s="87">
        <f>+BS!AR34</f>
        <v>30.919967759208699</v>
      </c>
      <c r="CK57" s="87">
        <f>+BS!AS34</f>
        <v>33.893948086017794</v>
      </c>
      <c r="CL57" s="87">
        <f>+BS!AT34</f>
        <v>33.893948086017794</v>
      </c>
      <c r="CM57" s="87">
        <f>+BS!AU34</f>
        <v>0</v>
      </c>
      <c r="CN57" s="87">
        <f>+BS!AV34</f>
        <v>32.307279158840629</v>
      </c>
      <c r="CO57" s="87">
        <f>+BS!AW34</f>
        <v>35.493669611450429</v>
      </c>
      <c r="CP57" s="87">
        <f>+BS!AX34</f>
        <v>35.493669611450429</v>
      </c>
      <c r="CQ57" s="87">
        <f>+BS!AY34</f>
        <v>0</v>
      </c>
      <c r="CR57" s="87">
        <f>+BS!AZ34</f>
        <v>33.788396015204398</v>
      </c>
      <c r="CS57" s="87">
        <f>+BS!BA34</f>
        <v>36.994133518568717</v>
      </c>
      <c r="CT57" s="87">
        <f>+BS!BB34</f>
        <v>36.994133518568717</v>
      </c>
      <c r="CU57" s="107"/>
      <c r="CV57" s="87">
        <f>+BS!BD34</f>
        <v>34.966749538806738</v>
      </c>
      <c r="CW57" s="87">
        <f>+BS!BE34</f>
        <v>38.568780823776649</v>
      </c>
      <c r="CX57" s="87">
        <f>+BS!BF34</f>
        <v>38.568780823776649</v>
      </c>
      <c r="CY57" s="107"/>
    </row>
    <row r="58" spans="1:105" ht="17.100000000000001" customHeight="1">
      <c r="A58" s="35"/>
      <c r="B58" s="86" t="str">
        <f>B16</f>
        <v>Australian Broking</v>
      </c>
      <c r="C58" s="88"/>
      <c r="D58" s="87"/>
      <c r="E58" s="87"/>
      <c r="F58" s="87"/>
      <c r="G58" s="88"/>
      <c r="H58" s="536">
        <f>H16/D16-1</f>
        <v>0</v>
      </c>
      <c r="I58" s="536">
        <f>I16/E16-1</f>
        <v>0.11130434782608667</v>
      </c>
      <c r="J58" s="536">
        <f>J16/F16-1</f>
        <v>6.0663507109004478E-2</v>
      </c>
      <c r="K58" s="87"/>
      <c r="L58" s="536">
        <f>L16/H16-1</f>
        <v>0.37481249999999955</v>
      </c>
      <c r="M58" s="536">
        <f>M16/I16-1</f>
        <v>0.10874804381846603</v>
      </c>
      <c r="N58" s="536">
        <f>N16/J16-1</f>
        <v>0.22287756925826629</v>
      </c>
      <c r="O58" s="536"/>
      <c r="P58" s="536">
        <f t="shared" ref="P58:R61" si="100">P16/L16-1</f>
        <v>3.3474261641738723E-2</v>
      </c>
      <c r="Q58" s="536">
        <f t="shared" si="100"/>
        <v>0.21384917218309418</v>
      </c>
      <c r="R58" s="536">
        <f t="shared" si="100"/>
        <v>0.12686349020754184</v>
      </c>
      <c r="S58" s="536"/>
      <c r="T58" s="536">
        <f t="shared" ref="T58:V61" si="101">T16/P16-1</f>
        <v>0.28739002932551361</v>
      </c>
      <c r="U58" s="536">
        <f t="shared" si="101"/>
        <v>9.863953488372057E-2</v>
      </c>
      <c r="V58" s="536">
        <f t="shared" si="101"/>
        <v>0.18212062256809403</v>
      </c>
      <c r="W58" s="536"/>
      <c r="X58" s="536">
        <f t="shared" ref="X58:Z61" si="102">X16/T16-1</f>
        <v>0.15603644646924808</v>
      </c>
      <c r="Y58" s="536">
        <f t="shared" si="102"/>
        <v>0.12115407004434697</v>
      </c>
      <c r="Z58" s="536">
        <f t="shared" si="102"/>
        <v>0.13795581595650686</v>
      </c>
      <c r="AA58" s="536"/>
      <c r="AB58" s="536">
        <f t="shared" ref="AB58:AD61" si="103">AB16/X16-1</f>
        <v>0.1221674876847294</v>
      </c>
      <c r="AC58" s="536">
        <f t="shared" si="103"/>
        <v>0.10544699329746066</v>
      </c>
      <c r="AD58" s="536">
        <f t="shared" si="103"/>
        <v>0.11362869401725884</v>
      </c>
      <c r="AE58" s="536" t="e">
        <f t="shared" ref="AE58:AE61" si="104">AE16/AA16-1</f>
        <v>#DIV/0!</v>
      </c>
      <c r="AF58" s="536">
        <f t="shared" ref="AF58:AF61" si="105">AF16/AB16-1</f>
        <v>3.532544007901639E-2</v>
      </c>
      <c r="AG58" s="536">
        <f t="shared" ref="AG58:AG61" si="106">AG16/AC16-1</f>
        <v>5.4321347139197451E-2</v>
      </c>
      <c r="AH58" s="536">
        <f t="shared" ref="AH58:AH61" si="107">AH16/AD16-1</f>
        <v>4.4954966991342271E-2</v>
      </c>
      <c r="AI58" s="536" t="e">
        <f t="shared" ref="AI58:AI61" si="108">AI16/AE16-1</f>
        <v>#DIV/0!</v>
      </c>
      <c r="AJ58" s="536">
        <f t="shared" ref="AJ58:AJ61" si="109">AJ16/AF16-1</f>
        <v>4.5164327880043764E-2</v>
      </c>
      <c r="AK58" s="536">
        <f t="shared" ref="AK58:AK61" si="110">AK16/AG16-1</f>
        <v>4.6571109657534304E-2</v>
      </c>
      <c r="AL58" s="536">
        <f t="shared" ref="AL58:AL61" si="111">AL16/AH16-1</f>
        <v>4.588385484560531E-2</v>
      </c>
      <c r="AM58" s="536" t="e">
        <f t="shared" ref="AM58:AM61" si="112">AM16/AI16-1</f>
        <v>#DIV/0!</v>
      </c>
      <c r="AN58" s="536">
        <f t="shared" ref="AN58:AN61" si="113">AN16/AJ16-1</f>
        <v>4.548077040564702E-2</v>
      </c>
      <c r="AO58" s="536">
        <f t="shared" ref="AO58:AO61" si="114">AO16/AK16-1</f>
        <v>4.8200685488227091E-2</v>
      </c>
      <c r="AP58" s="536">
        <f t="shared" ref="AP58:AP61" si="115">AP16/AL16-1</f>
        <v>4.6872840067621269E-2</v>
      </c>
      <c r="AQ58" s="536"/>
      <c r="AR58" s="536">
        <f t="shared" ref="AR58:AT61" si="116">AR16/AN16-1</f>
        <v>3.2245404617789575E-2</v>
      </c>
      <c r="AS58" s="536">
        <f t="shared" si="116"/>
        <v>3.4039999666637843E-2</v>
      </c>
      <c r="AT58" s="536">
        <f t="shared" si="116"/>
        <v>3.3165054660654558E-2</v>
      </c>
      <c r="AU58" s="536"/>
      <c r="AV58" s="536">
        <f t="shared" ref="AV58:AX61" si="117">AV16/AR16-1</f>
        <v>3.2585410311578578E-2</v>
      </c>
      <c r="AW58" s="536">
        <f t="shared" si="117"/>
        <v>3.4361566163092938E-2</v>
      </c>
      <c r="AX58" s="536">
        <f t="shared" si="117"/>
        <v>3.3496381898586503E-2</v>
      </c>
      <c r="AY58" s="536"/>
      <c r="AZ58" s="536">
        <f t="shared" ref="AZ58:BB61" si="118">AZ16/AV16-1</f>
        <v>3.2922965724368369E-2</v>
      </c>
      <c r="BA58" s="536">
        <f t="shared" si="118"/>
        <v>3.4680078607501441E-2</v>
      </c>
      <c r="BB58" s="536">
        <f t="shared" si="118"/>
        <v>3.3824924811078461E-2</v>
      </c>
      <c r="BC58" s="536"/>
      <c r="BD58" s="536">
        <f t="shared" ref="BD58:BF61" si="119">BD16/AZ16-1</f>
        <v>3.3257925794136556E-2</v>
      </c>
      <c r="BE58" s="536">
        <f t="shared" si="119"/>
        <v>3.4995421170960217E-2</v>
      </c>
      <c r="BF58" s="536">
        <f t="shared" si="119"/>
        <v>3.4150552593973815E-2</v>
      </c>
      <c r="BG58" s="536"/>
      <c r="BH58" s="536"/>
      <c r="BI58" s="46"/>
      <c r="BJ58" s="553" t="str">
        <f>+BS!B35</f>
        <v>Income tax payable</v>
      </c>
      <c r="BK58" s="109"/>
      <c r="BL58" s="87">
        <f>+BS!T35</f>
        <v>5.4610000000000003</v>
      </c>
      <c r="BM58" s="87">
        <f>+BS!U35</f>
        <v>9.3659999999999997</v>
      </c>
      <c r="BN58" s="87">
        <f>+BS!V35</f>
        <v>9.3659999999999997</v>
      </c>
      <c r="BO58" s="107"/>
      <c r="BP58" s="87">
        <f>+BS!X35</f>
        <v>5.9790000000000001</v>
      </c>
      <c r="BQ58" s="87">
        <f>+BS!Y35</f>
        <v>9.7059999999999995</v>
      </c>
      <c r="BR58" s="87">
        <f>+BS!Z35</f>
        <v>9.7059999999999995</v>
      </c>
      <c r="BS58" s="107"/>
      <c r="BT58" s="87">
        <f>+BS!AB35</f>
        <v>6.3559999999999999</v>
      </c>
      <c r="BU58" s="87">
        <f>+BS!AC35</f>
        <v>7.9669999999999996</v>
      </c>
      <c r="BV58" s="87">
        <f>+BS!AD35</f>
        <v>7.9669999999999996</v>
      </c>
      <c r="BW58" s="107"/>
      <c r="BX58" s="87">
        <f>+BS!AF35</f>
        <v>17.219000000000001</v>
      </c>
      <c r="BY58" s="87">
        <f>+BS!AG35</f>
        <v>26.481999999999999</v>
      </c>
      <c r="BZ58" s="87">
        <f>+BS!AH35</f>
        <v>26.481999999999999</v>
      </c>
      <c r="CA58" s="107"/>
      <c r="CB58" s="87">
        <f>+BS!AJ35</f>
        <v>17.707999999999998</v>
      </c>
      <c r="CC58" s="87">
        <f>+BS!AK35</f>
        <v>25.378</v>
      </c>
      <c r="CD58" s="87">
        <f>+BS!AL35</f>
        <v>25.378</v>
      </c>
      <c r="CE58" s="107"/>
      <c r="CF58" s="87">
        <f>+BS!AN35</f>
        <v>18.004999999999999</v>
      </c>
      <c r="CG58" s="87">
        <f>+BS!AO35</f>
        <v>30.006</v>
      </c>
      <c r="CH58" s="87">
        <f>+BS!AP35</f>
        <v>30.006</v>
      </c>
      <c r="CI58" s="87">
        <f>+BS!AQ35</f>
        <v>0</v>
      </c>
      <c r="CJ58" s="87">
        <f>+BS!AR35</f>
        <v>28.577993303028375</v>
      </c>
      <c r="CK58" s="87">
        <f>+BS!AS35</f>
        <v>31.326715116865849</v>
      </c>
      <c r="CL58" s="87">
        <f>+BS!AT35</f>
        <v>31.326715116865849</v>
      </c>
      <c r="CM58" s="87">
        <f>+BS!AU35</f>
        <v>0</v>
      </c>
      <c r="CN58" s="87">
        <f>+BS!AV35</f>
        <v>29.860225425540484</v>
      </c>
      <c r="CO58" s="87">
        <f>+BS!AW35</f>
        <v>32.805268762087834</v>
      </c>
      <c r="CP58" s="87">
        <f>+BS!AX35</f>
        <v>32.805268762087834</v>
      </c>
      <c r="CQ58" s="87">
        <f>+BS!AY35</f>
        <v>0</v>
      </c>
      <c r="CR58" s="87">
        <f>+BS!AZ35</f>
        <v>31.229157887947732</v>
      </c>
      <c r="CS58" s="87">
        <f>+BS!BA35</f>
        <v>34.192082869495543</v>
      </c>
      <c r="CT58" s="87">
        <f>+BS!BB35</f>
        <v>34.192082869495543</v>
      </c>
      <c r="CU58" s="107"/>
      <c r="CV58" s="87">
        <f>+BS!BD35</f>
        <v>32.318259253393961</v>
      </c>
      <c r="CW58" s="87">
        <f>+BS!BE35</f>
        <v>35.647461493862373</v>
      </c>
      <c r="CX58" s="87">
        <f>+BS!BF35</f>
        <v>35.647461493862373</v>
      </c>
      <c r="CY58" s="107"/>
    </row>
    <row r="59" spans="1:105" ht="17.100000000000001" customHeight="1">
      <c r="A59" s="35"/>
      <c r="B59" s="86" t="str">
        <f>B17</f>
        <v>BIZCOVER</v>
      </c>
      <c r="C59" s="110"/>
      <c r="D59" s="87"/>
      <c r="E59" s="87"/>
      <c r="F59" s="87"/>
      <c r="G59" s="110"/>
      <c r="H59" s="536"/>
      <c r="I59" s="536"/>
      <c r="J59" s="536"/>
      <c r="K59" s="98"/>
      <c r="L59" s="536"/>
      <c r="M59" s="536">
        <f t="shared" ref="M59:N61" si="120">M17/I17-1</f>
        <v>0.46753246753246747</v>
      </c>
      <c r="N59" s="536">
        <f t="shared" si="120"/>
        <v>1.8571428571428568</v>
      </c>
      <c r="O59" s="536"/>
      <c r="P59" s="536">
        <f t="shared" si="100"/>
        <v>0.14953271028037363</v>
      </c>
      <c r="Q59" s="536">
        <f t="shared" si="100"/>
        <v>0.24159292035398305</v>
      </c>
      <c r="R59" s="536">
        <f t="shared" si="100"/>
        <v>0.196818181818182</v>
      </c>
      <c r="S59" s="536"/>
      <c r="T59" s="536">
        <f t="shared" si="101"/>
        <v>0.17886178861788649</v>
      </c>
      <c r="U59" s="536">
        <f t="shared" si="101"/>
        <v>0.25267284390591538</v>
      </c>
      <c r="V59" s="536">
        <f t="shared" si="101"/>
        <v>0.21819217622483844</v>
      </c>
      <c r="W59" s="536"/>
      <c r="X59" s="536">
        <f t="shared" si="102"/>
        <v>0.17931034482758634</v>
      </c>
      <c r="Y59" s="536">
        <f t="shared" si="102"/>
        <v>0.22560455192034112</v>
      </c>
      <c r="Z59" s="536">
        <f t="shared" si="102"/>
        <v>0.20467653936087293</v>
      </c>
      <c r="AA59" s="536"/>
      <c r="AB59" s="536">
        <f t="shared" si="103"/>
        <v>0.26900584795321647</v>
      </c>
      <c r="AC59" s="536">
        <f t="shared" si="103"/>
        <v>0.23955431754874645</v>
      </c>
      <c r="AD59" s="536">
        <f t="shared" si="103"/>
        <v>0.25258799171842639</v>
      </c>
      <c r="AE59" s="536" t="e">
        <f t="shared" si="104"/>
        <v>#DIV/0!</v>
      </c>
      <c r="AF59" s="536">
        <f t="shared" si="105"/>
        <v>0.11457880184331803</v>
      </c>
      <c r="AG59" s="536">
        <f t="shared" si="106"/>
        <v>9.9505617977528216E-2</v>
      </c>
      <c r="AH59" s="536">
        <f t="shared" si="107"/>
        <v>0.10626363636363645</v>
      </c>
      <c r="AI59" s="536" t="e">
        <f t="shared" si="108"/>
        <v>#DIV/0!</v>
      </c>
      <c r="AJ59" s="536">
        <f t="shared" si="109"/>
        <v>0.11255707762557088</v>
      </c>
      <c r="AK59" s="536">
        <f t="shared" si="110"/>
        <v>0.11145833333333344</v>
      </c>
      <c r="AL59" s="536">
        <f t="shared" si="111"/>
        <v>0.11195465489896361</v>
      </c>
      <c r="AM59" s="536" t="e">
        <f t="shared" si="112"/>
        <v>#DIV/0!</v>
      </c>
      <c r="AN59" s="536">
        <f t="shared" si="113"/>
        <v>0.11241534988713342</v>
      </c>
      <c r="AO59" s="536">
        <f t="shared" si="114"/>
        <v>0.11134020618556706</v>
      </c>
      <c r="AP59" s="536">
        <f t="shared" si="115"/>
        <v>0.11182613007726938</v>
      </c>
      <c r="AQ59" s="536"/>
      <c r="AR59" s="536">
        <f t="shared" si="116"/>
        <v>6.0000000000000053E-2</v>
      </c>
      <c r="AS59" s="536">
        <f t="shared" si="116"/>
        <v>6.0000000000000275E-2</v>
      </c>
      <c r="AT59" s="536">
        <f t="shared" si="116"/>
        <v>6.0000000000000275E-2</v>
      </c>
      <c r="AU59" s="536"/>
      <c r="AV59" s="536">
        <f t="shared" si="117"/>
        <v>6.0000000000000053E-2</v>
      </c>
      <c r="AW59" s="536">
        <f t="shared" si="117"/>
        <v>5.9999999999999831E-2</v>
      </c>
      <c r="AX59" s="536">
        <f t="shared" si="117"/>
        <v>6.0000000000000053E-2</v>
      </c>
      <c r="AY59" s="536"/>
      <c r="AZ59" s="536">
        <f t="shared" si="118"/>
        <v>6.0000000000000053E-2</v>
      </c>
      <c r="BA59" s="536">
        <f t="shared" si="118"/>
        <v>6.0000000000000053E-2</v>
      </c>
      <c r="BB59" s="536">
        <f t="shared" si="118"/>
        <v>6.0000000000000053E-2</v>
      </c>
      <c r="BC59" s="536"/>
      <c r="BD59" s="536">
        <f t="shared" si="119"/>
        <v>6.0000000000000053E-2</v>
      </c>
      <c r="BE59" s="536">
        <f t="shared" si="119"/>
        <v>6.0000000000000275E-2</v>
      </c>
      <c r="BF59" s="536">
        <f t="shared" si="119"/>
        <v>6.0000000000000053E-2</v>
      </c>
      <c r="BG59" s="536"/>
      <c r="BH59" s="536"/>
      <c r="BI59" s="46"/>
      <c r="BJ59" s="553" t="str">
        <f>+BS!B36</f>
        <v>Provision for employee entitlements</v>
      </c>
      <c r="BK59" s="109"/>
      <c r="BL59" s="87">
        <f>+BS!T36</f>
        <v>15.464</v>
      </c>
      <c r="BM59" s="87">
        <f>+BS!U36</f>
        <v>17.494</v>
      </c>
      <c r="BN59" s="87">
        <f>+BS!V36</f>
        <v>17.494</v>
      </c>
      <c r="BO59" s="107"/>
      <c r="BP59" s="87">
        <f>+BS!X36</f>
        <v>18.309999999999999</v>
      </c>
      <c r="BQ59" s="87">
        <f>+BS!Y36</f>
        <v>20.68</v>
      </c>
      <c r="BR59" s="87">
        <f>+BS!Z36</f>
        <v>20.68</v>
      </c>
      <c r="BS59" s="107"/>
      <c r="BT59" s="87">
        <f>+BS!AB36</f>
        <v>20.157</v>
      </c>
      <c r="BU59" s="87">
        <f>+BS!AC36</f>
        <v>29.103999999999999</v>
      </c>
      <c r="BV59" s="87">
        <f>+BS!AD36</f>
        <v>29.103999999999999</v>
      </c>
      <c r="BW59" s="107"/>
      <c r="BX59" s="87">
        <f>+BS!AF36</f>
        <v>158.852</v>
      </c>
      <c r="BY59" s="87">
        <f>+BS!AG36</f>
        <v>204.547</v>
      </c>
      <c r="BZ59" s="87">
        <f>+BS!AH36</f>
        <v>204.547</v>
      </c>
      <c r="CA59" s="107"/>
      <c r="CB59" s="87">
        <f>+BS!AJ36</f>
        <v>120.45099999999999</v>
      </c>
      <c r="CC59" s="87">
        <f>+BS!AK36</f>
        <v>86.085999999999999</v>
      </c>
      <c r="CD59" s="87">
        <f>+BS!AL36</f>
        <v>86.085999999999999</v>
      </c>
      <c r="CE59" s="107"/>
      <c r="CF59" s="87">
        <f>+BS!AN36</f>
        <v>85.177000000000007</v>
      </c>
      <c r="CG59" s="87">
        <f>+BS!AO36</f>
        <v>100.202</v>
      </c>
      <c r="CH59" s="87">
        <f>+BS!AP36</f>
        <v>100.202</v>
      </c>
      <c r="CI59" s="87">
        <f>+BS!AQ36</f>
        <v>0</v>
      </c>
      <c r="CJ59" s="87">
        <f>+BS!AR36</f>
        <v>95.433316168434615</v>
      </c>
      <c r="CK59" s="87">
        <f>+BS!AS36</f>
        <v>104.61239445911457</v>
      </c>
      <c r="CL59" s="87">
        <f>+BS!AT36</f>
        <v>104.61239445911457</v>
      </c>
      <c r="CM59" s="87">
        <f>+BS!AU36</f>
        <v>0</v>
      </c>
      <c r="CN59" s="87">
        <f>+BS!AV36</f>
        <v>99.715200562887659</v>
      </c>
      <c r="CO59" s="87">
        <f>+BS!AW36</f>
        <v>109.54987470834915</v>
      </c>
      <c r="CP59" s="87">
        <f>+BS!AX36</f>
        <v>109.54987470834915</v>
      </c>
      <c r="CQ59" s="87">
        <f>+BS!AY36</f>
        <v>0</v>
      </c>
      <c r="CR59" s="87">
        <f>+BS!AZ36</f>
        <v>104.28661196721117</v>
      </c>
      <c r="CS59" s="87">
        <f>+BS!BA36</f>
        <v>114.18100005629515</v>
      </c>
      <c r="CT59" s="87">
        <f>+BS!BB36</f>
        <v>114.18100005629515</v>
      </c>
      <c r="CU59" s="107"/>
      <c r="CV59" s="87">
        <f>+BS!BD36</f>
        <v>107.92355574580354</v>
      </c>
      <c r="CW59" s="87">
        <f>+BS!BE36</f>
        <v>119.04108966899945</v>
      </c>
      <c r="CX59" s="87">
        <f>+BS!BF36</f>
        <v>119.04108966899945</v>
      </c>
      <c r="CY59" s="107"/>
    </row>
    <row r="60" spans="1:105" ht="17.100000000000001" customHeight="1">
      <c r="A60" s="35"/>
      <c r="B60" s="86" t="str">
        <f>B18</f>
        <v>Agencies</v>
      </c>
      <c r="C60" s="88"/>
      <c r="D60" s="87"/>
      <c r="E60" s="87"/>
      <c r="F60" s="87"/>
      <c r="G60" s="88"/>
      <c r="H60" s="536">
        <f t="shared" ref="H60:J61" si="121">H18/D18-1</f>
        <v>0</v>
      </c>
      <c r="I60" s="536">
        <f t="shared" si="121"/>
        <v>-0.19047619047619035</v>
      </c>
      <c r="J60" s="536">
        <f t="shared" si="121"/>
        <v>-0.11594202898550721</v>
      </c>
      <c r="K60" s="87"/>
      <c r="L60" s="536">
        <f>L18/H18-1</f>
        <v>-1.2345679012344957E-2</v>
      </c>
      <c r="M60" s="536">
        <f t="shared" si="120"/>
        <v>0.50980392156862719</v>
      </c>
      <c r="N60" s="536">
        <f t="shared" si="120"/>
        <v>0.27868852459016402</v>
      </c>
      <c r="O60" s="536"/>
      <c r="P60" s="536">
        <f t="shared" si="100"/>
        <v>0.88749999999999973</v>
      </c>
      <c r="Q60" s="536">
        <f t="shared" si="100"/>
        <v>0.50974025974026005</v>
      </c>
      <c r="R60" s="536">
        <f t="shared" si="100"/>
        <v>0.63888888888888928</v>
      </c>
      <c r="S60" s="536"/>
      <c r="T60" s="536">
        <f t="shared" si="101"/>
        <v>0.2185430463576159</v>
      </c>
      <c r="U60" s="536">
        <f t="shared" si="101"/>
        <v>0.50967741935483857</v>
      </c>
      <c r="V60" s="536">
        <f t="shared" si="101"/>
        <v>0.39504563233376722</v>
      </c>
      <c r="W60" s="536"/>
      <c r="X60" s="536">
        <f t="shared" si="102"/>
        <v>0.85326086956521796</v>
      </c>
      <c r="Y60" s="536">
        <f t="shared" si="102"/>
        <v>0.16928774928774937</v>
      </c>
      <c r="Z60" s="536">
        <f t="shared" si="102"/>
        <v>0.40452336448598203</v>
      </c>
      <c r="AA60" s="536"/>
      <c r="AB60" s="536">
        <f t="shared" si="103"/>
        <v>0.26392961876832799</v>
      </c>
      <c r="AC60" s="536">
        <f t="shared" si="103"/>
        <v>0.3254714682520341</v>
      </c>
      <c r="AD60" s="536">
        <f t="shared" si="103"/>
        <v>0.29754331798461542</v>
      </c>
      <c r="AE60" s="536" t="e">
        <f t="shared" si="104"/>
        <v>#DIV/0!</v>
      </c>
      <c r="AF60" s="536">
        <f t="shared" si="105"/>
        <v>9.1780806264501358E-2</v>
      </c>
      <c r="AG60" s="536">
        <f t="shared" si="106"/>
        <v>6.3512306985294087E-2</v>
      </c>
      <c r="AH60" s="536">
        <f t="shared" si="107"/>
        <v>7.6008433333333514E-2</v>
      </c>
      <c r="AI60" s="536" t="e">
        <f t="shared" si="108"/>
        <v>#DIV/0!</v>
      </c>
      <c r="AJ60" s="536">
        <f t="shared" si="109"/>
        <v>6.3613469756718555E-2</v>
      </c>
      <c r="AK60" s="536">
        <f t="shared" si="110"/>
        <v>6.1436879788036469E-2</v>
      </c>
      <c r="AL60" s="536">
        <f t="shared" si="111"/>
        <v>6.2413147795548296E-2</v>
      </c>
      <c r="AM60" s="536" t="e">
        <f t="shared" si="112"/>
        <v>#DIV/0!</v>
      </c>
      <c r="AN60" s="536">
        <f t="shared" si="113"/>
        <v>5.2163453962560169E-2</v>
      </c>
      <c r="AO60" s="536">
        <f t="shared" si="114"/>
        <v>5.5200853054510279E-2</v>
      </c>
      <c r="AP60" s="536">
        <f t="shared" si="115"/>
        <v>5.3836946284321119E-2</v>
      </c>
      <c r="AQ60" s="536"/>
      <c r="AR60" s="536">
        <f t="shared" si="116"/>
        <v>2.2609324022468069E-2</v>
      </c>
      <c r="AS60" s="536">
        <f t="shared" si="116"/>
        <v>2.6396923017544704E-2</v>
      </c>
      <c r="AT60" s="536">
        <f t="shared" si="116"/>
        <v>2.4698849020745817E-2</v>
      </c>
      <c r="AU60" s="536"/>
      <c r="AV60" s="536">
        <f t="shared" si="117"/>
        <v>2.2749162994857963E-2</v>
      </c>
      <c r="AW60" s="536">
        <f t="shared" si="117"/>
        <v>2.6548676448271857E-2</v>
      </c>
      <c r="AX60" s="536">
        <f t="shared" si="117"/>
        <v>2.4848734443091658E-2</v>
      </c>
      <c r="AY60" s="536"/>
      <c r="AZ60" s="536">
        <f t="shared" si="118"/>
        <v>2.2888874384549673E-2</v>
      </c>
      <c r="BA60" s="536">
        <f t="shared" si="118"/>
        <v>2.6699728115338717E-2</v>
      </c>
      <c r="BB60" s="536">
        <f t="shared" si="118"/>
        <v>2.4998205357257719E-2</v>
      </c>
      <c r="BC60" s="536"/>
      <c r="BD60" s="536">
        <f t="shared" si="119"/>
        <v>2.3028452409570743E-2</v>
      </c>
      <c r="BE60" s="536">
        <f t="shared" si="119"/>
        <v>2.6850063846712624E-2</v>
      </c>
      <c r="BF60" s="536">
        <f t="shared" si="119"/>
        <v>2.5147249265820015E-2</v>
      </c>
      <c r="BG60" s="536"/>
      <c r="BH60" s="536"/>
      <c r="BI60" s="80"/>
      <c r="BJ60" s="553" t="str">
        <f>+BS!B37</f>
        <v>Lease liabilities</v>
      </c>
      <c r="BK60" s="115"/>
      <c r="BL60" s="87">
        <f>+BS!T37</f>
        <v>8.92</v>
      </c>
      <c r="BM60" s="87">
        <f>+BS!U37</f>
        <v>8.2240000000000002</v>
      </c>
      <c r="BN60" s="87">
        <f>+BS!V37</f>
        <v>8.2240000000000002</v>
      </c>
      <c r="BO60" s="107"/>
      <c r="BP60" s="87">
        <f>+BS!X37</f>
        <v>8.8420000000000005</v>
      </c>
      <c r="BQ60" s="87">
        <f>+BS!Y37</f>
        <v>7.7859999999999996</v>
      </c>
      <c r="BR60" s="87">
        <f>+BS!Z37</f>
        <v>7.7859999999999996</v>
      </c>
      <c r="BS60" s="107"/>
      <c r="BT60" s="87">
        <f>+BS!AB37</f>
        <v>7.73</v>
      </c>
      <c r="BU60" s="87">
        <f>+BS!AC37</f>
        <v>8.1869999999999994</v>
      </c>
      <c r="BV60" s="87">
        <f>+BS!AD37</f>
        <v>8.1869999999999994</v>
      </c>
      <c r="BW60" s="107"/>
      <c r="BX60" s="87">
        <f>+BS!AF37</f>
        <v>12.276999999999999</v>
      </c>
      <c r="BY60" s="87">
        <f>+BS!AG37</f>
        <v>14.743</v>
      </c>
      <c r="BZ60" s="87">
        <f>+BS!AH37</f>
        <v>14.743</v>
      </c>
      <c r="CA60" s="107"/>
      <c r="CB60" s="87">
        <f>+BS!AJ37</f>
        <v>14.532</v>
      </c>
      <c r="CC60" s="87">
        <f>+BS!AK37</f>
        <v>14.154999999999999</v>
      </c>
      <c r="CD60" s="87">
        <f>+BS!AL37</f>
        <v>14.154999999999999</v>
      </c>
      <c r="CE60" s="107"/>
      <c r="CF60" s="87">
        <f>+BS!AN37</f>
        <v>17.818000000000001</v>
      </c>
      <c r="CG60" s="87">
        <f>+BS!AO37</f>
        <v>18.867999999999999</v>
      </c>
      <c r="CH60" s="87">
        <f>+BS!AP37</f>
        <v>18.867999999999999</v>
      </c>
      <c r="CI60" s="87">
        <f>+BS!AQ37</f>
        <v>0</v>
      </c>
      <c r="CJ60" s="87">
        <f>+BS!AR37</f>
        <v>17.970058576336044</v>
      </c>
      <c r="CK60" s="87">
        <f>+BS!AS37</f>
        <v>19.698475665701018</v>
      </c>
      <c r="CL60" s="87">
        <f>+BS!AT37</f>
        <v>19.698475665701018</v>
      </c>
      <c r="CM60" s="87">
        <f>+BS!AU37</f>
        <v>0</v>
      </c>
      <c r="CN60" s="87">
        <f>+BS!AV37</f>
        <v>18.776335843801164</v>
      </c>
      <c r="CO60" s="87">
        <f>+BS!AW37</f>
        <v>20.628201393157138</v>
      </c>
      <c r="CP60" s="87">
        <f>+BS!AX37</f>
        <v>20.628201393157138</v>
      </c>
      <c r="CQ60" s="87">
        <f>+BS!AY37</f>
        <v>0</v>
      </c>
      <c r="CR60" s="87">
        <f>+BS!AZ37</f>
        <v>19.637130941471629</v>
      </c>
      <c r="CS60" s="87">
        <f>+BS!BA37</f>
        <v>21.500240604600471</v>
      </c>
      <c r="CT60" s="87">
        <f>+BS!BB37</f>
        <v>21.500240604600471</v>
      </c>
      <c r="CU60" s="107"/>
      <c r="CV60" s="87">
        <f>+BS!BD37</f>
        <v>20.321966126542595</v>
      </c>
      <c r="CW60" s="87">
        <f>+BS!BE37</f>
        <v>22.415393703465814</v>
      </c>
      <c r="CX60" s="87">
        <f>+BS!BF37</f>
        <v>22.415393703465814</v>
      </c>
      <c r="CY60" s="107"/>
    </row>
    <row r="61" spans="1:105" ht="17.100000000000001" customHeight="1">
      <c r="A61" s="35"/>
      <c r="B61" s="86" t="str">
        <f>B19</f>
        <v>New Zealand Broking</v>
      </c>
      <c r="H61" s="536">
        <f t="shared" si="121"/>
        <v>0.1369863013698629</v>
      </c>
      <c r="I61" s="536">
        <f t="shared" si="121"/>
        <v>0.11224489795918458</v>
      </c>
      <c r="J61" s="536">
        <f t="shared" si="121"/>
        <v>0.12280701754385981</v>
      </c>
      <c r="K61" s="101"/>
      <c r="L61" s="536">
        <f>L19/H19-1</f>
        <v>-0.12048192771084332</v>
      </c>
      <c r="M61" s="536">
        <f t="shared" si="120"/>
        <v>-0.11926605504587229</v>
      </c>
      <c r="N61" s="536">
        <f t="shared" si="120"/>
        <v>-0.11979166666666652</v>
      </c>
      <c r="O61" s="536"/>
      <c r="P61" s="536">
        <f t="shared" si="100"/>
        <v>-8.2191780821917471E-2</v>
      </c>
      <c r="Q61" s="536">
        <f t="shared" si="100"/>
        <v>-9.3749999999999556E-2</v>
      </c>
      <c r="R61" s="536">
        <f t="shared" si="100"/>
        <v>-8.8757396449704151E-2</v>
      </c>
      <c r="S61" s="536"/>
      <c r="T61" s="536">
        <f t="shared" si="101"/>
        <v>1.4925373134327957E-2</v>
      </c>
      <c r="U61" s="536">
        <f t="shared" si="101"/>
        <v>0.58620689655172487</v>
      </c>
      <c r="V61" s="536">
        <f t="shared" si="101"/>
        <v>0.33766233766233689</v>
      </c>
      <c r="W61" s="536"/>
      <c r="X61" s="536">
        <f t="shared" si="102"/>
        <v>1.1911764705882351</v>
      </c>
      <c r="Y61" s="536">
        <f t="shared" si="102"/>
        <v>0.26601449275362299</v>
      </c>
      <c r="Z61" s="536">
        <f t="shared" si="102"/>
        <v>0.57140776699029328</v>
      </c>
      <c r="AA61" s="536"/>
      <c r="AB61" s="536">
        <f t="shared" si="103"/>
        <v>0.18120805369127546</v>
      </c>
      <c r="AC61" s="536">
        <f t="shared" si="103"/>
        <v>-7.8472897945166764E-2</v>
      </c>
      <c r="AD61" s="536">
        <f t="shared" si="103"/>
        <v>4.1055265515429262E-2</v>
      </c>
      <c r="AE61" s="536" t="e">
        <f t="shared" si="104"/>
        <v>#DIV/0!</v>
      </c>
      <c r="AF61" s="536">
        <f t="shared" si="105"/>
        <v>2.0456370738636265E-2</v>
      </c>
      <c r="AG61" s="536">
        <f t="shared" si="106"/>
        <v>0.1393565683229816</v>
      </c>
      <c r="AH61" s="536">
        <f t="shared" si="107"/>
        <v>7.7260322700297257E-2</v>
      </c>
      <c r="AI61" s="536" t="e">
        <f t="shared" si="108"/>
        <v>#DIV/0!</v>
      </c>
      <c r="AJ61" s="536">
        <f t="shared" si="109"/>
        <v>6.9744932161089679E-2</v>
      </c>
      <c r="AK61" s="536">
        <f t="shared" si="110"/>
        <v>7.0616451916722278E-2</v>
      </c>
      <c r="AL61" s="536">
        <f t="shared" si="111"/>
        <v>7.0185296566060096E-2</v>
      </c>
      <c r="AM61" s="536" t="e">
        <f t="shared" si="112"/>
        <v>#DIV/0!</v>
      </c>
      <c r="AN61" s="536">
        <f t="shared" si="113"/>
        <v>5.4408594428734691E-2</v>
      </c>
      <c r="AO61" s="536">
        <f t="shared" si="114"/>
        <v>5.5664143363686414E-2</v>
      </c>
      <c r="AP61" s="536">
        <f t="shared" si="115"/>
        <v>5.504325796629006E-2</v>
      </c>
      <c r="AQ61" s="536"/>
      <c r="AR61" s="536">
        <f t="shared" si="116"/>
        <v>3.9848853901811143E-2</v>
      </c>
      <c r="AS61" s="536">
        <f t="shared" si="116"/>
        <v>4.1447272688139858E-2</v>
      </c>
      <c r="AT61" s="536">
        <f t="shared" si="116"/>
        <v>4.0657309147564158E-2</v>
      </c>
      <c r="AU61" s="536"/>
      <c r="AV61" s="536">
        <f t="shared" si="117"/>
        <v>4.0133624095666676E-2</v>
      </c>
      <c r="AW61" s="536">
        <f t="shared" si="117"/>
        <v>4.168595295891997E-2</v>
      </c>
      <c r="AX61" s="536">
        <f t="shared" si="117"/>
        <v>4.0919363781519502E-2</v>
      </c>
      <c r="AY61" s="536"/>
      <c r="AZ61" s="536">
        <f t="shared" si="118"/>
        <v>4.0412096857598279E-2</v>
      </c>
      <c r="BA61" s="536">
        <f t="shared" si="118"/>
        <v>4.1919080648244567E-2</v>
      </c>
      <c r="BB61" s="536">
        <f t="shared" si="118"/>
        <v>4.1175446062260646E-2</v>
      </c>
      <c r="BC61" s="536"/>
      <c r="BD61" s="536">
        <f t="shared" si="119"/>
        <v>4.0684297490371391E-2</v>
      </c>
      <c r="BE61" s="536">
        <f t="shared" si="119"/>
        <v>4.2146709750739975E-2</v>
      </c>
      <c r="BF61" s="536">
        <f t="shared" si="119"/>
        <v>4.1425598462273561E-2</v>
      </c>
      <c r="BG61" s="536"/>
      <c r="BH61" s="536"/>
      <c r="BI61" s="80"/>
      <c r="BJ61" s="553" t="str">
        <f>+BS!B38</f>
        <v>Interest-bearing loans and borrowings</v>
      </c>
      <c r="BK61" s="114"/>
      <c r="BL61" s="87">
        <f>+BS!T38</f>
        <v>13.29</v>
      </c>
      <c r="BM61" s="87">
        <f>+BS!U38</f>
        <v>11.103999999999999</v>
      </c>
      <c r="BN61" s="87">
        <f>+BS!V38</f>
        <v>11.103999999999999</v>
      </c>
      <c r="BO61" s="48"/>
      <c r="BP61" s="87">
        <f>+BS!X38</f>
        <v>4.0039999999999996</v>
      </c>
      <c r="BQ61" s="87">
        <f>+BS!Y38</f>
        <v>11.474</v>
      </c>
      <c r="BR61" s="87">
        <f>+BS!Z38</f>
        <v>11.474</v>
      </c>
      <c r="BS61" s="48"/>
      <c r="BT61" s="87">
        <f>+BS!AB38</f>
        <v>5.2619999999999996</v>
      </c>
      <c r="BU61" s="87">
        <f>+BS!AC38</f>
        <v>8.9410000000000007</v>
      </c>
      <c r="BV61" s="87">
        <f>+BS!AD38</f>
        <v>8.9410000000000007</v>
      </c>
      <c r="BW61" s="48"/>
      <c r="BX61" s="87">
        <f>+BS!AF38</f>
        <v>16.72</v>
      </c>
      <c r="BY61" s="87">
        <f>+BS!AG38</f>
        <v>19.768999999999998</v>
      </c>
      <c r="BZ61" s="87">
        <f>+BS!AH38</f>
        <v>19.768999999999998</v>
      </c>
      <c r="CA61" s="48"/>
      <c r="CB61" s="87">
        <f>+BS!AJ38</f>
        <v>16.940000000000001</v>
      </c>
      <c r="CC61" s="87">
        <f>+BS!AK38</f>
        <v>6.1189999999999998</v>
      </c>
      <c r="CD61" s="87">
        <f>+BS!AL38</f>
        <v>6.1189999999999998</v>
      </c>
      <c r="CE61" s="48"/>
      <c r="CF61" s="87">
        <f>+BS!AN38</f>
        <v>7.93</v>
      </c>
      <c r="CG61" s="87">
        <f>+BS!AO38</f>
        <v>7.242</v>
      </c>
      <c r="CH61" s="87">
        <f>+BS!AP38</f>
        <v>7.242</v>
      </c>
      <c r="CI61" s="87">
        <f>+BS!AQ38</f>
        <v>0</v>
      </c>
      <c r="CJ61" s="87">
        <f>+BS!AR38</f>
        <v>7.242</v>
      </c>
      <c r="CK61" s="87">
        <f>+BS!AS38</f>
        <v>7.242</v>
      </c>
      <c r="CL61" s="87">
        <f>+BS!AT38</f>
        <v>7.242</v>
      </c>
      <c r="CM61" s="87">
        <f>+BS!AU38</f>
        <v>0</v>
      </c>
      <c r="CN61" s="87">
        <f>+BS!AV38</f>
        <v>7.242</v>
      </c>
      <c r="CO61" s="87">
        <f>+BS!AW38</f>
        <v>7.242</v>
      </c>
      <c r="CP61" s="87">
        <f>+BS!AX38</f>
        <v>7.242</v>
      </c>
      <c r="CQ61" s="87">
        <f>+BS!AY38</f>
        <v>0</v>
      </c>
      <c r="CR61" s="87">
        <f>+BS!AZ38</f>
        <v>7.242</v>
      </c>
      <c r="CS61" s="87">
        <f>+BS!BA38</f>
        <v>7.242</v>
      </c>
      <c r="CT61" s="87">
        <f>+BS!BB38</f>
        <v>7.242</v>
      </c>
      <c r="CU61" s="48"/>
      <c r="CV61" s="87">
        <f>+BS!BD38</f>
        <v>7.242</v>
      </c>
      <c r="CW61" s="87">
        <f>+BS!BE38</f>
        <v>7.242</v>
      </c>
      <c r="CX61" s="87">
        <f>+BS!BF38</f>
        <v>7.242</v>
      </c>
      <c r="CY61" s="48"/>
    </row>
    <row r="62" spans="1:105" ht="17.100000000000001" customHeight="1">
      <c r="A62" s="35"/>
      <c r="B62" s="86" t="str">
        <f>B20</f>
        <v>International (Incl. Tysers)</v>
      </c>
      <c r="C62" s="74"/>
      <c r="D62" s="98"/>
      <c r="E62" s="98"/>
      <c r="F62" s="98"/>
      <c r="G62" s="74"/>
      <c r="H62" s="536"/>
      <c r="I62" s="536"/>
      <c r="J62" s="536"/>
      <c r="K62" s="59"/>
      <c r="L62" s="536"/>
      <c r="M62" s="536"/>
      <c r="N62" s="536"/>
      <c r="O62" s="536"/>
      <c r="P62" s="536"/>
      <c r="Q62" s="536"/>
      <c r="R62" s="536"/>
      <c r="S62" s="536"/>
      <c r="T62" s="536"/>
      <c r="U62" s="536"/>
      <c r="V62" s="536"/>
      <c r="W62" s="536"/>
      <c r="X62" s="536"/>
      <c r="Y62" s="536"/>
      <c r="Z62" s="536"/>
      <c r="AA62" s="536"/>
      <c r="AB62" s="536"/>
      <c r="AC62" s="536"/>
      <c r="AD62" s="536"/>
      <c r="AE62" s="536"/>
      <c r="AF62" s="536"/>
      <c r="AG62" s="536"/>
      <c r="AH62" s="536"/>
      <c r="AI62" s="536"/>
      <c r="AJ62" s="536"/>
      <c r="AK62" s="536"/>
      <c r="AL62" s="536"/>
      <c r="AM62" s="536"/>
      <c r="AN62" s="536"/>
      <c r="AO62" s="536"/>
      <c r="AP62" s="536"/>
      <c r="AQ62" s="536"/>
      <c r="AR62" s="536"/>
      <c r="AS62" s="536"/>
      <c r="AT62" s="536"/>
      <c r="AU62" s="536"/>
      <c r="AV62" s="536"/>
      <c r="AW62" s="536"/>
      <c r="AX62" s="536"/>
      <c r="AY62" s="536"/>
      <c r="AZ62" s="536"/>
      <c r="BA62" s="536"/>
      <c r="BB62" s="536"/>
      <c r="BC62" s="536"/>
      <c r="BD62" s="536"/>
      <c r="BE62" s="536"/>
      <c r="BF62" s="536"/>
      <c r="BG62" s="536"/>
      <c r="BH62" s="536"/>
      <c r="BI62" s="80"/>
      <c r="BJ62" s="549" t="str">
        <f>+BS!B39</f>
        <v>Total current liabilities</v>
      </c>
      <c r="BK62" s="117"/>
      <c r="BL62" s="98">
        <f>+BS!T39</f>
        <v>239.297</v>
      </c>
      <c r="BM62" s="98">
        <f>+BS!U39</f>
        <v>267.61700000000002</v>
      </c>
      <c r="BN62" s="98">
        <f>+BS!V39</f>
        <v>267.61700000000002</v>
      </c>
      <c r="BO62" s="116"/>
      <c r="BP62" s="98">
        <f>+BS!X39</f>
        <v>239.35700000000003</v>
      </c>
      <c r="BQ62" s="98">
        <f>+BS!Y39</f>
        <v>299.71600000000001</v>
      </c>
      <c r="BR62" s="98">
        <f>+BS!Z39</f>
        <v>299.71600000000001</v>
      </c>
      <c r="BS62" s="116"/>
      <c r="BT62" s="98">
        <f>+BS!AB39</f>
        <v>285.47700000000003</v>
      </c>
      <c r="BU62" s="98">
        <f>+BS!AC39</f>
        <v>490.20799999999997</v>
      </c>
      <c r="BV62" s="98">
        <f>+BS!AD39</f>
        <v>490.20799999999997</v>
      </c>
      <c r="BW62" s="116"/>
      <c r="BX62" s="98">
        <f>+BS!AF39</f>
        <v>1186.74</v>
      </c>
      <c r="BY62" s="98">
        <f>+BS!AG39</f>
        <v>1382.6229999999998</v>
      </c>
      <c r="BZ62" s="98">
        <f>+BS!AH39</f>
        <v>1382.6229999999998</v>
      </c>
      <c r="CA62" s="116"/>
      <c r="CB62" s="98">
        <f>+BS!AJ39</f>
        <v>1187.2570000000001</v>
      </c>
      <c r="CC62" s="98">
        <f>+BS!AK39</f>
        <v>1368.9159999999999</v>
      </c>
      <c r="CD62" s="98">
        <f>+BS!AL39</f>
        <v>1368.9159999999999</v>
      </c>
      <c r="CE62" s="116"/>
      <c r="CF62" s="98">
        <f>+BS!AN39</f>
        <v>1500.5730000000001</v>
      </c>
      <c r="CG62" s="98">
        <f>+BS!AO39</f>
        <v>1484.6379999999999</v>
      </c>
      <c r="CH62" s="98">
        <f>+BS!AP39</f>
        <v>1484.6379999999999</v>
      </c>
      <c r="CI62" s="98">
        <f>+BS!AQ39</f>
        <v>0</v>
      </c>
      <c r="CJ62" s="98">
        <f>+BS!AR39</f>
        <v>1429.4754893998627</v>
      </c>
      <c r="CK62" s="98">
        <f>+BS!AS39</f>
        <v>1545.5144428201318</v>
      </c>
      <c r="CL62" s="98">
        <f>+BS!AT39</f>
        <v>1545.5144428201318</v>
      </c>
      <c r="CM62" s="98">
        <f>+BS!AU39</f>
        <v>0</v>
      </c>
      <c r="CN62" s="98">
        <f>+BS!AV39</f>
        <v>1489.3311348505611</v>
      </c>
      <c r="CO62" s="98">
        <f>+BS!AW39</f>
        <v>1613.770476948526</v>
      </c>
      <c r="CP62" s="98">
        <f>+BS!AX39</f>
        <v>1613.770476948526</v>
      </c>
      <c r="CQ62" s="98">
        <f>+BS!AY39</f>
        <v>0</v>
      </c>
      <c r="CR62" s="98">
        <f>+BS!AZ39</f>
        <v>1536.5857106691369</v>
      </c>
      <c r="CS62" s="98">
        <f>+BS!BA39</f>
        <v>1659.030612471314</v>
      </c>
      <c r="CT62" s="98">
        <f>+BS!BB39</f>
        <v>1659.030612471314</v>
      </c>
      <c r="CU62" s="116"/>
      <c r="CV62" s="98">
        <f>+BS!BD39</f>
        <v>1568.5078875858474</v>
      </c>
      <c r="CW62" s="98">
        <f>+BS!BE39</f>
        <v>1705.7199023562562</v>
      </c>
      <c r="CX62" s="98">
        <f>+BS!BF39</f>
        <v>1705.7199023562562</v>
      </c>
      <c r="CY62" s="116"/>
    </row>
    <row r="63" spans="1:105" ht="17.100000000000001" customHeight="1">
      <c r="A63" s="35"/>
      <c r="B63" s="86" t="str">
        <f>B22</f>
        <v>Corporate</v>
      </c>
      <c r="C63" s="88"/>
      <c r="D63" s="98"/>
      <c r="E63" s="98"/>
      <c r="F63" s="98"/>
      <c r="G63" s="88"/>
      <c r="H63" s="536">
        <f t="shared" ref="H63:J64" si="122">H22/D22-1</f>
        <v>0</v>
      </c>
      <c r="I63" s="536">
        <f t="shared" si="122"/>
        <v>0.44623884402889913</v>
      </c>
      <c r="J63" s="536">
        <f t="shared" si="122"/>
        <v>0.22600086095566074</v>
      </c>
      <c r="K63" s="87"/>
      <c r="L63" s="536">
        <f t="shared" ref="L63:N64" si="123">L22/H22-1</f>
        <v>0.12690798081116439</v>
      </c>
      <c r="M63" s="536">
        <f t="shared" si="123"/>
        <v>-0.11357625624448997</v>
      </c>
      <c r="N63" s="536">
        <f t="shared" si="123"/>
        <v>-1.6766151685393305E-2</v>
      </c>
      <c r="O63" s="536"/>
      <c r="P63" s="536">
        <f t="shared" ref="P63:R64" si="124">P22/L22-1</f>
        <v>0.81424148606811153</v>
      </c>
      <c r="Q63" s="536">
        <f t="shared" si="124"/>
        <v>0.42681916127962882</v>
      </c>
      <c r="R63" s="536">
        <f t="shared" si="124"/>
        <v>0.60557093116686045</v>
      </c>
      <c r="S63" s="536"/>
      <c r="T63" s="536">
        <f t="shared" ref="T63:V64" si="125">T22/P22-1</f>
        <v>0.26674488054607481</v>
      </c>
      <c r="U63" s="536">
        <f t="shared" si="125"/>
        <v>0.29089219330855043</v>
      </c>
      <c r="V63" s="536">
        <f t="shared" si="125"/>
        <v>0.27830293594306044</v>
      </c>
      <c r="W63" s="536"/>
      <c r="X63" s="536">
        <f t="shared" ref="X63:Z64" si="126">X22/T22-1</f>
        <v>0.12848362381072675</v>
      </c>
      <c r="Y63" s="536">
        <f t="shared" si="126"/>
        <v>-0.17152627789776831</v>
      </c>
      <c r="Z63" s="536">
        <f t="shared" si="126"/>
        <v>-1.6529644612640948E-2</v>
      </c>
      <c r="AA63" s="536"/>
      <c r="AB63" s="536">
        <f t="shared" ref="AB63:AD64" si="127">AB22/X22-1</f>
        <v>4.1334029694844343E-2</v>
      </c>
      <c r="AC63" s="536">
        <f t="shared" si="127"/>
        <v>5.9526395828807477E-2</v>
      </c>
      <c r="AD63" s="536">
        <f t="shared" si="127"/>
        <v>4.8741651554690568E-2</v>
      </c>
      <c r="AE63" s="536" t="e">
        <f t="shared" ref="AE63:AE64" si="128">AE22/AA22-1</f>
        <v>#DIV/0!</v>
      </c>
      <c r="AF63" s="536">
        <f t="shared" ref="AF63:AF64" si="129">AF22/AB22-1</f>
        <v>-4.8064770366124554E-2</v>
      </c>
      <c r="AG63" s="536">
        <f t="shared" ref="AG63:AG64" si="130">AG22/AC22-1</f>
        <v>1.9143940947303761E-2</v>
      </c>
      <c r="AH63" s="536">
        <f t="shared" ref="AH63:AH64" si="131">AH22/AD22-1</f>
        <v>-2.0417105984564032E-2</v>
      </c>
      <c r="AI63" s="536" t="e">
        <f t="shared" ref="AI63:AI64" si="132">AI22/AE22-1</f>
        <v>#DIV/0!</v>
      </c>
      <c r="AJ63" s="536">
        <f t="shared" ref="AJ63:AJ64" si="133">AJ22/AF22-1</f>
        <v>7.5825163177321242E-2</v>
      </c>
      <c r="AK63" s="536">
        <f t="shared" ref="AK63:AK64" si="134">AK22/AG22-1</f>
        <v>1.3682766632832744E-2</v>
      </c>
      <c r="AL63" s="536">
        <f t="shared" ref="AL63:AL64" si="135">AL22/AH22-1</f>
        <v>4.922923123801759E-2</v>
      </c>
      <c r="AM63" s="536" t="e">
        <f t="shared" ref="AM63:AM64" si="136">AM22/AI22-1</f>
        <v>#DIV/0!</v>
      </c>
      <c r="AN63" s="536">
        <f t="shared" ref="AN63:AN64" si="137">AN22/AJ22-1</f>
        <v>1.4070165047026739E-2</v>
      </c>
      <c r="AO63" s="536">
        <f t="shared" ref="AO63:AO64" si="138">AO22/AK22-1</f>
        <v>1.3661270773895451E-2</v>
      </c>
      <c r="AP63" s="536">
        <f t="shared" ref="AP63:AP64" si="139">AP22/AL22-1</f>
        <v>1.3901093734285386E-2</v>
      </c>
      <c r="AQ63" s="536"/>
      <c r="AR63" s="536">
        <f t="shared" ref="AR63:AT64" si="140">AR22/AN22-1</f>
        <v>1.6438870756900457</v>
      </c>
      <c r="AS63" s="536">
        <f t="shared" si="140"/>
        <v>2.3264429897801802</v>
      </c>
      <c r="AT63" s="536">
        <f t="shared" si="140"/>
        <v>1.9260463910055958</v>
      </c>
      <c r="AU63" s="536"/>
      <c r="AV63" s="536">
        <f t="shared" ref="AV63:AX64" si="141">AV22/AR22-1</f>
        <v>5.3851129150797039E-3</v>
      </c>
      <c r="AW63" s="536">
        <f t="shared" si="141"/>
        <v>4.1494358887992355E-3</v>
      </c>
      <c r="AX63" s="536">
        <f t="shared" si="141"/>
        <v>4.8044019741493305E-3</v>
      </c>
      <c r="AY63" s="536"/>
      <c r="AZ63" s="536">
        <f t="shared" ref="AZ63:BB64" si="142">AZ22/AV22-1</f>
        <v>5.4255467756341158E-3</v>
      </c>
      <c r="BA63" s="536">
        <f t="shared" si="142"/>
        <v>4.1815896834018762E-3</v>
      </c>
      <c r="BB63" s="536">
        <f t="shared" si="142"/>
        <v>4.841325651228745E-3</v>
      </c>
      <c r="BC63" s="536"/>
      <c r="BD63" s="536">
        <f t="shared" ref="BD63:BF64" si="143">BD22/AZ22-1</f>
        <v>5.4658740908994918E-3</v>
      </c>
      <c r="BE63" s="536">
        <f t="shared" si="143"/>
        <v>4.2136266264152233E-3</v>
      </c>
      <c r="BF63" s="536">
        <f t="shared" si="143"/>
        <v>4.8781455463369205E-3</v>
      </c>
      <c r="BG63" s="536"/>
      <c r="BH63" s="536"/>
      <c r="BI63" s="49"/>
      <c r="BJ63" s="553"/>
      <c r="BK63" s="118"/>
      <c r="BL63" s="87"/>
      <c r="BM63" s="87"/>
      <c r="BN63" s="87"/>
      <c r="BO63" s="107"/>
      <c r="BP63" s="87"/>
      <c r="BQ63" s="87"/>
      <c r="BR63" s="87"/>
      <c r="BS63" s="107"/>
      <c r="BT63" s="87"/>
      <c r="BU63" s="87"/>
      <c r="BV63" s="87"/>
      <c r="BW63" s="107"/>
      <c r="BX63" s="87"/>
      <c r="BY63" s="87"/>
      <c r="BZ63" s="87"/>
      <c r="CA63" s="107"/>
      <c r="CB63" s="87"/>
      <c r="CC63" s="87"/>
      <c r="CD63" s="87"/>
      <c r="CE63" s="107"/>
      <c r="CF63" s="87"/>
      <c r="CG63" s="87"/>
      <c r="CH63" s="87"/>
      <c r="CI63" s="87"/>
      <c r="CJ63" s="87"/>
      <c r="CK63" s="87"/>
      <c r="CL63" s="87"/>
      <c r="CM63" s="87"/>
      <c r="CN63" s="87"/>
      <c r="CO63" s="87"/>
      <c r="CP63" s="87"/>
      <c r="CQ63" s="87"/>
      <c r="CR63" s="87"/>
      <c r="CS63" s="87"/>
      <c r="CT63" s="87"/>
      <c r="CU63" s="107"/>
      <c r="CV63" s="87"/>
      <c r="CW63" s="87"/>
      <c r="CX63" s="87"/>
      <c r="CY63" s="107"/>
    </row>
    <row r="64" spans="1:105" ht="17.100000000000001" customHeight="1">
      <c r="B64" s="594" t="str">
        <f>B23</f>
        <v>Group Underlying EBITA pre NCI</v>
      </c>
      <c r="C64" s="110"/>
      <c r="D64" s="98"/>
      <c r="E64" s="98"/>
      <c r="F64" s="98"/>
      <c r="G64" s="110"/>
      <c r="H64" s="595">
        <f t="shared" si="122"/>
        <v>4.5031184343309105E-2</v>
      </c>
      <c r="I64" s="595">
        <f t="shared" si="122"/>
        <v>0.18622465825794099</v>
      </c>
      <c r="J64" s="595">
        <f t="shared" si="122"/>
        <v>0.12354401374832902</v>
      </c>
      <c r="K64" s="98"/>
      <c r="L64" s="595">
        <f t="shared" si="123"/>
        <v>0.437667210182209</v>
      </c>
      <c r="M64" s="595">
        <f t="shared" si="123"/>
        <v>0.14627846128152289</v>
      </c>
      <c r="N64" s="595">
        <f t="shared" si="123"/>
        <v>0.26659650682424352</v>
      </c>
      <c r="O64" s="595"/>
      <c r="P64" s="595">
        <f t="shared" si="124"/>
        <v>2.3211768851303383E-2</v>
      </c>
      <c r="Q64" s="595">
        <f t="shared" si="124"/>
        <v>0.19833322001301634</v>
      </c>
      <c r="R64" s="595">
        <f t="shared" si="124"/>
        <v>0.11625698641165449</v>
      </c>
      <c r="S64" s="595"/>
      <c r="T64" s="595">
        <f t="shared" si="125"/>
        <v>0.44137144333003286</v>
      </c>
      <c r="U64" s="595">
        <f t="shared" si="125"/>
        <v>0.70412249132704341</v>
      </c>
      <c r="V64" s="595">
        <f t="shared" si="125"/>
        <v>0.59124070717905219</v>
      </c>
      <c r="W64" s="595"/>
      <c r="X64" s="595">
        <f t="shared" si="126"/>
        <v>0.44392928071197191</v>
      </c>
      <c r="Y64" s="595">
        <f t="shared" si="126"/>
        <v>0.1272634738228986</v>
      </c>
      <c r="Z64" s="595">
        <f t="shared" si="126"/>
        <v>0.2505585756248927</v>
      </c>
      <c r="AA64" s="595"/>
      <c r="AB64" s="595">
        <f t="shared" si="127"/>
        <v>0.10778864201616356</v>
      </c>
      <c r="AC64" s="595">
        <f t="shared" si="127"/>
        <v>0.19092646742363728</v>
      </c>
      <c r="AD64" s="595">
        <f t="shared" si="127"/>
        <v>0.15356074123638441</v>
      </c>
      <c r="AE64" s="595" t="e">
        <f t="shared" si="128"/>
        <v>#DIV/0!</v>
      </c>
      <c r="AF64" s="595">
        <f t="shared" si="129"/>
        <v>0.11657674929869355</v>
      </c>
      <c r="AG64" s="595">
        <f t="shared" si="130"/>
        <v>6.734368246139999E-2</v>
      </c>
      <c r="AH64" s="595">
        <f t="shared" si="131"/>
        <v>8.8540309278143159E-2</v>
      </c>
      <c r="AI64" s="595">
        <f t="shared" si="132"/>
        <v>-1</v>
      </c>
      <c r="AJ64" s="595">
        <f t="shared" si="133"/>
        <v>6.0841067840661012E-2</v>
      </c>
      <c r="AK64" s="595">
        <f t="shared" si="134"/>
        <v>7.2321962486738167E-2</v>
      </c>
      <c r="AL64" s="595">
        <f t="shared" si="135"/>
        <v>6.7240396581480733E-2</v>
      </c>
      <c r="AM64" s="595" t="e">
        <f t="shared" si="136"/>
        <v>#DIV/0!</v>
      </c>
      <c r="AN64" s="595">
        <f t="shared" si="137"/>
        <v>6.6229569677507705E-2</v>
      </c>
      <c r="AO64" s="595">
        <f t="shared" si="138"/>
        <v>6.6147243232713926E-2</v>
      </c>
      <c r="AP64" s="595">
        <f t="shared" si="139"/>
        <v>6.6183463300641066E-2</v>
      </c>
      <c r="AQ64" s="595"/>
      <c r="AR64" s="595">
        <f t="shared" si="140"/>
        <v>3.7739110221919114E-2</v>
      </c>
      <c r="AS64" s="595">
        <f t="shared" si="140"/>
        <v>3.9998621449613081E-2</v>
      </c>
      <c r="AT64" s="595">
        <f t="shared" si="140"/>
        <v>3.900449144129059E-2</v>
      </c>
      <c r="AU64" s="595"/>
      <c r="AV64" s="595">
        <f t="shared" si="141"/>
        <v>3.8077023861684323E-2</v>
      </c>
      <c r="AW64" s="595">
        <f t="shared" si="141"/>
        <v>4.0288442028272309E-2</v>
      </c>
      <c r="AX64" s="595">
        <f t="shared" si="141"/>
        <v>3.9316656757142354E-2</v>
      </c>
      <c r="AY64" s="595"/>
      <c r="AZ64" s="595">
        <f t="shared" si="142"/>
        <v>3.8410211214681578E-2</v>
      </c>
      <c r="BA64" s="595">
        <f t="shared" si="142"/>
        <v>4.0573244836807243E-2</v>
      </c>
      <c r="BB64" s="595">
        <f t="shared" si="142"/>
        <v>3.9623855388216889E-2</v>
      </c>
      <c r="BC64" s="595"/>
      <c r="BD64" s="595">
        <f t="shared" si="143"/>
        <v>3.8738602196294547E-2</v>
      </c>
      <c r="BE64" s="595">
        <f t="shared" si="143"/>
        <v>4.0853026884904109E-2</v>
      </c>
      <c r="BF64" s="595">
        <f t="shared" si="143"/>
        <v>3.9926056060268555E-2</v>
      </c>
      <c r="BG64" s="595"/>
      <c r="BH64" s="536"/>
      <c r="BI64" s="49"/>
      <c r="BJ64" s="553" t="str">
        <f>+BS!B41</f>
        <v>Non-current liabilities</v>
      </c>
      <c r="BK64" s="118"/>
      <c r="BL64" s="87">
        <f>+BS!T41</f>
        <v>0</v>
      </c>
      <c r="BM64" s="87">
        <f>+BS!U41</f>
        <v>0</v>
      </c>
      <c r="BN64" s="87">
        <f>+BS!V41</f>
        <v>0</v>
      </c>
      <c r="BO64" s="107"/>
      <c r="BP64" s="87">
        <f>+BS!X41</f>
        <v>0</v>
      </c>
      <c r="BQ64" s="87">
        <f>+BS!Y41</f>
        <v>0</v>
      </c>
      <c r="BR64" s="87">
        <f>+BS!Z41</f>
        <v>0</v>
      </c>
      <c r="BS64" s="107"/>
      <c r="BT64" s="87">
        <f>+BS!AB41</f>
        <v>0</v>
      </c>
      <c r="BU64" s="87">
        <f>+BS!AC41</f>
        <v>0</v>
      </c>
      <c r="BV64" s="87">
        <f>+BS!AD41</f>
        <v>0</v>
      </c>
      <c r="BW64" s="107"/>
      <c r="BX64" s="87">
        <f>+BS!AF41</f>
        <v>0</v>
      </c>
      <c r="BY64" s="87">
        <f>+BS!AG41</f>
        <v>0</v>
      </c>
      <c r="BZ64" s="87">
        <f>+BS!AH41</f>
        <v>0</v>
      </c>
      <c r="CA64" s="107"/>
      <c r="CB64" s="87">
        <f>+BS!AJ41</f>
        <v>0</v>
      </c>
      <c r="CC64" s="87">
        <f>+BS!AK41</f>
        <v>0</v>
      </c>
      <c r="CD64" s="87">
        <f>+BS!AL41</f>
        <v>0</v>
      </c>
      <c r="CE64" s="107"/>
      <c r="CF64" s="87">
        <f>+BS!AN41</f>
        <v>0</v>
      </c>
      <c r="CG64" s="87">
        <f>+BS!AO41</f>
        <v>0</v>
      </c>
      <c r="CH64" s="87">
        <f>+BS!AP41</f>
        <v>0</v>
      </c>
      <c r="CI64" s="87">
        <f>+BS!AQ41</f>
        <v>0</v>
      </c>
      <c r="CJ64" s="87">
        <f>+BS!AR41</f>
        <v>0</v>
      </c>
      <c r="CK64" s="87">
        <f>+BS!AS41</f>
        <v>0</v>
      </c>
      <c r="CL64" s="87">
        <f>+BS!AT41</f>
        <v>0</v>
      </c>
      <c r="CM64" s="87">
        <f>+BS!AU41</f>
        <v>0</v>
      </c>
      <c r="CN64" s="87">
        <f>+BS!AV41</f>
        <v>0</v>
      </c>
      <c r="CO64" s="87">
        <f>+BS!AW41</f>
        <v>0</v>
      </c>
      <c r="CP64" s="87">
        <f>+BS!AX41</f>
        <v>0</v>
      </c>
      <c r="CQ64" s="87">
        <f>+BS!AY41</f>
        <v>0</v>
      </c>
      <c r="CR64" s="87">
        <f>+BS!AZ41</f>
        <v>0</v>
      </c>
      <c r="CS64" s="87">
        <f>+BS!BA41</f>
        <v>0</v>
      </c>
      <c r="CT64" s="87">
        <f>+BS!BB41</f>
        <v>0</v>
      </c>
      <c r="CU64" s="107"/>
      <c r="CV64" s="87">
        <f>+BS!BD41</f>
        <v>0</v>
      </c>
      <c r="CW64" s="87">
        <f>+BS!BE41</f>
        <v>0</v>
      </c>
      <c r="CX64" s="87">
        <f>+BS!BF41</f>
        <v>0</v>
      </c>
      <c r="CY64" s="107"/>
    </row>
    <row r="65" spans="1:104" ht="17.100000000000001" customHeight="1">
      <c r="B65" s="86"/>
      <c r="C65" s="113"/>
      <c r="D65" s="84"/>
      <c r="E65" s="84"/>
      <c r="F65" s="84"/>
      <c r="G65" s="113"/>
      <c r="H65" s="536"/>
      <c r="I65" s="536"/>
      <c r="J65" s="536"/>
      <c r="K65" s="87"/>
      <c r="L65" s="536"/>
      <c r="M65" s="536"/>
      <c r="N65" s="536"/>
      <c r="O65" s="536"/>
      <c r="P65" s="536"/>
      <c r="Q65" s="536"/>
      <c r="R65" s="536"/>
      <c r="S65" s="536"/>
      <c r="T65" s="536"/>
      <c r="U65" s="536"/>
      <c r="V65" s="536"/>
      <c r="W65" s="536"/>
      <c r="X65" s="536"/>
      <c r="Y65" s="536"/>
      <c r="Z65" s="536"/>
      <c r="AA65" s="536"/>
      <c r="AB65" s="536"/>
      <c r="AC65" s="536"/>
      <c r="AD65" s="536"/>
      <c r="AE65" s="536"/>
      <c r="AF65" s="536"/>
      <c r="AG65" s="536"/>
      <c r="AH65" s="536"/>
      <c r="AI65" s="536"/>
      <c r="AJ65" s="536"/>
      <c r="AK65" s="536"/>
      <c r="AL65" s="536"/>
      <c r="AM65" s="536"/>
      <c r="AN65" s="536"/>
      <c r="AO65" s="536"/>
      <c r="AP65" s="536"/>
      <c r="AQ65" s="536"/>
      <c r="AR65" s="536"/>
      <c r="AS65" s="536"/>
      <c r="AT65" s="536"/>
      <c r="AU65" s="536"/>
      <c r="AV65" s="536"/>
      <c r="AW65" s="536"/>
      <c r="AX65" s="536"/>
      <c r="AY65" s="536"/>
      <c r="AZ65" s="536"/>
      <c r="BA65" s="536"/>
      <c r="BB65" s="536"/>
      <c r="BC65" s="536"/>
      <c r="BD65" s="536"/>
      <c r="BE65" s="536"/>
      <c r="BF65" s="536"/>
      <c r="BG65" s="536"/>
      <c r="BH65" s="536"/>
      <c r="BI65" s="49"/>
      <c r="BJ65" s="553" t="str">
        <f>+BS!B42</f>
        <v>Trade and other payables</v>
      </c>
      <c r="BK65" s="87"/>
      <c r="BL65" s="87">
        <f>+BS!T42</f>
        <v>0.66</v>
      </c>
      <c r="BM65" s="87">
        <f>+BS!U42</f>
        <v>0.54700000000000004</v>
      </c>
      <c r="BN65" s="87">
        <f>+BS!V42</f>
        <v>0.54700000000000004</v>
      </c>
      <c r="BO65" s="87"/>
      <c r="BP65" s="87">
        <f>+BS!X42</f>
        <v>19.718</v>
      </c>
      <c r="BQ65" s="87">
        <f>+BS!Y42</f>
        <v>10.53</v>
      </c>
      <c r="BR65" s="87">
        <f>+BS!Z42</f>
        <v>10.53</v>
      </c>
      <c r="BS65" s="87"/>
      <c r="BT65" s="87">
        <f>+BS!AB42</f>
        <v>16.138000000000002</v>
      </c>
      <c r="BU65" s="87">
        <f>+BS!AC42</f>
        <v>67.626999999999995</v>
      </c>
      <c r="BV65" s="87">
        <f>+BS!AD42</f>
        <v>67.626999999999995</v>
      </c>
      <c r="BW65" s="87"/>
      <c r="BX65" s="87">
        <f>+BS!AF42</f>
        <v>220.98</v>
      </c>
      <c r="BY65" s="87">
        <f>+BS!AG42</f>
        <v>237.94</v>
      </c>
      <c r="BZ65" s="87">
        <f>+BS!AH42</f>
        <v>237.94</v>
      </c>
      <c r="CA65" s="87"/>
      <c r="CB65" s="87">
        <f>+BS!AJ42</f>
        <v>227.43100000000001</v>
      </c>
      <c r="CC65" s="87">
        <f>+BS!AK42</f>
        <v>87.504999999999995</v>
      </c>
      <c r="CD65" s="87">
        <f>+BS!AL42</f>
        <v>87.504999999999995</v>
      </c>
      <c r="CE65" s="87"/>
      <c r="CF65" s="87">
        <f>+BS!AN42</f>
        <v>83.722999999999999</v>
      </c>
      <c r="CG65" s="87">
        <f>+BS!AO42</f>
        <v>70.516000000000005</v>
      </c>
      <c r="CH65" s="87">
        <f>+BS!AP42</f>
        <v>70.516000000000005</v>
      </c>
      <c r="CI65" s="87">
        <f>+BS!AQ42</f>
        <v>0</v>
      </c>
      <c r="CJ65" s="87">
        <f>+BS!AR42</f>
        <v>121.1824539122517</v>
      </c>
      <c r="CK65" s="87">
        <f>+BS!AS42</f>
        <v>132.83816573886418</v>
      </c>
      <c r="CL65" s="87">
        <f>+BS!AT42</f>
        <v>132.83816573886418</v>
      </c>
      <c r="CM65" s="87">
        <f>+BS!AU42</f>
        <v>0</v>
      </c>
      <c r="CN65" s="87">
        <f>+BS!AV42</f>
        <v>126.61964586073839</v>
      </c>
      <c r="CO65" s="87">
        <f>+BS!AW42</f>
        <v>139.10784174686853</v>
      </c>
      <c r="CP65" s="87">
        <f>+BS!AX42</f>
        <v>139.10784174686853</v>
      </c>
      <c r="CQ65" s="87">
        <f>+BS!AY42</f>
        <v>0</v>
      </c>
      <c r="CR65" s="87">
        <f>+BS!AZ42</f>
        <v>132.42448293504313</v>
      </c>
      <c r="CS65" s="87">
        <f>+BS!BA42</f>
        <v>144.98850435581335</v>
      </c>
      <c r="CT65" s="87">
        <f>+BS!BB42</f>
        <v>144.98850435581335</v>
      </c>
      <c r="CU65" s="87"/>
      <c r="CV65" s="87">
        <f>+BS!BD42</f>
        <v>137.04272098361781</v>
      </c>
      <c r="CW65" s="87">
        <f>+BS!BE42</f>
        <v>151.15990873687326</v>
      </c>
      <c r="CX65" s="87">
        <f>+BS!BF42</f>
        <v>151.15990873687326</v>
      </c>
      <c r="CY65" s="87"/>
    </row>
    <row r="66" spans="1:104" ht="17.100000000000001" customHeight="1">
      <c r="B66" s="86" t="str">
        <f>B23</f>
        <v>Group Underlying EBITA pre NCI</v>
      </c>
      <c r="C66" s="54"/>
      <c r="D66" s="59"/>
      <c r="E66" s="59"/>
      <c r="F66" s="59"/>
      <c r="G66" s="54"/>
      <c r="H66" s="536">
        <f>H23/D23-1</f>
        <v>4.5031184343309105E-2</v>
      </c>
      <c r="I66" s="536">
        <f>I23/E23-1</f>
        <v>0.18622465825794099</v>
      </c>
      <c r="J66" s="536">
        <f>J23/F23-1</f>
        <v>0.12354401374832902</v>
      </c>
      <c r="K66" s="101"/>
      <c r="L66" s="536">
        <f>L23/H23-1</f>
        <v>0.437667210182209</v>
      </c>
      <c r="M66" s="536">
        <f>M23/I23-1</f>
        <v>0.14627846128152289</v>
      </c>
      <c r="N66" s="536">
        <f>N23/J23-1</f>
        <v>0.26659650682424352</v>
      </c>
      <c r="O66" s="536"/>
      <c r="P66" s="536">
        <f>P23/L23-1</f>
        <v>2.3211768851303383E-2</v>
      </c>
      <c r="Q66" s="536">
        <f>Q23/M23-1</f>
        <v>0.19833322001301634</v>
      </c>
      <c r="R66" s="536">
        <f>R23/N23-1</f>
        <v>0.11625698641165449</v>
      </c>
      <c r="S66" s="536"/>
      <c r="T66" s="536">
        <f>T23/P23-1</f>
        <v>0.44137144333003286</v>
      </c>
      <c r="U66" s="536">
        <f>U23/Q23-1</f>
        <v>0.70412249132704341</v>
      </c>
      <c r="V66" s="536">
        <f>V23/R23-1</f>
        <v>0.59124070717905219</v>
      </c>
      <c r="W66" s="536"/>
      <c r="X66" s="536">
        <f>X23/T23-1</f>
        <v>0.44392928071197191</v>
      </c>
      <c r="Y66" s="536">
        <f>Y23/U23-1</f>
        <v>0.1272634738228986</v>
      </c>
      <c r="Z66" s="536">
        <f>Z23/V23-1</f>
        <v>0.2505585756248927</v>
      </c>
      <c r="AA66" s="536"/>
      <c r="AB66" s="536">
        <f>AB23/X23-1</f>
        <v>0.10778864201616356</v>
      </c>
      <c r="AC66" s="536">
        <f>AC23/Y23-1</f>
        <v>0.19092646742363728</v>
      </c>
      <c r="AD66" s="536">
        <f>AD23/Z23-1</f>
        <v>0.15356074123638441</v>
      </c>
      <c r="AE66" s="536" t="e">
        <f t="shared" ref="AE66:AP66" si="144">AE23/AA23-1</f>
        <v>#DIV/0!</v>
      </c>
      <c r="AF66" s="536">
        <f t="shared" si="144"/>
        <v>0.11657674929869355</v>
      </c>
      <c r="AG66" s="536">
        <f t="shared" si="144"/>
        <v>6.734368246139999E-2</v>
      </c>
      <c r="AH66" s="536">
        <f t="shared" si="144"/>
        <v>8.8540309278143159E-2</v>
      </c>
      <c r="AI66" s="536">
        <f t="shared" si="144"/>
        <v>-1</v>
      </c>
      <c r="AJ66" s="536">
        <f t="shared" si="144"/>
        <v>6.0841067840661012E-2</v>
      </c>
      <c r="AK66" s="536">
        <f t="shared" si="144"/>
        <v>7.2321962486738167E-2</v>
      </c>
      <c r="AL66" s="536">
        <f t="shared" si="144"/>
        <v>6.7240396581480733E-2</v>
      </c>
      <c r="AM66" s="536" t="e">
        <f t="shared" si="144"/>
        <v>#DIV/0!</v>
      </c>
      <c r="AN66" s="536">
        <f t="shared" si="144"/>
        <v>6.6229569677507705E-2</v>
      </c>
      <c r="AO66" s="536">
        <f t="shared" si="144"/>
        <v>6.6147243232713926E-2</v>
      </c>
      <c r="AP66" s="536">
        <f t="shared" si="144"/>
        <v>6.6183463300641066E-2</v>
      </c>
      <c r="AQ66" s="536"/>
      <c r="AR66" s="536">
        <f>AR23/AN23-1</f>
        <v>3.7739110221919114E-2</v>
      </c>
      <c r="AS66" s="536">
        <f>AS23/AO23-1</f>
        <v>3.9998621449613081E-2</v>
      </c>
      <c r="AT66" s="536">
        <f>AT23/AP23-1</f>
        <v>3.900449144129059E-2</v>
      </c>
      <c r="AU66" s="536"/>
      <c r="AV66" s="536">
        <f>AV23/AR23-1</f>
        <v>3.8077023861684323E-2</v>
      </c>
      <c r="AW66" s="536">
        <f>AW23/AS23-1</f>
        <v>4.0288442028272309E-2</v>
      </c>
      <c r="AX66" s="536">
        <f>AX23/AT23-1</f>
        <v>3.9316656757142354E-2</v>
      </c>
      <c r="AY66" s="536"/>
      <c r="AZ66" s="536">
        <f>AZ23/AV23-1</f>
        <v>3.8410211214681578E-2</v>
      </c>
      <c r="BA66" s="536">
        <f>BA23/AW23-1</f>
        <v>4.0573244836807243E-2</v>
      </c>
      <c r="BB66" s="536">
        <f>BB23/AX23-1</f>
        <v>3.9623855388216889E-2</v>
      </c>
      <c r="BC66" s="536"/>
      <c r="BD66" s="536">
        <f>BD23/AZ23-1</f>
        <v>3.8738602196294547E-2</v>
      </c>
      <c r="BE66" s="536">
        <f>BE23/BA23-1</f>
        <v>4.0853026884904109E-2</v>
      </c>
      <c r="BF66" s="536">
        <f>BF23/BB23-1</f>
        <v>3.9926056060268555E-2</v>
      </c>
      <c r="BG66" s="536"/>
      <c r="BH66" s="536"/>
      <c r="BI66" s="49"/>
      <c r="BJ66" s="553" t="str">
        <f>+BS!B43</f>
        <v>Provisions</v>
      </c>
      <c r="BL66" s="87">
        <f>+BS!T43</f>
        <v>2.86</v>
      </c>
      <c r="BM66" s="87">
        <f>+BS!U43</f>
        <v>3.6640000000000001</v>
      </c>
      <c r="BN66" s="87">
        <f>+BS!V43</f>
        <v>3.6640000000000001</v>
      </c>
      <c r="BP66" s="87">
        <f>+BS!X43</f>
        <v>4.4029999999999996</v>
      </c>
      <c r="BQ66" s="87">
        <f>+BS!Y43</f>
        <v>3.7669999999999999</v>
      </c>
      <c r="BR66" s="87">
        <f>+BS!Z43</f>
        <v>3.7669999999999999</v>
      </c>
      <c r="BT66" s="87">
        <f>+BS!AB43</f>
        <v>6.6239999999999997</v>
      </c>
      <c r="BU66" s="87">
        <f>+BS!AC43</f>
        <v>9.7539999999999996</v>
      </c>
      <c r="BV66" s="87">
        <f>+BS!AD43</f>
        <v>9.7539999999999996</v>
      </c>
      <c r="BX66" s="87">
        <f>+BS!AF43</f>
        <v>9.4169999999999998</v>
      </c>
      <c r="BY66" s="87">
        <f>+BS!AG43</f>
        <v>5.4749999999999996</v>
      </c>
      <c r="BZ66" s="87">
        <f>+BS!AH43</f>
        <v>5.4749999999999996</v>
      </c>
      <c r="CB66" s="87">
        <f>+BS!AJ43</f>
        <v>18.154</v>
      </c>
      <c r="CC66" s="87">
        <f>+BS!AK43</f>
        <v>19.919</v>
      </c>
      <c r="CD66" s="87">
        <f>+BS!AL43</f>
        <v>19.919</v>
      </c>
      <c r="CF66" s="87">
        <f>+BS!AN43</f>
        <v>33.231000000000002</v>
      </c>
      <c r="CG66" s="87">
        <f>+BS!AO43</f>
        <v>23.613</v>
      </c>
      <c r="CH66" s="87">
        <f>+BS!AP43</f>
        <v>23.613</v>
      </c>
      <c r="CI66" s="87">
        <f>+BS!AQ43</f>
        <v>0</v>
      </c>
      <c r="CJ66" s="87">
        <f>+BS!AR43</f>
        <v>22.489240680677494</v>
      </c>
      <c r="CK66" s="87">
        <f>+BS!AS43</f>
        <v>24.652327003084491</v>
      </c>
      <c r="CL66" s="87">
        <f>+BS!AT43</f>
        <v>24.652327003084491</v>
      </c>
      <c r="CM66" s="87">
        <f>+BS!AU43</f>
        <v>0</v>
      </c>
      <c r="CN66" s="87">
        <f>+BS!AV43</f>
        <v>23.498283775687774</v>
      </c>
      <c r="CO66" s="87">
        <f>+BS!AW43</f>
        <v>25.815863869865357</v>
      </c>
      <c r="CP66" s="87">
        <f>+BS!AX43</f>
        <v>25.815863869865357</v>
      </c>
      <c r="CQ66" s="87">
        <f>+BS!AY43</f>
        <v>0</v>
      </c>
      <c r="CR66" s="87">
        <f>+BS!AZ43</f>
        <v>24.575555062591139</v>
      </c>
      <c r="CS66" s="87">
        <f>+BS!BA43</f>
        <v>26.907206985182899</v>
      </c>
      <c r="CT66" s="87">
        <f>+BS!BB43</f>
        <v>26.907206985182899</v>
      </c>
      <c r="CV66" s="87">
        <f>+BS!BD43</f>
        <v>25.43261533527933</v>
      </c>
      <c r="CW66" s="87">
        <f>+BS!BE43</f>
        <v>28.052506440530966</v>
      </c>
      <c r="CX66" s="87">
        <f>+BS!BF43</f>
        <v>28.052506440530966</v>
      </c>
    </row>
    <row r="67" spans="1:104" ht="17.100000000000001" customHeight="1">
      <c r="B67" s="86" t="str">
        <f>B25</f>
        <v>Group Net Profit Before Tax &amp; NCI</v>
      </c>
      <c r="C67" s="74"/>
      <c r="D67" s="53"/>
      <c r="E67" s="53"/>
      <c r="F67" s="53"/>
      <c r="G67" s="74"/>
      <c r="H67" s="536">
        <f>H25/D25-1</f>
        <v>3.8409325393234051E-2</v>
      </c>
      <c r="I67" s="536">
        <f>I25/E25-1</f>
        <v>0.21284043968353994</v>
      </c>
      <c r="J67" s="536">
        <f>J25/F25-1</f>
        <v>0.13675767001942174</v>
      </c>
      <c r="K67" s="87"/>
      <c r="L67" s="536">
        <f>L25/H25-1</f>
        <v>0.47785389321759086</v>
      </c>
      <c r="M67" s="536">
        <f>M25/I25-1</f>
        <v>0.12744905616810032</v>
      </c>
      <c r="N67" s="536">
        <f>N25/J25-1</f>
        <v>0.26706439604400556</v>
      </c>
      <c r="O67" s="536"/>
      <c r="P67" s="536">
        <f>P25/L25-1</f>
        <v>3.5927013670193464E-2</v>
      </c>
      <c r="Q67" s="536">
        <f>Q25/M25-1</f>
        <v>0.21733876748520253</v>
      </c>
      <c r="R67" s="536">
        <f>R25/N25-1</f>
        <v>0.13303222482281463</v>
      </c>
      <c r="S67" s="536"/>
      <c r="T67" s="536">
        <f>T25/P25-1</f>
        <v>0.34751619624497532</v>
      </c>
      <c r="U67" s="536">
        <f>U25/Q25-1</f>
        <v>0.50082437456888607</v>
      </c>
      <c r="V67" s="536">
        <f>V25/R25-1</f>
        <v>0.43568432612345109</v>
      </c>
      <c r="W67" s="536"/>
      <c r="X67" s="536">
        <f>X25/T25-1</f>
        <v>0.37980245202828966</v>
      </c>
      <c r="Y67" s="536">
        <f>Y25/U25-1</f>
        <v>0.16670683518762441</v>
      </c>
      <c r="Z67" s="536">
        <f>Z25/V25-1</f>
        <v>0.25176401609348775</v>
      </c>
      <c r="AA67" s="536"/>
      <c r="AB67" s="536">
        <f>AB25/X25-1</f>
        <v>0.13723737147965975</v>
      </c>
      <c r="AC67" s="536">
        <f>AC25/Y25-1</f>
        <v>0.20796702504827969</v>
      </c>
      <c r="AD67" s="536">
        <f>AD25/Z25-1</f>
        <v>0.17686234289236769</v>
      </c>
      <c r="AE67" s="536" t="e">
        <f t="shared" ref="AE67:AP67" si="145">AE25/AA25-1</f>
        <v>#DIV/0!</v>
      </c>
      <c r="AF67" s="536">
        <f t="shared" si="145"/>
        <v>0.12227940305419205</v>
      </c>
      <c r="AG67" s="536">
        <f t="shared" si="145"/>
        <v>7.5592110496008447E-2</v>
      </c>
      <c r="AH67" s="536">
        <f t="shared" si="145"/>
        <v>9.5370434967588791E-2</v>
      </c>
      <c r="AI67" s="536">
        <f t="shared" si="145"/>
        <v>-1</v>
      </c>
      <c r="AJ67" s="536">
        <f t="shared" si="145"/>
        <v>7.2786822653904348E-2</v>
      </c>
      <c r="AK67" s="536">
        <f t="shared" si="145"/>
        <v>8.283508556378183E-2</v>
      </c>
      <c r="AL67" s="536">
        <f t="shared" si="145"/>
        <v>7.8461791687419291E-2</v>
      </c>
      <c r="AM67" s="536" t="e">
        <f t="shared" si="145"/>
        <v>#DIV/0!</v>
      </c>
      <c r="AN67" s="536">
        <f t="shared" si="145"/>
        <v>7.7869501035489064E-2</v>
      </c>
      <c r="AO67" s="536">
        <f t="shared" si="145"/>
        <v>7.5025585059466993E-2</v>
      </c>
      <c r="AP67" s="536">
        <f t="shared" si="145"/>
        <v>7.625682614819107E-2</v>
      </c>
      <c r="AQ67" s="536"/>
      <c r="AR67" s="536">
        <f>AR25/AN25-1</f>
        <v>4.2370867037186066E-2</v>
      </c>
      <c r="AS67" s="536">
        <f>AS25/AO25-1</f>
        <v>4.3756500314706015E-2</v>
      </c>
      <c r="AT67" s="536">
        <f>AT25/AP25-1</f>
        <v>4.3155707252838127E-2</v>
      </c>
      <c r="AU67" s="536"/>
      <c r="AV67" s="536">
        <f>AV25/AR25-1</f>
        <v>4.2560293132503979E-2</v>
      </c>
      <c r="AW67" s="536">
        <f>AW25/AS25-1</f>
        <v>4.3914869809115631E-2</v>
      </c>
      <c r="AX67" s="536">
        <f>AX25/AT25-1</f>
        <v>4.3327984384660123E-2</v>
      </c>
      <c r="AY67" s="536"/>
      <c r="AZ67" s="536">
        <f>AZ25/AV25-1</f>
        <v>4.2748089305561621E-2</v>
      </c>
      <c r="BA67" s="536">
        <f>BA25/AW25-1</f>
        <v>4.4071675070494365E-2</v>
      </c>
      <c r="BB67" s="536">
        <f>BB25/AX25-1</f>
        <v>4.3498638759893682E-2</v>
      </c>
      <c r="BC67" s="536"/>
      <c r="BD67" s="536">
        <f>BD25/AZ25-1</f>
        <v>4.2934212957739915E-2</v>
      </c>
      <c r="BE67" s="536">
        <f>BE25/BA25-1</f>
        <v>4.4226889561238547E-2</v>
      </c>
      <c r="BF67" s="536">
        <f>BF25/BB25-1</f>
        <v>4.3667637673587612E-2</v>
      </c>
      <c r="BG67" s="536"/>
      <c r="BH67" s="536"/>
      <c r="BI67" s="108"/>
      <c r="BJ67" s="553" t="str">
        <f>+BS!B44</f>
        <v>Deferred tax liabilities</v>
      </c>
      <c r="BL67" s="87">
        <f>+BS!T44</f>
        <v>18.033999999999999</v>
      </c>
      <c r="BM67" s="87">
        <f>+BS!U44</f>
        <v>15.999000000000001</v>
      </c>
      <c r="BN67" s="87">
        <f>+BS!V44</f>
        <v>15.999000000000001</v>
      </c>
      <c r="BP67" s="87">
        <f>+BS!X44</f>
        <v>18.173999999999999</v>
      </c>
      <c r="BQ67" s="87">
        <f>+BS!Y44</f>
        <v>14.929</v>
      </c>
      <c r="BR67" s="87">
        <f>+BS!Z44</f>
        <v>14.929</v>
      </c>
      <c r="BT67" s="87">
        <f>+BS!AB44</f>
        <v>19.263000000000002</v>
      </c>
      <c r="BU67" s="87">
        <f>+BS!AC44</f>
        <v>17.603000000000002</v>
      </c>
      <c r="BV67" s="87">
        <f>+BS!AD44</f>
        <v>17.603000000000002</v>
      </c>
      <c r="BX67" s="87">
        <f>+BS!AF44</f>
        <v>125.381</v>
      </c>
      <c r="BY67" s="87">
        <f>+BS!AG44</f>
        <v>118.31699999999999</v>
      </c>
      <c r="BZ67" s="87">
        <f>+BS!AH44</f>
        <v>118.31699999999999</v>
      </c>
      <c r="CB67" s="87">
        <f>+BS!AJ44</f>
        <v>116.10899999999999</v>
      </c>
      <c r="CC67" s="87">
        <f>+BS!AK44</f>
        <v>119.28100000000001</v>
      </c>
      <c r="CD67" s="87">
        <f>+BS!AL44</f>
        <v>119.28100000000001</v>
      </c>
      <c r="CF67" s="87">
        <f>+BS!AN44</f>
        <v>119.2</v>
      </c>
      <c r="CG67" s="87">
        <f>+BS!AO44</f>
        <v>148.791</v>
      </c>
      <c r="CH67" s="87">
        <f>+BS!AP44</f>
        <v>148.791</v>
      </c>
      <c r="CI67" s="87">
        <f>+BS!AQ44</f>
        <v>0</v>
      </c>
      <c r="CJ67" s="87">
        <f>+BS!AR44</f>
        <v>141.70993139875006</v>
      </c>
      <c r="CK67" s="87">
        <f>+BS!AS44</f>
        <v>155.34004095692814</v>
      </c>
      <c r="CL67" s="87">
        <f>+BS!AT44</f>
        <v>155.34004095692814</v>
      </c>
      <c r="CM67" s="87">
        <f>+BS!AU44</f>
        <v>0</v>
      </c>
      <c r="CN67" s="87">
        <f>+BS!AV44</f>
        <v>148.06814641377036</v>
      </c>
      <c r="CO67" s="87">
        <f>+BS!AW44</f>
        <v>162.67175712790143</v>
      </c>
      <c r="CP67" s="87">
        <f>+BS!AX44</f>
        <v>162.67175712790143</v>
      </c>
      <c r="CQ67" s="87">
        <f>+BS!AY44</f>
        <v>0</v>
      </c>
      <c r="CR67" s="87">
        <f>+BS!AZ44</f>
        <v>154.8562831202303</v>
      </c>
      <c r="CS67" s="87">
        <f>+BS!BA44</f>
        <v>169.54856369509801</v>
      </c>
      <c r="CT67" s="87">
        <f>+BS!BB44</f>
        <v>169.54856369509801</v>
      </c>
      <c r="CV67" s="87">
        <f>+BS!BD44</f>
        <v>160.25681905524695</v>
      </c>
      <c r="CW67" s="87">
        <f>+BS!BE44</f>
        <v>176.76536169876945</v>
      </c>
      <c r="CX67" s="87">
        <f>+BS!BF44</f>
        <v>176.76536169876945</v>
      </c>
    </row>
    <row r="68" spans="1:104" ht="17.100000000000001" customHeight="1">
      <c r="B68" s="86" t="str">
        <f>B28</f>
        <v>Underlying net profit before tax</v>
      </c>
      <c r="C68" s="74"/>
      <c r="D68" s="59"/>
      <c r="E68" s="59"/>
      <c r="F68" s="59"/>
      <c r="G68" s="74"/>
      <c r="H68" s="536">
        <f>H28/D28-1</f>
        <v>0.11283672347443674</v>
      </c>
      <c r="I68" s="536">
        <f>I28/E28-1</f>
        <v>-3.4437402845864939E-3</v>
      </c>
      <c r="J68" s="536">
        <f>J28/F28-1</f>
        <v>4.9128075817030492E-2</v>
      </c>
      <c r="K68" s="59"/>
      <c r="L68" s="536">
        <f>L28/H28-1</f>
        <v>0.35253797702852774</v>
      </c>
      <c r="M68" s="536">
        <f>M28/I28-1</f>
        <v>0.21585755081471514</v>
      </c>
      <c r="N68" s="536">
        <f>N28/J28-1</f>
        <v>0.27563159102877566</v>
      </c>
      <c r="O68" s="536"/>
      <c r="P68" s="536">
        <f>P28/L28-1</f>
        <v>5.2504223165805719E-4</v>
      </c>
      <c r="Q68" s="536">
        <f>Q28/M28-1</f>
        <v>0.22918722614771214</v>
      </c>
      <c r="R68" s="536">
        <f>R28/N28-1</f>
        <v>0.12315818443559801</v>
      </c>
      <c r="S68" s="536"/>
      <c r="T68" s="536">
        <f>T28/P28-1</f>
        <v>0.50610326496155378</v>
      </c>
      <c r="U68" s="536">
        <f>U28/Q28-1</f>
        <v>0.84230386332252238</v>
      </c>
      <c r="V68" s="536">
        <f>V28/R28-1</f>
        <v>0.7034314418464398</v>
      </c>
      <c r="W68" s="536"/>
      <c r="X68" s="536">
        <f>X28/T28-1</f>
        <v>0.53157807032161464</v>
      </c>
      <c r="Y68" s="536">
        <f>Y28/U28-1</f>
        <v>0.21069420839325392</v>
      </c>
      <c r="Z68" s="536">
        <f>Z28/V28-1</f>
        <v>0.32800725880517412</v>
      </c>
      <c r="AA68" s="536"/>
      <c r="AB68" s="536">
        <f>AB28/X28-1</f>
        <v>0.1326495286891316</v>
      </c>
      <c r="AC68" s="536">
        <f>AC28/Y28-1</f>
        <v>0.2198489658697409</v>
      </c>
      <c r="AD68" s="536">
        <f>AD28/Z28-1</f>
        <v>0.18310058658845363</v>
      </c>
      <c r="AE68" s="536" t="e">
        <f t="shared" ref="AE68:AP68" si="146">AE28/AA28-1</f>
        <v>#DIV/0!</v>
      </c>
      <c r="AF68" s="536">
        <f t="shared" si="146"/>
        <v>0.15286468985783297</v>
      </c>
      <c r="AG68" s="536">
        <f t="shared" si="146"/>
        <v>8.8419052865777337E-2</v>
      </c>
      <c r="AH68" s="536">
        <f t="shared" si="146"/>
        <v>0.1143215874069492</v>
      </c>
      <c r="AI68" s="536">
        <f t="shared" si="146"/>
        <v>-1</v>
      </c>
      <c r="AJ68" s="536">
        <f t="shared" si="146"/>
        <v>7.7576941811934752E-2</v>
      </c>
      <c r="AK68" s="536">
        <f t="shared" si="146"/>
        <v>9.0082758960997822E-2</v>
      </c>
      <c r="AL68" s="536">
        <f t="shared" si="146"/>
        <v>8.4865528100156462E-2</v>
      </c>
      <c r="AM68" s="536" t="e">
        <f t="shared" si="146"/>
        <v>#DIV/0!</v>
      </c>
      <c r="AN68" s="536">
        <f t="shared" si="146"/>
        <v>8.6194816608051505E-2</v>
      </c>
      <c r="AO68" s="536">
        <f t="shared" si="146"/>
        <v>7.9118835149436961E-2</v>
      </c>
      <c r="AP68" s="536">
        <f t="shared" si="146"/>
        <v>8.2050990974014582E-2</v>
      </c>
      <c r="AQ68" s="536"/>
      <c r="AR68" s="536">
        <f>AR28/AN28-1</f>
        <v>4.4708963279732394E-2</v>
      </c>
      <c r="AS68" s="536">
        <f>AS28/AO28-1</f>
        <v>4.5329106965917854E-2</v>
      </c>
      <c r="AT68" s="536">
        <f>AT28/AP28-1</f>
        <v>4.5071146777495796E-2</v>
      </c>
      <c r="AU68" s="536"/>
      <c r="AV68" s="536">
        <f>AV28/AR28-1</f>
        <v>4.4792315904944591E-2</v>
      </c>
      <c r="AW68" s="536">
        <f>AW28/AS28-1</f>
        <v>4.5409220207891066E-2</v>
      </c>
      <c r="AX68" s="536">
        <f>AX28/AT28-1</f>
        <v>4.5152696433187645E-2</v>
      </c>
      <c r="AY68" s="536"/>
      <c r="AZ68" s="536">
        <f>AZ28/AV28-1</f>
        <v>4.4876886056345544E-2</v>
      </c>
      <c r="BA68" s="536">
        <f>BA28/AW28-1</f>
        <v>4.5489851358980316E-2</v>
      </c>
      <c r="BB68" s="536">
        <f>BB28/AX28-1</f>
        <v>4.5235053403697822E-2</v>
      </c>
      <c r="BC68" s="536"/>
      <c r="BD68" s="536">
        <f>BD28/AZ28-1</f>
        <v>4.4962556058932623E-2</v>
      </c>
      <c r="BE68" s="536">
        <f>BE28/BA28-1</f>
        <v>4.5570916706191067E-2</v>
      </c>
      <c r="BF68" s="536">
        <f>BF28/BB28-1</f>
        <v>4.5318119473011009E-2</v>
      </c>
      <c r="BG68" s="536"/>
      <c r="BH68" s="536"/>
      <c r="BI68" s="49"/>
      <c r="BJ68" s="553" t="str">
        <f>+BS!B45</f>
        <v>Lease liabilities</v>
      </c>
      <c r="BL68" s="87">
        <f>+BS!T45</f>
        <v>24.029</v>
      </c>
      <c r="BM68" s="87">
        <f>+BS!U45</f>
        <v>21.443000000000001</v>
      </c>
      <c r="BN68" s="87">
        <f>+BS!V45</f>
        <v>21.443000000000001</v>
      </c>
      <c r="BP68" s="87">
        <f>+BS!X45</f>
        <v>19.385000000000002</v>
      </c>
      <c r="BQ68" s="87">
        <f>+BS!Y45</f>
        <v>18.079999999999998</v>
      </c>
      <c r="BR68" s="87">
        <f>+BS!Z45</f>
        <v>18.079999999999998</v>
      </c>
      <c r="BT68" s="87">
        <f>+BS!AB45</f>
        <v>18.638000000000002</v>
      </c>
      <c r="BU68" s="87">
        <f>+BS!AC45</f>
        <v>18.751999999999999</v>
      </c>
      <c r="BV68" s="87">
        <f>+BS!AD45</f>
        <v>18.751999999999999</v>
      </c>
      <c r="BX68" s="87">
        <f>+BS!AF45</f>
        <v>54.548999999999999</v>
      </c>
      <c r="BY68" s="87">
        <f>+BS!AG45</f>
        <v>62.134</v>
      </c>
      <c r="BZ68" s="87">
        <f>+BS!AH45</f>
        <v>62.134</v>
      </c>
      <c r="CB68" s="87">
        <f>+BS!AJ45</f>
        <v>59.463000000000001</v>
      </c>
      <c r="CC68" s="87">
        <f>+BS!AK45</f>
        <v>64.536000000000001</v>
      </c>
      <c r="CD68" s="87">
        <f>+BS!AL45</f>
        <v>64.536000000000001</v>
      </c>
      <c r="CF68" s="87">
        <f>+BS!AN45</f>
        <v>65.016999999999996</v>
      </c>
      <c r="CG68" s="87">
        <f>+BS!AO45</f>
        <v>66.423000000000002</v>
      </c>
      <c r="CH68" s="87">
        <f>+BS!AP45</f>
        <v>66.423000000000002</v>
      </c>
      <c r="CI68" s="87">
        <f>+BS!AQ45</f>
        <v>0</v>
      </c>
      <c r="CJ68" s="87">
        <f>+BS!AR45</f>
        <v>63.261882595715967</v>
      </c>
      <c r="CK68" s="87">
        <f>+BS!AS45</f>
        <v>69.346610618129034</v>
      </c>
      <c r="CL68" s="87">
        <f>+BS!AT45</f>
        <v>69.346610618129034</v>
      </c>
      <c r="CM68" s="87">
        <f>+BS!AU45</f>
        <v>0</v>
      </c>
      <c r="CN68" s="87">
        <f>+BS!AV45</f>
        <v>66.100305053678426</v>
      </c>
      <c r="CO68" s="87">
        <f>+BS!AW45</f>
        <v>72.619621641810298</v>
      </c>
      <c r="CP68" s="87">
        <f>+BS!AX45</f>
        <v>72.619621641810298</v>
      </c>
      <c r="CQ68" s="87">
        <f>+BS!AY45</f>
        <v>0</v>
      </c>
      <c r="CR68" s="87">
        <f>+BS!AZ45</f>
        <v>69.13065234923522</v>
      </c>
      <c r="CS68" s="87">
        <f>+BS!BA45</f>
        <v>75.689552770795899</v>
      </c>
      <c r="CT68" s="87">
        <f>+BS!BB45</f>
        <v>75.689552770795899</v>
      </c>
      <c r="CV68" s="87">
        <f>+BS!BD45</f>
        <v>71.541549503038937</v>
      </c>
      <c r="CW68" s="87">
        <f>+BS!BE45</f>
        <v>78.911262241112453</v>
      </c>
      <c r="CX68" s="87">
        <f>+BS!BF45</f>
        <v>78.911262241112453</v>
      </c>
    </row>
    <row r="69" spans="1:104" ht="17.100000000000001" customHeight="1">
      <c r="B69" s="594" t="str">
        <f>B31</f>
        <v>Underlying NPAT</v>
      </c>
      <c r="C69" s="74"/>
      <c r="D69" s="59"/>
      <c r="E69" s="59"/>
      <c r="F69" s="59"/>
      <c r="G69" s="74"/>
      <c r="H69" s="595">
        <f>H31/D31-1</f>
        <v>0.16721829013697254</v>
      </c>
      <c r="I69" s="595">
        <f>I31/E31-1</f>
        <v>-8.99003990526549E-2</v>
      </c>
      <c r="J69" s="595">
        <f>J31/F31-1</f>
        <v>1.6775042885068148E-2</v>
      </c>
      <c r="K69" s="59"/>
      <c r="L69" s="595">
        <f>L31/H31-1</f>
        <v>0.31160842821620016</v>
      </c>
      <c r="M69" s="595">
        <f>M31/I31-1</f>
        <v>0.25866248395836289</v>
      </c>
      <c r="N69" s="595">
        <f>N31/J31-1</f>
        <v>0.28247179990191484</v>
      </c>
      <c r="O69" s="595"/>
      <c r="P69" s="595">
        <f>P31/L31-1</f>
        <v>1.5632275660214523E-2</v>
      </c>
      <c r="Q69" s="595">
        <f>Q31/M31-1</f>
        <v>0.23210037385295057</v>
      </c>
      <c r="R69" s="595">
        <f>R31/N31-1</f>
        <v>0.13254504849022286</v>
      </c>
      <c r="S69" s="595"/>
      <c r="T69" s="595">
        <f>T31/P31-1</f>
        <v>0.53003012837306596</v>
      </c>
      <c r="U69" s="595">
        <f>U31/Q31-1</f>
        <v>0.89609911960094779</v>
      </c>
      <c r="V69" s="595">
        <f>V31/R31-1</f>
        <v>0.74377017517794952</v>
      </c>
      <c r="W69" s="595"/>
      <c r="X69" s="595">
        <f>X31/T31-1</f>
        <v>0.50489073435928389</v>
      </c>
      <c r="Y69" s="595">
        <f>Y31/U31-1</f>
        <v>0.22065562640933001</v>
      </c>
      <c r="Z69" s="595">
        <f>Z31/V31-1</f>
        <v>0.32462995809677242</v>
      </c>
      <c r="AA69" s="595"/>
      <c r="AB69" s="595">
        <f>AB31/X31-1</f>
        <v>0.13086331958469488</v>
      </c>
      <c r="AC69" s="595">
        <f>AC31/Y31-1</f>
        <v>0.19920148579260299</v>
      </c>
      <c r="AD69" s="595">
        <f>AD31/Z31-1</f>
        <v>0.17108040627064636</v>
      </c>
      <c r="AE69" s="595" t="e">
        <f t="shared" ref="AE69:AP69" si="147">AE31/AA31-1</f>
        <v>#DIV/0!</v>
      </c>
      <c r="AF69" s="595">
        <f t="shared" si="147"/>
        <v>0.15394982768013388</v>
      </c>
      <c r="AG69" s="595">
        <f t="shared" si="147"/>
        <v>9.2126802524765017E-2</v>
      </c>
      <c r="AH69" s="595">
        <f t="shared" si="147"/>
        <v>0.1165508939754698</v>
      </c>
      <c r="AI69" s="595">
        <f t="shared" si="147"/>
        <v>-1.0000000000116271</v>
      </c>
      <c r="AJ69" s="595">
        <f t="shared" si="147"/>
        <v>7.7576941811934752E-2</v>
      </c>
      <c r="AK69" s="595">
        <f t="shared" si="147"/>
        <v>9.0082758960997822E-2</v>
      </c>
      <c r="AL69" s="595">
        <f t="shared" si="147"/>
        <v>8.4951586453503092E-2</v>
      </c>
      <c r="AM69" s="595">
        <f t="shared" si="147"/>
        <v>-1</v>
      </c>
      <c r="AN69" s="595">
        <f t="shared" si="147"/>
        <v>8.6194816608051505E-2</v>
      </c>
      <c r="AO69" s="595">
        <f t="shared" si="147"/>
        <v>7.9118835149436961E-2</v>
      </c>
      <c r="AP69" s="595">
        <f t="shared" si="147"/>
        <v>8.2002396248266995E-2</v>
      </c>
      <c r="AQ69" s="595"/>
      <c r="AR69" s="595">
        <f>AR31/AN31-1</f>
        <v>4.4708963279732394E-2</v>
      </c>
      <c r="AS69" s="595">
        <f>AS31/AO31-1</f>
        <v>4.5329106965917854E-2</v>
      </c>
      <c r="AT69" s="595">
        <f>AT31/AP31-1</f>
        <v>4.5075410567672725E-2</v>
      </c>
      <c r="AU69" s="595"/>
      <c r="AV69" s="595">
        <f>AV31/AR31-1</f>
        <v>4.4792315904944591E-2</v>
      </c>
      <c r="AW69" s="595">
        <f>AW31/AS31-1</f>
        <v>4.5409220207891066E-2</v>
      </c>
      <c r="AX69" s="595">
        <f>AX31/AT31-1</f>
        <v>4.5156937510360429E-2</v>
      </c>
      <c r="AY69" s="595"/>
      <c r="AZ69" s="595">
        <f>AZ31/AV31-1</f>
        <v>4.4876886056345544E-2</v>
      </c>
      <c r="BA69" s="595">
        <f>BA31/AW31-1</f>
        <v>4.5489851358980316E-2</v>
      </c>
      <c r="BB69" s="595">
        <f>BB31/AX31-1</f>
        <v>4.5239266964937297E-2</v>
      </c>
      <c r="BC69" s="595"/>
      <c r="BD69" s="595">
        <f>BD31/AZ31-1</f>
        <v>4.4962556058932623E-2</v>
      </c>
      <c r="BE69" s="595">
        <f>BE31/BA31-1</f>
        <v>4.5570916706191067E-2</v>
      </c>
      <c r="BF69" s="595">
        <f>BF31/BB31-1</f>
        <v>4.5322300950787042E-2</v>
      </c>
      <c r="BG69" s="595"/>
      <c r="BH69" s="536"/>
      <c r="BI69" s="49"/>
      <c r="BJ69" s="553" t="str">
        <f>+BS!B46</f>
        <v>Interest-bearing loans and borrowings</v>
      </c>
      <c r="BL69" s="87">
        <f>+BS!T46</f>
        <v>76.504000000000005</v>
      </c>
      <c r="BM69" s="87">
        <f>+BS!U46</f>
        <v>220.666</v>
      </c>
      <c r="BN69" s="87">
        <f>+BS!V46</f>
        <v>220.666</v>
      </c>
      <c r="BP69" s="87">
        <f>+BS!X46</f>
        <v>258.95499999999998</v>
      </c>
      <c r="BQ69" s="87">
        <f>+BS!Y46</f>
        <v>200.809</v>
      </c>
      <c r="BR69" s="87">
        <f>+BS!Z46</f>
        <v>200.809</v>
      </c>
      <c r="BT69" s="87">
        <f>+BS!AB46</f>
        <v>225.453</v>
      </c>
      <c r="BU69" s="87">
        <f>+BS!AC46</f>
        <v>38.860999999999997</v>
      </c>
      <c r="BV69" s="87">
        <f>+BS!AD46</f>
        <v>38.860999999999997</v>
      </c>
      <c r="BX69" s="87">
        <f>+BS!AF46</f>
        <v>684.68799999999999</v>
      </c>
      <c r="BY69" s="87">
        <f>+BS!AG46</f>
        <v>564.46100000000001</v>
      </c>
      <c r="BZ69" s="87">
        <f>+BS!AH46</f>
        <v>564.46100000000001</v>
      </c>
      <c r="CB69" s="87">
        <f>+BS!AJ46</f>
        <v>662.86900000000003</v>
      </c>
      <c r="CC69" s="87">
        <f>+BS!AK46</f>
        <v>639.88199999999995</v>
      </c>
      <c r="CD69" s="87">
        <f>+BS!AL46</f>
        <v>639.88199999999995</v>
      </c>
      <c r="CF69" s="87">
        <f>+BS!AN46</f>
        <v>765.95899999999995</v>
      </c>
      <c r="CG69" s="87">
        <f>+BS!AO46</f>
        <v>865.529</v>
      </c>
      <c r="CH69" s="87">
        <f>+BS!AP46</f>
        <v>865.529</v>
      </c>
      <c r="CI69" s="87">
        <f>+BS!AQ46</f>
        <v>0</v>
      </c>
      <c r="CJ69" s="87">
        <f>+BS!AR46</f>
        <v>863.44564249999996</v>
      </c>
      <c r="CK69" s="87">
        <f>+BS!AS46</f>
        <v>861.37645750000001</v>
      </c>
      <c r="CL69" s="87">
        <f>+BS!AT46</f>
        <v>861.37645750000001</v>
      </c>
      <c r="CM69" s="87">
        <f>+BS!AU46</f>
        <v>0</v>
      </c>
      <c r="CN69" s="87">
        <f>+BS!AV46</f>
        <v>859.26588879999997</v>
      </c>
      <c r="CO69" s="87">
        <f>+BS!AW46</f>
        <v>857.15532009999993</v>
      </c>
      <c r="CP69" s="87">
        <f>+BS!AX46</f>
        <v>857.15532009999993</v>
      </c>
      <c r="CQ69" s="87">
        <f>+BS!AY46</f>
        <v>0</v>
      </c>
      <c r="CR69" s="87">
        <f>+BS!AZ46</f>
        <v>852.84975995199989</v>
      </c>
      <c r="CS69" s="87">
        <f>+BS!BA46</f>
        <v>848.54419980399985</v>
      </c>
      <c r="CT69" s="87">
        <f>+BS!BB46</f>
        <v>848.54419980399985</v>
      </c>
      <c r="CV69" s="87">
        <f>+BS!BD46</f>
        <v>844.15252845303985</v>
      </c>
      <c r="CW69" s="87">
        <f>+BS!BE46</f>
        <v>839.76085710207985</v>
      </c>
      <c r="CX69" s="87">
        <f>+BS!BF46</f>
        <v>839.76085710207985</v>
      </c>
    </row>
    <row r="70" spans="1:104" ht="17.100000000000001" customHeight="1">
      <c r="B70" s="594" t="str">
        <f>B34</f>
        <v>Statutory NPAT</v>
      </c>
      <c r="C70" s="74"/>
      <c r="D70" s="59"/>
      <c r="E70" s="59"/>
      <c r="F70" s="59"/>
      <c r="G70" s="74"/>
      <c r="H70" s="595">
        <f>H34/D34-1</f>
        <v>0.73648800179412266</v>
      </c>
      <c r="I70" s="595">
        <f>I34/E34-1</f>
        <v>-0.10250139235295497</v>
      </c>
      <c r="J70" s="595">
        <f>J34/F34-1</f>
        <v>-1.3669983270229835E-2</v>
      </c>
      <c r="K70" s="59"/>
      <c r="L70" s="595" t="s">
        <v>556</v>
      </c>
      <c r="M70" s="595">
        <f>M34/I34-1</f>
        <v>0.2787071012303044</v>
      </c>
      <c r="N70" s="595">
        <f>N34/J34-1</f>
        <v>0.57774454884281701</v>
      </c>
      <c r="O70" s="595"/>
      <c r="P70" s="595">
        <f>P34/L34-1</f>
        <v>0.27034334763948542</v>
      </c>
      <c r="Q70" s="595">
        <f>Q34/M34-1</f>
        <v>8.1529307507278936E-2</v>
      </c>
      <c r="R70" s="595">
        <f>R34/N34-1</f>
        <v>0.14376043228562296</v>
      </c>
      <c r="S70" s="595"/>
      <c r="T70" s="595">
        <f>T34/P34-1</f>
        <v>-0.92344335957295987</v>
      </c>
      <c r="U70" s="595">
        <f>U34/Q34-1</f>
        <v>0.22843263490577148</v>
      </c>
      <c r="V70" s="595">
        <f>V34/R34-1</f>
        <v>-0.19446677467627871</v>
      </c>
      <c r="W70" s="595"/>
      <c r="X70" s="813">
        <f>X34/T34-1</f>
        <v>22.49161518093598</v>
      </c>
      <c r="Y70" s="595">
        <f>Y34/U34-1</f>
        <v>0.33120523448790617</v>
      </c>
      <c r="Z70" s="595">
        <f>Z34/V34-1</f>
        <v>1.1045552945511483</v>
      </c>
      <c r="AA70" s="595"/>
      <c r="AB70" s="595">
        <f>AB34/X34-1</f>
        <v>-0.50133378418996222</v>
      </c>
      <c r="AC70" s="595">
        <f>AC34/Y34-1</f>
        <v>0.83179833456610175</v>
      </c>
      <c r="AD70" s="595">
        <f>AD34/Z34-1</f>
        <v>0.31379672590387586</v>
      </c>
      <c r="AE70" s="595" t="e">
        <f t="shared" ref="AE70:AP70" si="148">AE34/AA34-1</f>
        <v>#DIV/0!</v>
      </c>
      <c r="AF70" s="595">
        <f t="shared" si="148"/>
        <v>1.853708975275012</v>
      </c>
      <c r="AG70" s="595" t="s">
        <v>731</v>
      </c>
      <c r="AH70" s="595">
        <f t="shared" si="148"/>
        <v>6.4020564121967327E-2</v>
      </c>
      <c r="AI70" s="595" t="e">
        <f t="shared" si="148"/>
        <v>#DIV/0!</v>
      </c>
      <c r="AJ70" s="595">
        <f t="shared" si="148"/>
        <v>9.3962461756456728E-2</v>
      </c>
      <c r="AK70" s="595">
        <f t="shared" si="148"/>
        <v>0.10252214814262306</v>
      </c>
      <c r="AL70" s="595">
        <f t="shared" si="148"/>
        <v>9.9138301719168043E-2</v>
      </c>
      <c r="AM70" s="595">
        <f t="shared" si="148"/>
        <v>-1</v>
      </c>
      <c r="AN70" s="595">
        <f t="shared" si="148"/>
        <v>0.10283684666057735</v>
      </c>
      <c r="AO70" s="595">
        <f t="shared" si="148"/>
        <v>8.9028294001496144E-2</v>
      </c>
      <c r="AP70" s="595">
        <f t="shared" si="148"/>
        <v>9.4461435671979732E-2</v>
      </c>
      <c r="AQ70" s="595"/>
      <c r="AR70" s="595">
        <f>AR34/AN34-1</f>
        <v>5.2536200273655798E-2</v>
      </c>
      <c r="AS70" s="595">
        <f>AS34/AO34-1</f>
        <v>5.0542350986782614E-2</v>
      </c>
      <c r="AT70" s="595">
        <f>AT34/AP34-1</f>
        <v>5.1332858497811218E-2</v>
      </c>
      <c r="AU70" s="595"/>
      <c r="AV70" s="595">
        <f>AV34/AR34-1</f>
        <v>5.2242729114773345E-2</v>
      </c>
      <c r="AW70" s="595">
        <f>AW34/AS34-1</f>
        <v>5.0380421740067405E-2</v>
      </c>
      <c r="AX70" s="595">
        <f>AX34/AT34-1</f>
        <v>5.1119621538853632E-2</v>
      </c>
      <c r="AY70" s="595"/>
      <c r="AZ70" s="595">
        <f>AZ34/AV34-1</f>
        <v>5.1970762553823269E-2</v>
      </c>
      <c r="BA70" s="595">
        <f>BA34/AW34-1</f>
        <v>5.0231018056852372E-2</v>
      </c>
      <c r="BB70" s="595">
        <f>BB34/AX34-1</f>
        <v>5.092230720376878E-2</v>
      </c>
      <c r="BC70" s="595"/>
      <c r="BD70" s="595">
        <f>BD34/AZ34-1</f>
        <v>5.171884526866477E-2</v>
      </c>
      <c r="BE70" s="595">
        <f>BE34/BA34-1</f>
        <v>5.0093365223469855E-2</v>
      </c>
      <c r="BF70" s="595">
        <f>BF34/BB34-1</f>
        <v>5.0739895650611988E-2</v>
      </c>
      <c r="BG70" s="595"/>
      <c r="BH70" s="536"/>
      <c r="BI70" s="49"/>
      <c r="BJ70" s="549" t="str">
        <f>+BS!B47</f>
        <v>Total non-current liabilities</v>
      </c>
      <c r="BL70" s="98">
        <f>+BS!T47</f>
        <v>122.087</v>
      </c>
      <c r="BM70" s="98">
        <f>+BS!U47</f>
        <v>262.31900000000002</v>
      </c>
      <c r="BN70" s="98">
        <f>+BS!V47</f>
        <v>262.31900000000002</v>
      </c>
      <c r="BP70" s="98">
        <f>+BS!X47</f>
        <v>320.63499999999999</v>
      </c>
      <c r="BQ70" s="98">
        <f>+BS!Y47</f>
        <v>248.11500000000001</v>
      </c>
      <c r="BR70" s="98">
        <f>+BS!Z47</f>
        <v>248.11500000000001</v>
      </c>
      <c r="BT70" s="98">
        <f>+BS!AB47</f>
        <v>286.11599999999999</v>
      </c>
      <c r="BU70" s="98">
        <f>+BS!AC47</f>
        <v>152.59700000000001</v>
      </c>
      <c r="BV70" s="98">
        <f>+BS!AD47</f>
        <v>152.59700000000001</v>
      </c>
      <c r="BX70" s="98">
        <f>+BS!AF47</f>
        <v>1095.0149999999999</v>
      </c>
      <c r="BY70" s="98">
        <f>+BS!AG47</f>
        <v>988.327</v>
      </c>
      <c r="BZ70" s="98">
        <f>+BS!AH47</f>
        <v>988.327</v>
      </c>
      <c r="CB70" s="98">
        <f>+BS!AJ47</f>
        <v>1084.0260000000001</v>
      </c>
      <c r="CC70" s="98">
        <f>+BS!AK47</f>
        <v>931.12299999999993</v>
      </c>
      <c r="CD70" s="98">
        <f>+BS!AL47</f>
        <v>931.12299999999993</v>
      </c>
      <c r="CF70" s="98">
        <f>+BS!AN47</f>
        <v>1067.1299999999999</v>
      </c>
      <c r="CG70" s="98">
        <f>+BS!AO47</f>
        <v>1174.8720000000001</v>
      </c>
      <c r="CH70" s="98">
        <f>+BS!AP47</f>
        <v>1174.8720000000001</v>
      </c>
      <c r="CI70" s="98">
        <f>+BS!AQ47</f>
        <v>0</v>
      </c>
      <c r="CJ70" s="98">
        <f>+BS!AR47</f>
        <v>1212.0891510873953</v>
      </c>
      <c r="CK70" s="98">
        <f>+BS!AS47</f>
        <v>1243.553601817006</v>
      </c>
      <c r="CL70" s="98">
        <f>+BS!AT47</f>
        <v>1243.553601817006</v>
      </c>
      <c r="CM70" s="98">
        <f>+BS!AU47</f>
        <v>0</v>
      </c>
      <c r="CN70" s="98">
        <f>+BS!AV47</f>
        <v>1223.552269903875</v>
      </c>
      <c r="CO70" s="98">
        <f>+BS!AW47</f>
        <v>1257.3704044864455</v>
      </c>
      <c r="CP70" s="98">
        <f>+BS!AX47</f>
        <v>1257.3704044864455</v>
      </c>
      <c r="CQ70" s="98">
        <f>+BS!AY47</f>
        <v>0</v>
      </c>
      <c r="CR70" s="98">
        <f>+BS!AZ47</f>
        <v>1233.8367334190998</v>
      </c>
      <c r="CS70" s="98">
        <f>+BS!BA47</f>
        <v>1265.67802761089</v>
      </c>
      <c r="CT70" s="98">
        <f>+BS!BB47</f>
        <v>1265.67802761089</v>
      </c>
      <c r="CV70" s="98">
        <f>+BS!BD47</f>
        <v>1238.4262333302229</v>
      </c>
      <c r="CW70" s="98">
        <f>+BS!BE47</f>
        <v>1274.6498962193659</v>
      </c>
      <c r="CX70" s="98">
        <f>+BS!BF47</f>
        <v>1274.6498962193659</v>
      </c>
    </row>
    <row r="71" spans="1:104" ht="17.100000000000001" customHeight="1">
      <c r="B71" s="86"/>
      <c r="C71" s="74"/>
      <c r="D71" s="59"/>
      <c r="E71" s="59"/>
      <c r="F71" s="59"/>
      <c r="G71" s="74"/>
      <c r="H71" s="536"/>
      <c r="I71" s="536"/>
      <c r="J71" s="536"/>
      <c r="K71" s="59"/>
      <c r="L71" s="536"/>
      <c r="M71" s="536"/>
      <c r="N71" s="536"/>
      <c r="O71" s="536"/>
      <c r="P71" s="536"/>
      <c r="Q71" s="536"/>
      <c r="R71" s="536"/>
      <c r="S71" s="536"/>
      <c r="T71" s="536"/>
      <c r="U71" s="536"/>
      <c r="V71" s="536"/>
      <c r="W71" s="536"/>
      <c r="X71" s="536"/>
      <c r="Y71" s="536"/>
      <c r="Z71" s="536"/>
      <c r="AA71" s="536"/>
      <c r="AB71" s="536"/>
      <c r="AC71" s="536"/>
      <c r="AD71" s="536"/>
      <c r="AE71" s="536"/>
      <c r="AF71" s="536"/>
      <c r="AG71" s="536"/>
      <c r="AH71" s="536"/>
      <c r="AI71" s="536"/>
      <c r="AJ71" s="536"/>
      <c r="AK71" s="536"/>
      <c r="AL71" s="536"/>
      <c r="AM71" s="536"/>
      <c r="AN71" s="536"/>
      <c r="AO71" s="536"/>
      <c r="AP71" s="536"/>
      <c r="AQ71" s="536"/>
      <c r="AR71" s="536"/>
      <c r="AS71" s="536"/>
      <c r="AT71" s="536"/>
      <c r="AU71" s="536"/>
      <c r="AV71" s="536"/>
      <c r="AW71" s="536"/>
      <c r="AX71" s="536"/>
      <c r="AY71" s="536"/>
      <c r="AZ71" s="536"/>
      <c r="BA71" s="536"/>
      <c r="BB71" s="536"/>
      <c r="BC71" s="536"/>
      <c r="BD71" s="536"/>
      <c r="BE71" s="536"/>
      <c r="BF71" s="536"/>
      <c r="BG71" s="536"/>
      <c r="BH71" s="536"/>
      <c r="BI71" s="49"/>
      <c r="BJ71" s="549"/>
      <c r="BL71" s="98"/>
      <c r="BM71" s="98"/>
      <c r="BN71" s="98"/>
      <c r="BP71" s="98"/>
      <c r="BQ71" s="98"/>
      <c r="BR71" s="98"/>
      <c r="BT71" s="98"/>
      <c r="BU71" s="98"/>
      <c r="BV71" s="98"/>
      <c r="BX71" s="98"/>
      <c r="BY71" s="98"/>
      <c r="BZ71" s="98"/>
      <c r="CB71" s="98"/>
      <c r="CC71" s="98"/>
      <c r="CD71" s="98"/>
      <c r="CF71" s="98"/>
      <c r="CG71" s="98"/>
      <c r="CH71" s="98"/>
      <c r="CI71" s="98"/>
      <c r="CJ71" s="98"/>
      <c r="CK71" s="98"/>
      <c r="CL71" s="98"/>
      <c r="CM71" s="98"/>
      <c r="CN71" s="98"/>
      <c r="CO71" s="98"/>
      <c r="CP71" s="98"/>
      <c r="CQ71" s="98"/>
      <c r="CR71" s="98"/>
      <c r="CS71" s="98"/>
      <c r="CT71" s="98"/>
      <c r="CV71" s="98"/>
      <c r="CW71" s="98"/>
      <c r="CX71" s="98"/>
    </row>
    <row r="72" spans="1:104" ht="17.100000000000001" customHeight="1">
      <c r="B72" s="86" t="str">
        <f>B37</f>
        <v>Basic EPS</v>
      </c>
      <c r="C72" s="74"/>
      <c r="D72" s="59"/>
      <c r="E72" s="59"/>
      <c r="F72" s="59"/>
      <c r="G72" s="74"/>
      <c r="H72" s="536">
        <f t="shared" ref="H72:J74" si="149">H37/D37-1</f>
        <v>0.55150938850615128</v>
      </c>
      <c r="I72" s="536">
        <f t="shared" si="149"/>
        <v>-0.11513254596015576</v>
      </c>
      <c r="J72" s="536">
        <f t="shared" si="149"/>
        <v>-6.8937322252252908E-2</v>
      </c>
      <c r="K72" s="59"/>
      <c r="L72" s="536" t="s">
        <v>556</v>
      </c>
      <c r="M72" s="536">
        <f t="shared" ref="M72:N74" si="150">M37/I37-1</f>
        <v>0.27323363340776097</v>
      </c>
      <c r="N72" s="536">
        <f t="shared" si="150"/>
        <v>0.56623791360605868</v>
      </c>
      <c r="O72" s="536"/>
      <c r="P72" s="536">
        <f t="shared" ref="P72:R74" si="151">P37/L37-1</f>
        <v>0.26556914540437648</v>
      </c>
      <c r="Q72" s="536">
        <f t="shared" si="151"/>
        <v>7.3029382059344394E-2</v>
      </c>
      <c r="R72" s="536">
        <f t="shared" si="151"/>
        <v>0.1096920455142647</v>
      </c>
      <c r="S72" s="536"/>
      <c r="T72" s="536">
        <f t="shared" ref="T72:V74" si="152">T37/P37-1</f>
        <v>-0.94116764655508145</v>
      </c>
      <c r="U72" s="536">
        <f t="shared" si="152"/>
        <v>-0.1116305171608073</v>
      </c>
      <c r="V72" s="536">
        <f t="shared" si="152"/>
        <v>-0.38239276163077029</v>
      </c>
      <c r="W72" s="536"/>
      <c r="X72" s="814">
        <f t="shared" ref="X72:Z74" si="153">X37/T37-1</f>
        <v>19.985097688840938</v>
      </c>
      <c r="Y72" s="536">
        <f t="shared" si="153"/>
        <v>0.24777705873604372</v>
      </c>
      <c r="Z72" s="536">
        <f t="shared" si="153"/>
        <v>0.92620609402281784</v>
      </c>
      <c r="AA72" s="536"/>
      <c r="AB72" s="536">
        <f t="shared" ref="AB72:AD74" si="154">AB37/X37-1</f>
        <v>-0.53625031851291816</v>
      </c>
      <c r="AC72" s="536">
        <f t="shared" si="154"/>
        <v>0.72460085428348142</v>
      </c>
      <c r="AD72" s="536">
        <f t="shared" si="154"/>
        <v>0.22931848184736858</v>
      </c>
      <c r="AE72" s="536" t="e">
        <f t="shared" ref="AE72:AE74" si="155">AE37/AA37-1</f>
        <v>#DIV/0!</v>
      </c>
      <c r="AF72" s="536">
        <f t="shared" ref="AF72:AF74" si="156">AF37/AB37-1</f>
        <v>1.8566378180435508</v>
      </c>
      <c r="AG72" s="595" t="s">
        <v>731</v>
      </c>
      <c r="AH72" s="536">
        <f t="shared" ref="AH72:AH74" si="157">AH37/AD37-1</f>
        <v>6.6436554594469399E-2</v>
      </c>
      <c r="AI72" s="536" t="e">
        <f t="shared" ref="AI72:AI74" si="158">AI37/AE37-1</f>
        <v>#DIV/0!</v>
      </c>
      <c r="AJ72" s="536">
        <f t="shared" ref="AJ72:AJ74" si="159">AJ37/AF37-1</f>
        <v>9.8952615436546765E-2</v>
      </c>
      <c r="AK72" s="536">
        <f t="shared" ref="AK72:AK74" si="160">AK37/AG37-1</f>
        <v>0.10734279989711371</v>
      </c>
      <c r="AL72" s="536">
        <f t="shared" ref="AL72:AL74" si="161">AL37/AH37-1</f>
        <v>0.10404822269625091</v>
      </c>
      <c r="AM72" s="536" t="e">
        <f t="shared" ref="AM72:AM74" si="162">AM37/AI37-1</f>
        <v>#DIV/0!</v>
      </c>
      <c r="AN72" s="536">
        <f t="shared" ref="AN72:AN74" si="163">AN37/AJ37-1</f>
        <v>0.10746686076705814</v>
      </c>
      <c r="AO72" s="536">
        <f t="shared" ref="AO72:AO74" si="164">AO37/AK37-1</f>
        <v>9.34178799583254E-2</v>
      </c>
      <c r="AP72" s="536">
        <f t="shared" ref="AP72:AP74" si="165">AP37/AL37-1</f>
        <v>9.8964694675148124E-2</v>
      </c>
      <c r="AQ72" s="536"/>
      <c r="AR72" s="536">
        <f t="shared" ref="AR72:AT74" si="166">AR37/AN37-1</f>
        <v>5.6609105885124356E-2</v>
      </c>
      <c r="AS72" s="536">
        <f t="shared" si="166"/>
        <v>5.4444709416576753E-2</v>
      </c>
      <c r="AT72" s="536">
        <f t="shared" si="166"/>
        <v>5.5319704490890631E-2</v>
      </c>
      <c r="AU72" s="536"/>
      <c r="AV72" s="536">
        <f t="shared" ref="AV72:AX74" si="167">AV37/AR37-1</f>
        <v>5.5994600580019371E-2</v>
      </c>
      <c r="AW72" s="536">
        <f t="shared" si="167"/>
        <v>5.3975123814691939E-2</v>
      </c>
      <c r="AX72" s="536">
        <f t="shared" si="167"/>
        <v>5.4792233930182954E-2</v>
      </c>
      <c r="AY72" s="536"/>
      <c r="AZ72" s="536">
        <f t="shared" ref="AZ72:BB74" si="168">AZ37/AV37-1</f>
        <v>5.5426006856266419E-2</v>
      </c>
      <c r="BA72" s="536">
        <f t="shared" si="168"/>
        <v>5.3541466800010706E-2</v>
      </c>
      <c r="BB72" s="536">
        <f t="shared" si="168"/>
        <v>5.4304575019252566E-2</v>
      </c>
      <c r="BC72" s="536"/>
      <c r="BD72" s="536">
        <f t="shared" ref="BD72:BF74" si="169">BD37/AZ37-1</f>
        <v>5.4900150900810019E-2</v>
      </c>
      <c r="BE72" s="536">
        <f t="shared" si="169"/>
        <v>5.3141313741508212E-2</v>
      </c>
      <c r="BF72" s="536">
        <f t="shared" si="169"/>
        <v>5.3854026031401991E-2</v>
      </c>
      <c r="BG72" s="536"/>
      <c r="BH72" s="536"/>
      <c r="BI72" s="49"/>
      <c r="BJ72" s="549" t="s">
        <v>246</v>
      </c>
      <c r="BL72" s="98">
        <f>+BS!T64</f>
        <v>475.096</v>
      </c>
      <c r="BM72" s="98">
        <f>+BS!U64</f>
        <v>490.41799999999995</v>
      </c>
      <c r="BN72" s="98">
        <f>+BS!V64</f>
        <v>490.41799999999995</v>
      </c>
      <c r="BP72" s="98">
        <f>+BS!X64</f>
        <v>555.34299999999996</v>
      </c>
      <c r="BQ72" s="98">
        <f>+BS!Y64</f>
        <v>598.28699999999992</v>
      </c>
      <c r="BR72" s="98">
        <f>+BS!Z64</f>
        <v>598.28699999999992</v>
      </c>
      <c r="BT72" s="98">
        <f>+BS!AB64</f>
        <v>614.35300000000007</v>
      </c>
      <c r="BU72" s="98">
        <f>+BS!AC64</f>
        <v>997.67700000000002</v>
      </c>
      <c r="BV72" s="98">
        <f>+BS!AD64</f>
        <v>997.67700000000002</v>
      </c>
      <c r="BX72" s="98">
        <f>+BS!AF64</f>
        <v>1201.729</v>
      </c>
      <c r="BY72" s="98">
        <f>+BS!AG64</f>
        <v>1513.3679999999999</v>
      </c>
      <c r="BZ72" s="98">
        <f>+BS!AH64</f>
        <v>1513.3679999999999</v>
      </c>
      <c r="CB72" s="98">
        <f>+BS!AJ64</f>
        <v>1485.8390000000002</v>
      </c>
      <c r="CC72" s="98">
        <f>+BS!AK64</f>
        <v>1749.2110000000002</v>
      </c>
      <c r="CD72" s="98">
        <f>+BS!AL64</f>
        <v>1749.2110000000002</v>
      </c>
      <c r="CF72" s="98">
        <f>+BS!AN64</f>
        <v>1863.7929999999999</v>
      </c>
      <c r="CG72" s="98">
        <f>+BS!AO64</f>
        <v>2073.8469999999998</v>
      </c>
      <c r="CH72" s="98">
        <f>+BS!AP64</f>
        <v>2073.8469999999998</v>
      </c>
      <c r="CI72" s="98">
        <f>+BS!AQ64</f>
        <v>0</v>
      </c>
      <c r="CJ72" s="98">
        <f>+BS!AR64</f>
        <v>2062.2339172486745</v>
      </c>
      <c r="CK72" s="98">
        <f>+BS!AS64</f>
        <v>2131.0550689932552</v>
      </c>
      <c r="CL72" s="98">
        <f>+BS!AT64</f>
        <v>2131.0550689932552</v>
      </c>
      <c r="CM72" s="98">
        <f>+BS!AU64</f>
        <v>0</v>
      </c>
      <c r="CN72" s="98">
        <f>+BS!AV64</f>
        <v>2111.0643158515286</v>
      </c>
      <c r="CO72" s="98">
        <f>+BS!AW64</f>
        <v>2188.7104339485941</v>
      </c>
      <c r="CP72" s="98">
        <f>+BS!AX64</f>
        <v>2188.7104339485941</v>
      </c>
      <c r="CQ72" s="98">
        <f>+BS!AY64</f>
        <v>0</v>
      </c>
      <c r="CR72" s="98">
        <f>+BS!AZ64</f>
        <v>2168.7153561411906</v>
      </c>
      <c r="CS72" s="98">
        <f>+BS!BA64</f>
        <v>2254.1146782734722</v>
      </c>
      <c r="CT72" s="98">
        <f>+BS!BB64</f>
        <v>2254.1146782734722</v>
      </c>
      <c r="CV72" s="98">
        <f>+BS!BD64</f>
        <v>2230.7445339380265</v>
      </c>
      <c r="CW72" s="98">
        <f>+BS!BE64</f>
        <v>2321.0394760529243</v>
      </c>
      <c r="CX72" s="98">
        <f>+BS!BF64</f>
        <v>2321.0394760529252</v>
      </c>
    </row>
    <row r="73" spans="1:104" ht="17.100000000000001" customHeight="1">
      <c r="B73" s="594" t="s">
        <v>722</v>
      </c>
      <c r="C73" s="74"/>
      <c r="D73" s="59"/>
      <c r="E73" s="59"/>
      <c r="F73" s="59"/>
      <c r="G73" s="74"/>
      <c r="H73" s="595">
        <f t="shared" si="149"/>
        <v>0.16134414726350932</v>
      </c>
      <c r="I73" s="595">
        <f t="shared" si="149"/>
        <v>-0.10304091768687818</v>
      </c>
      <c r="J73" s="595">
        <f t="shared" si="149"/>
        <v>-3.9081108757334837E-2</v>
      </c>
      <c r="K73" s="59"/>
      <c r="L73" s="595">
        <f>L38/H38-1</f>
        <v>0.30425770056224133</v>
      </c>
      <c r="M73" s="595">
        <f t="shared" si="150"/>
        <v>0.2570420352899041</v>
      </c>
      <c r="N73" s="595">
        <f t="shared" si="150"/>
        <v>0.27311861581788555</v>
      </c>
      <c r="O73" s="595"/>
      <c r="P73" s="595">
        <f t="shared" si="151"/>
        <v>1.1815328147941395E-2</v>
      </c>
      <c r="Q73" s="595">
        <f t="shared" si="151"/>
        <v>0.22241708441324026</v>
      </c>
      <c r="R73" s="595">
        <f t="shared" si="151"/>
        <v>9.8810726460173637E-2</v>
      </c>
      <c r="S73" s="595"/>
      <c r="T73" s="595">
        <f t="shared" si="152"/>
        <v>0.17579967971040222</v>
      </c>
      <c r="U73" s="595">
        <f t="shared" si="152"/>
        <v>0.37120794940534063</v>
      </c>
      <c r="V73" s="595">
        <f t="shared" si="152"/>
        <v>0.33695923195406241</v>
      </c>
      <c r="W73" s="595"/>
      <c r="X73" s="595">
        <f t="shared" si="153"/>
        <v>0.34432131755628803</v>
      </c>
      <c r="Y73" s="595">
        <f t="shared" si="153"/>
        <v>0.14415572279247546</v>
      </c>
      <c r="Z73" s="595">
        <f t="shared" si="153"/>
        <v>0.21237503439194239</v>
      </c>
      <c r="AA73" s="595"/>
      <c r="AB73" s="595">
        <f t="shared" si="154"/>
        <v>5.1680438007867258E-2</v>
      </c>
      <c r="AC73" s="595">
        <f t="shared" si="154"/>
        <v>0.12902379472128134</v>
      </c>
      <c r="AD73" s="595">
        <f t="shared" si="154"/>
        <v>9.5778942642274156E-2</v>
      </c>
      <c r="AE73" s="595" t="e">
        <f t="shared" si="155"/>
        <v>#DIV/0!</v>
      </c>
      <c r="AF73" s="595">
        <f t="shared" si="156"/>
        <v>0.15513415924209051</v>
      </c>
      <c r="AG73" s="595">
        <f t="shared" ref="AG73:AG74" si="170">AG38/AC38-1</f>
        <v>9.5970157837533376E-2</v>
      </c>
      <c r="AH73" s="595">
        <f t="shared" si="157"/>
        <v>0.11908616106791947</v>
      </c>
      <c r="AI73" s="595" t="e">
        <f t="shared" si="158"/>
        <v>#DIV/0!</v>
      </c>
      <c r="AJ73" s="595">
        <f t="shared" si="159"/>
        <v>8.2492352285095771E-2</v>
      </c>
      <c r="AK73" s="595">
        <f t="shared" si="160"/>
        <v>9.4849020911724313E-2</v>
      </c>
      <c r="AL73" s="595">
        <f t="shared" si="161"/>
        <v>8.9798134467629964E-2</v>
      </c>
      <c r="AM73" s="595" t="e">
        <f t="shared" si="162"/>
        <v>#DIV/0!</v>
      </c>
      <c r="AN73" s="595">
        <f t="shared" si="163"/>
        <v>9.0754962869495248E-2</v>
      </c>
      <c r="AO73" s="595">
        <f t="shared" si="164"/>
        <v>8.3468478690025716E-2</v>
      </c>
      <c r="AP73" s="595">
        <f t="shared" si="165"/>
        <v>8.6454391424655164E-2</v>
      </c>
      <c r="AQ73" s="595"/>
      <c r="AR73" s="595">
        <f t="shared" si="166"/>
        <v>4.5483756481705662E-2</v>
      </c>
      <c r="AS73" s="595">
        <f t="shared" si="166"/>
        <v>4.5942841221835229E-2</v>
      </c>
      <c r="AT73" s="595">
        <f t="shared" si="166"/>
        <v>4.576980902693073E-2</v>
      </c>
      <c r="AU73" s="595"/>
      <c r="AV73" s="595">
        <f t="shared" si="167"/>
        <v>4.8517622213737122E-2</v>
      </c>
      <c r="AW73" s="595">
        <f t="shared" si="167"/>
        <v>4.8986909409758805E-2</v>
      </c>
      <c r="AX73" s="595">
        <f t="shared" si="167"/>
        <v>4.8808716281233622E-2</v>
      </c>
      <c r="AY73" s="595"/>
      <c r="AZ73" s="595">
        <f t="shared" si="168"/>
        <v>4.8308830208991349E-2</v>
      </c>
      <c r="BA73" s="595">
        <f t="shared" si="168"/>
        <v>4.878535540038631E-2</v>
      </c>
      <c r="BB73" s="595">
        <f t="shared" si="168"/>
        <v>4.8603244594779271E-2</v>
      </c>
      <c r="BC73" s="595"/>
      <c r="BD73" s="595">
        <f t="shared" si="169"/>
        <v>4.8123424840476492E-2</v>
      </c>
      <c r="BE73" s="595">
        <f t="shared" si="169"/>
        <v>4.860573859119599E-2</v>
      </c>
      <c r="BF73" s="595">
        <f t="shared" si="169"/>
        <v>4.8420374935207455E-2</v>
      </c>
      <c r="BG73" s="595"/>
      <c r="BH73" s="536"/>
      <c r="BI73" s="49"/>
      <c r="BJ73" s="549"/>
    </row>
    <row r="74" spans="1:104" ht="17.100000000000001" customHeight="1">
      <c r="B74" s="86" t="s">
        <v>508</v>
      </c>
      <c r="C74" s="74"/>
      <c r="D74" s="59"/>
      <c r="E74" s="59"/>
      <c r="F74" s="59"/>
      <c r="G74" s="74"/>
      <c r="H74" s="536">
        <f t="shared" si="149"/>
        <v>7.4074074074074181E-2</v>
      </c>
      <c r="I74" s="536">
        <f t="shared" si="149"/>
        <v>9.2307692307692202E-2</v>
      </c>
      <c r="J74" s="536">
        <f t="shared" si="149"/>
        <v>8.6956521739130377E-2</v>
      </c>
      <c r="K74" s="59"/>
      <c r="L74" s="536">
        <f>L39/H39-1</f>
        <v>0.10344827586206895</v>
      </c>
      <c r="M74" s="536">
        <f t="shared" si="150"/>
        <v>9.8591549295774739E-2</v>
      </c>
      <c r="N74" s="536">
        <f t="shared" si="150"/>
        <v>0.10000000000000009</v>
      </c>
      <c r="O74" s="536"/>
      <c r="P74" s="536">
        <f t="shared" si="151"/>
        <v>6.25E-2</v>
      </c>
      <c r="Q74" s="536">
        <f t="shared" si="151"/>
        <v>0</v>
      </c>
      <c r="R74" s="536">
        <f t="shared" si="151"/>
        <v>1.8181818181818077E-2</v>
      </c>
      <c r="S74" s="536"/>
      <c r="T74" s="536">
        <f t="shared" si="152"/>
        <v>0</v>
      </c>
      <c r="U74" s="536">
        <f t="shared" si="152"/>
        <v>0.20512820512820507</v>
      </c>
      <c r="V74" s="536">
        <f t="shared" si="152"/>
        <v>0.14285714285714279</v>
      </c>
      <c r="W74" s="536"/>
      <c r="X74" s="536">
        <f t="shared" si="153"/>
        <v>0.17647058823529416</v>
      </c>
      <c r="Y74" s="536">
        <f t="shared" si="153"/>
        <v>0.25531914893617014</v>
      </c>
      <c r="Z74" s="536">
        <f t="shared" si="153"/>
        <v>0.234375</v>
      </c>
      <c r="AA74" s="536"/>
      <c r="AB74" s="536">
        <f t="shared" si="154"/>
        <v>0.25</v>
      </c>
      <c r="AC74" s="536">
        <f t="shared" si="154"/>
        <v>0.11864406779661008</v>
      </c>
      <c r="AD74" s="536">
        <f t="shared" si="154"/>
        <v>0.15189873417721511</v>
      </c>
      <c r="AE74" s="536" t="e">
        <f t="shared" si="155"/>
        <v>#DIV/0!</v>
      </c>
      <c r="AF74" s="536">
        <f t="shared" si="156"/>
        <v>0.28000000000000003</v>
      </c>
      <c r="AG74" s="536">
        <f t="shared" si="170"/>
        <v>0.21212121212121215</v>
      </c>
      <c r="AH74" s="536">
        <f t="shared" si="157"/>
        <v>0.23076923076923084</v>
      </c>
      <c r="AI74" s="536" t="e">
        <f t="shared" si="158"/>
        <v>#DIV/0!</v>
      </c>
      <c r="AJ74" s="536">
        <f t="shared" si="159"/>
        <v>6.25E-2</v>
      </c>
      <c r="AK74" s="536">
        <f t="shared" si="160"/>
        <v>8.7499999999999911E-2</v>
      </c>
      <c r="AL74" s="536">
        <f t="shared" si="161"/>
        <v>8.0357142857142794E-2</v>
      </c>
      <c r="AM74" s="536" t="e">
        <f t="shared" si="162"/>
        <v>#DIV/0!</v>
      </c>
      <c r="AN74" s="536">
        <f t="shared" si="163"/>
        <v>8.8235294117646967E-2</v>
      </c>
      <c r="AO74" s="536">
        <f t="shared" si="164"/>
        <v>8.0459770114942541E-2</v>
      </c>
      <c r="AP74" s="536">
        <f t="shared" si="165"/>
        <v>8.2644628099173501E-2</v>
      </c>
      <c r="AQ74" s="536"/>
      <c r="AR74" s="536">
        <f t="shared" si="166"/>
        <v>5.4054054054053946E-2</v>
      </c>
      <c r="AS74" s="536">
        <f t="shared" si="166"/>
        <v>5.3191489361702038E-2</v>
      </c>
      <c r="AT74" s="536">
        <f t="shared" si="166"/>
        <v>5.3435114503816772E-2</v>
      </c>
      <c r="AU74" s="536"/>
      <c r="AV74" s="536">
        <f t="shared" si="167"/>
        <v>5.1282051282051322E-2</v>
      </c>
      <c r="AW74" s="536">
        <f t="shared" si="167"/>
        <v>5.0505050505050608E-2</v>
      </c>
      <c r="AX74" s="536">
        <f t="shared" si="167"/>
        <v>5.0724637681159424E-2</v>
      </c>
      <c r="AY74" s="536"/>
      <c r="AZ74" s="536">
        <f t="shared" si="168"/>
        <v>4.8780487804878092E-2</v>
      </c>
      <c r="BA74" s="536">
        <f t="shared" si="168"/>
        <v>4.8076923076923128E-2</v>
      </c>
      <c r="BB74" s="536">
        <f t="shared" si="168"/>
        <v>4.8275862068965614E-2</v>
      </c>
      <c r="BC74" s="536"/>
      <c r="BD74" s="536">
        <f t="shared" si="169"/>
        <v>4.6511627906976827E-2</v>
      </c>
      <c r="BE74" s="536">
        <f t="shared" si="169"/>
        <v>4.587155963302747E-2</v>
      </c>
      <c r="BF74" s="536">
        <f t="shared" si="169"/>
        <v>4.6052631578947345E-2</v>
      </c>
      <c r="BG74" s="536"/>
      <c r="BH74" s="536"/>
      <c r="BI74" s="49"/>
      <c r="BJ74" s="549"/>
    </row>
    <row r="75" spans="1:104" ht="17.100000000000001" customHeight="1" thickBot="1">
      <c r="B75" s="120"/>
      <c r="C75" s="122"/>
      <c r="D75" s="121"/>
      <c r="E75" s="121"/>
      <c r="F75" s="121"/>
      <c r="G75" s="122"/>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49"/>
      <c r="BJ75" s="550"/>
      <c r="BK75" s="123"/>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row>
    <row r="76" spans="1:104" ht="17.100000000000001" customHeight="1">
      <c r="A76" s="865" t="s">
        <v>711</v>
      </c>
      <c r="X76" s="18">
        <f>+X31/Z31</f>
        <v>0.4111239102088074</v>
      </c>
      <c r="Y76" s="18">
        <f>+Y31/Z31</f>
        <v>0.58874744911384114</v>
      </c>
      <c r="AB76" s="18">
        <f>+AB31/AD31</f>
        <v>0.39700514787020008</v>
      </c>
      <c r="AC76" s="18">
        <f>+AC31/AD31</f>
        <v>0.60288500426908731</v>
      </c>
      <c r="AF76" s="18">
        <f>+AF31/AH31</f>
        <v>0.41030285716918535</v>
      </c>
      <c r="AG76" s="18">
        <f>+AG31/AH31</f>
        <v>0.58969714283081576</v>
      </c>
      <c r="AJ76" s="18">
        <f>+AJ31/AL31</f>
        <v>0.40751394215691855</v>
      </c>
      <c r="AK76" s="18">
        <f>+AK31/AL31</f>
        <v>0.5924860578430815</v>
      </c>
      <c r="BJ76" s="12"/>
      <c r="BK76" s="27"/>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M76" s="38"/>
      <c r="CN76" s="38"/>
      <c r="CO76" s="38"/>
      <c r="CP76" s="38"/>
      <c r="CQ76" s="38"/>
      <c r="CR76" s="38"/>
      <c r="CS76" s="38"/>
      <c r="CT76" s="38"/>
      <c r="CU76" s="38"/>
      <c r="CV76" s="38"/>
      <c r="CW76" s="38"/>
      <c r="CX76" s="38"/>
    </row>
    <row r="77" spans="1:104" ht="17.100000000000001" customHeight="1">
      <c r="BJ77" s="559" t="s">
        <v>557</v>
      </c>
      <c r="BK77" s="555"/>
      <c r="BL77" s="555">
        <f>+BL47+BL54-BL62-BL70-BL72</f>
        <v>0</v>
      </c>
      <c r="BM77" s="555">
        <f>+BM47+BM54-BM62-BM70-BM72</f>
        <v>0</v>
      </c>
      <c r="BN77" s="555">
        <f>+BN47+BN54-BN62-BN70-BN72</f>
        <v>0</v>
      </c>
      <c r="BO77" s="555"/>
      <c r="BP77" s="555">
        <f>+BP47+BP54-BP62-BP70-BP72</f>
        <v>0</v>
      </c>
      <c r="BQ77" s="555">
        <f>+BQ47+BQ54-BQ62-BQ70-BQ72</f>
        <v>0</v>
      </c>
      <c r="BR77" s="555">
        <f>+BR47+BR54-BR62-BR70-BR72</f>
        <v>0</v>
      </c>
      <c r="BS77" s="555"/>
      <c r="BT77" s="555">
        <f>+BT47+BT54-BT62-BT70-BT72</f>
        <v>0</v>
      </c>
      <c r="BU77" s="555">
        <f>+BU47+BU54-BU62-BU70-BU72</f>
        <v>0</v>
      </c>
      <c r="BV77" s="555">
        <f>+BV47+BV54-BV62-BV70-BV72</f>
        <v>0</v>
      </c>
      <c r="BW77" s="555"/>
      <c r="BX77" s="555">
        <f>+BX47+BX54-BX62-BX70-BX72</f>
        <v>0</v>
      </c>
      <c r="BY77" s="555">
        <f>+BY47+BY54-BY62-BY70-BY72</f>
        <v>0</v>
      </c>
      <c r="BZ77" s="555">
        <f>+BZ47+BZ54-BZ62-BZ70-BZ72</f>
        <v>0</v>
      </c>
      <c r="CA77" s="555"/>
      <c r="CB77" s="555">
        <f>+CB47+CB54-CB62-CB70-CB72</f>
        <v>0</v>
      </c>
      <c r="CC77" s="555">
        <f>+CC47+CC54-CC62-CC70-CC72</f>
        <v>0</v>
      </c>
      <c r="CD77" s="555">
        <f>+CD47+CD54-CD62-CD70-CD72</f>
        <v>0</v>
      </c>
      <c r="CE77" s="555"/>
      <c r="CF77" s="555">
        <f>+CF47+CF54-CF62-CF70-CF72</f>
        <v>0</v>
      </c>
      <c r="CG77" s="555">
        <f>+CG47+CG54-CG62-CG70-CG72</f>
        <v>0</v>
      </c>
      <c r="CH77" s="555">
        <f>+CH47+CH54-CH62-CH70-CH72</f>
        <v>0</v>
      </c>
      <c r="CI77" s="555"/>
      <c r="CJ77" s="555">
        <f>+CJ47+CJ54-CJ62-CJ70-CJ72</f>
        <v>0</v>
      </c>
      <c r="CK77" s="555">
        <f>+CK47+CK54-CK62-CK70-CK72</f>
        <v>0</v>
      </c>
      <c r="CL77" s="555">
        <f>+CL47+CL54-CL62-CL70-CL72</f>
        <v>0</v>
      </c>
      <c r="CM77" s="555"/>
      <c r="CN77" s="555">
        <f>+CN47+CN54-CN62-CN70-CN72</f>
        <v>0</v>
      </c>
      <c r="CO77" s="555">
        <f>+CO47+CO54-CO62-CO70-CO72</f>
        <v>0</v>
      </c>
      <c r="CP77" s="555">
        <f>+CP47+CP54-CP62-CP70-CP72</f>
        <v>0</v>
      </c>
      <c r="CQ77" s="555"/>
      <c r="CR77" s="555">
        <f>+CR47+CR54-CR62-CR70-CR72</f>
        <v>0</v>
      </c>
      <c r="CS77" s="555">
        <f>+CS47+CS54-CS62-CS70-CS72</f>
        <v>0</v>
      </c>
      <c r="CT77" s="555">
        <f>+CT47+CT54-CT62-CT70-CT72</f>
        <v>0</v>
      </c>
      <c r="CU77" s="555"/>
      <c r="CV77" s="555">
        <f>+CV47+CV54-CV62-CV70-CV72</f>
        <v>0</v>
      </c>
      <c r="CW77" s="555">
        <f>+CW47+CW54-CW62-CW70-CW72</f>
        <v>0</v>
      </c>
      <c r="CX77" s="555">
        <f>+CX47+CX54-CX62-CX70-CX72</f>
        <v>0</v>
      </c>
    </row>
    <row r="78" spans="1:104" ht="17.100000000000001" customHeight="1">
      <c r="BJ78" s="559"/>
      <c r="BK78" s="555"/>
      <c r="BL78" s="555"/>
      <c r="BM78" s="555"/>
      <c r="BN78" s="555"/>
      <c r="BO78" s="555"/>
      <c r="BP78" s="555"/>
      <c r="BQ78" s="555"/>
      <c r="BR78" s="555"/>
      <c r="BS78" s="555"/>
      <c r="BT78" s="555"/>
      <c r="BU78" s="555"/>
      <c r="BV78" s="555"/>
      <c r="BW78" s="555"/>
      <c r="BX78" s="555"/>
      <c r="BY78" s="555"/>
      <c r="BZ78" s="555"/>
      <c r="CA78" s="555"/>
      <c r="CB78" s="555"/>
      <c r="CC78" s="555"/>
      <c r="CD78" s="555"/>
      <c r="CE78" s="555"/>
      <c r="CF78" s="555"/>
      <c r="CG78" s="555"/>
      <c r="CH78" s="555"/>
      <c r="CI78" s="555"/>
      <c r="CJ78" s="555"/>
      <c r="CK78" s="555"/>
      <c r="CL78" s="555"/>
      <c r="CM78" s="555"/>
      <c r="CN78" s="555"/>
      <c r="CO78" s="555"/>
      <c r="CP78" s="555"/>
      <c r="CQ78" s="555"/>
      <c r="CR78" s="555"/>
      <c r="CS78" s="555"/>
      <c r="CT78" s="555"/>
      <c r="CU78" s="555"/>
      <c r="CV78" s="555"/>
      <c r="CW78" s="555"/>
      <c r="CX78" s="555"/>
    </row>
    <row r="79" spans="1:104" ht="17.100000000000001" customHeight="1">
      <c r="B79" s="36"/>
      <c r="C79" s="37"/>
      <c r="D79" s="34"/>
      <c r="E79" s="34"/>
      <c r="F79" s="34"/>
      <c r="G79" s="37"/>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106"/>
      <c r="BJ79" s="554"/>
      <c r="BK79" s="554"/>
      <c r="BL79" s="554"/>
      <c r="BM79" s="554"/>
      <c r="BN79" s="554"/>
      <c r="BO79" s="554"/>
      <c r="BP79" s="554"/>
      <c r="BQ79" s="554"/>
      <c r="BR79" s="554"/>
      <c r="BS79" s="554"/>
      <c r="BT79" s="554"/>
      <c r="BU79" s="554"/>
      <c r="BV79" s="554"/>
      <c r="BW79" s="554"/>
      <c r="BX79" s="554"/>
      <c r="BY79" s="554"/>
      <c r="BZ79" s="554"/>
      <c r="CA79" s="554"/>
      <c r="CB79" s="554"/>
      <c r="CC79" s="554"/>
      <c r="CD79" s="554"/>
      <c r="CE79" s="554"/>
      <c r="CF79" s="554"/>
      <c r="CG79" s="554"/>
      <c r="CH79" s="554"/>
      <c r="CI79" s="554"/>
      <c r="CJ79" s="554"/>
      <c r="CK79" s="554"/>
      <c r="CL79" s="554"/>
      <c r="CM79" s="554"/>
      <c r="CN79" s="554"/>
      <c r="CO79" s="554"/>
      <c r="CP79" s="554"/>
      <c r="CQ79" s="554"/>
      <c r="CR79" s="554"/>
      <c r="CS79" s="554"/>
      <c r="CT79" s="554"/>
      <c r="CU79" s="554"/>
      <c r="CV79" s="554"/>
      <c r="CW79" s="554"/>
      <c r="CX79" s="554"/>
      <c r="CY79" s="554"/>
      <c r="CZ79" s="554"/>
    </row>
    <row r="80" spans="1:104" s="554" customFormat="1" ht="17.100000000000001" customHeight="1" outlineLevel="1">
      <c r="B80" s="559" t="s">
        <v>534</v>
      </c>
      <c r="C80" s="555"/>
      <c r="D80" s="555">
        <f>+D15-'P&amp;L'!P13</f>
        <v>0</v>
      </c>
      <c r="E80" s="555">
        <f>+E15-'P&amp;L'!Q13</f>
        <v>0</v>
      </c>
      <c r="F80" s="555">
        <f>+F15-'P&amp;L'!R13</f>
        <v>0</v>
      </c>
      <c r="G80" s="555"/>
      <c r="H80" s="555">
        <f>+H15-'P&amp;L'!T13</f>
        <v>0</v>
      </c>
      <c r="I80" s="555">
        <f>+I15-'P&amp;L'!U13</f>
        <v>0</v>
      </c>
      <c r="J80" s="555">
        <f>+J15-'P&amp;L'!V13</f>
        <v>0</v>
      </c>
      <c r="K80" s="555"/>
      <c r="L80" s="555">
        <f>+L15-'P&amp;L'!X13</f>
        <v>0</v>
      </c>
      <c r="M80" s="555">
        <f>+M15-'P&amp;L'!Y13</f>
        <v>0</v>
      </c>
      <c r="N80" s="555">
        <f>+N15-'P&amp;L'!Z13</f>
        <v>0</v>
      </c>
      <c r="O80" s="555"/>
      <c r="P80" s="555">
        <f>+P15-'P&amp;L'!AB13</f>
        <v>0</v>
      </c>
      <c r="Q80" s="555">
        <f>+Q15-'P&amp;L'!AC13</f>
        <v>0</v>
      </c>
      <c r="R80" s="555">
        <f>+R15-'P&amp;L'!AD13</f>
        <v>0</v>
      </c>
      <c r="S80" s="555"/>
      <c r="T80" s="555">
        <f>+T15-'P&amp;L'!AF13</f>
        <v>0</v>
      </c>
      <c r="U80" s="555">
        <f>+U15-'P&amp;L'!AG13</f>
        <v>0</v>
      </c>
      <c r="V80" s="555">
        <f>+V15-'P&amp;L'!AH13</f>
        <v>0</v>
      </c>
      <c r="W80" s="555"/>
      <c r="X80" s="555">
        <f>+X15-'P&amp;L'!AJ13</f>
        <v>0</v>
      </c>
      <c r="Y80" s="555">
        <f>+Y15-'P&amp;L'!AK13</f>
        <v>0</v>
      </c>
      <c r="Z80" s="555">
        <f>+Z15-'P&amp;L'!AL13</f>
        <v>0</v>
      </c>
      <c r="AA80" s="555"/>
      <c r="AB80" s="555">
        <f>+AB15-'P&amp;L'!AN13</f>
        <v>0</v>
      </c>
      <c r="AC80" s="555">
        <f>+AC15-'P&amp;L'!AO13</f>
        <v>0</v>
      </c>
      <c r="AD80" s="555">
        <f>+AD15-'P&amp;L'!AP13</f>
        <v>0</v>
      </c>
      <c r="AE80" s="555">
        <f>+AE15-'P&amp;L'!AQ13</f>
        <v>2.1999999999707143E-2</v>
      </c>
      <c r="AF80" s="555">
        <f>+AF15-'P&amp;L'!AR13</f>
        <v>0</v>
      </c>
      <c r="AG80" s="555">
        <f>+AG15-'P&amp;L'!AS13</f>
        <v>0</v>
      </c>
      <c r="AH80" s="555">
        <f>+AH15-'P&amp;L'!AT13</f>
        <v>0</v>
      </c>
      <c r="AI80" s="555">
        <f>+AI15-'P&amp;L'!AU13</f>
        <v>0</v>
      </c>
      <c r="AJ80" s="555">
        <f>+AJ15-'P&amp;L'!AV13</f>
        <v>0</v>
      </c>
      <c r="AK80" s="555">
        <f>+AK15-'P&amp;L'!AW13</f>
        <v>0</v>
      </c>
      <c r="AL80" s="555">
        <f>+AL15-'P&amp;L'!AX13</f>
        <v>0</v>
      </c>
      <c r="AM80" s="555">
        <f>+AM15-'P&amp;L'!AY13</f>
        <v>0</v>
      </c>
      <c r="AN80" s="555">
        <f>+AN15-'P&amp;L'!AZ13</f>
        <v>0</v>
      </c>
      <c r="AO80" s="555">
        <f>+AO15-'P&amp;L'!BA13</f>
        <v>0</v>
      </c>
      <c r="AP80" s="555">
        <f>+AP15-'P&amp;L'!BB13</f>
        <v>0</v>
      </c>
      <c r="AQ80" s="555"/>
      <c r="AR80" s="555">
        <f>+AR15-'P&amp;L'!BD13</f>
        <v>0</v>
      </c>
      <c r="AS80" s="555">
        <f>+AS15-'P&amp;L'!BE13</f>
        <v>0</v>
      </c>
      <c r="AT80" s="555">
        <f>+AT15-'P&amp;L'!BF13</f>
        <v>0</v>
      </c>
      <c r="AU80" s="555"/>
      <c r="AV80" s="555">
        <f>+AV15-'P&amp;L'!BH13</f>
        <v>0</v>
      </c>
      <c r="AW80" s="555">
        <f>+AW15-'P&amp;L'!BI13</f>
        <v>0</v>
      </c>
      <c r="AX80" s="555">
        <f>+AX15-'P&amp;L'!BJ13</f>
        <v>0</v>
      </c>
      <c r="AY80" s="555"/>
      <c r="AZ80" s="555">
        <f>+AZ15-'P&amp;L'!BL13</f>
        <v>0</v>
      </c>
      <c r="BA80" s="555">
        <f>+BA15-'P&amp;L'!BM13</f>
        <v>0</v>
      </c>
      <c r="BB80" s="555">
        <f>+BB15-'P&amp;L'!BN13</f>
        <v>0</v>
      </c>
      <c r="BC80" s="555"/>
      <c r="BD80" s="555">
        <f>+BD15-'P&amp;L'!BP13</f>
        <v>0</v>
      </c>
      <c r="BE80" s="555">
        <f>+BE15-'P&amp;L'!BQ13</f>
        <v>0</v>
      </c>
      <c r="BF80" s="555">
        <f>+BF15-'P&amp;L'!BR13</f>
        <v>0</v>
      </c>
      <c r="BG80" s="555"/>
      <c r="BH80" s="555"/>
      <c r="BI80" s="556"/>
    </row>
    <row r="81" spans="2:104" s="554" customFormat="1" ht="17.100000000000001" customHeight="1" outlineLevel="1">
      <c r="B81" s="559" t="s">
        <v>679</v>
      </c>
      <c r="C81" s="555"/>
      <c r="D81" s="555"/>
      <c r="E81" s="555"/>
      <c r="F81" s="555"/>
      <c r="G81" s="555"/>
      <c r="H81" s="555"/>
      <c r="I81" s="555"/>
      <c r="J81" s="555">
        <f>+J23-SUM(J16:J22)</f>
        <v>0</v>
      </c>
      <c r="K81" s="555">
        <f t="shared" ref="K81:AD81" si="171">+K23-SUM(K16:K22)</f>
        <v>0</v>
      </c>
      <c r="L81" s="555">
        <f t="shared" si="171"/>
        <v>0</v>
      </c>
      <c r="M81" s="555">
        <f t="shared" si="171"/>
        <v>0</v>
      </c>
      <c r="N81" s="555">
        <f t="shared" si="171"/>
        <v>0</v>
      </c>
      <c r="O81" s="555">
        <f t="shared" si="171"/>
        <v>0</v>
      </c>
      <c r="P81" s="555">
        <f t="shared" si="171"/>
        <v>0</v>
      </c>
      <c r="Q81" s="555">
        <f t="shared" si="171"/>
        <v>0</v>
      </c>
      <c r="R81" s="555">
        <f t="shared" si="171"/>
        <v>0</v>
      </c>
      <c r="S81" s="555">
        <f t="shared" si="171"/>
        <v>0</v>
      </c>
      <c r="T81" s="555">
        <f t="shared" si="171"/>
        <v>0</v>
      </c>
      <c r="U81" s="555">
        <f>+U23-SUM(U16:U22)</f>
        <v>0</v>
      </c>
      <c r="V81" s="555">
        <f t="shared" si="171"/>
        <v>0</v>
      </c>
      <c r="W81" s="555">
        <f t="shared" si="171"/>
        <v>0</v>
      </c>
      <c r="X81" s="555">
        <f t="shared" si="171"/>
        <v>0</v>
      </c>
      <c r="Y81" s="555">
        <f>+Y23-SUM(Y16:Y22)</f>
        <v>4.0000000000475211E-3</v>
      </c>
      <c r="Z81" s="555">
        <f>+Z23-SUM(Z16:Z22)</f>
        <v>2.6000000000067303E-2</v>
      </c>
      <c r="AA81" s="555">
        <f t="shared" si="171"/>
        <v>0</v>
      </c>
      <c r="AB81" s="555">
        <f t="shared" si="171"/>
        <v>0</v>
      </c>
      <c r="AC81" s="555">
        <f t="shared" si="171"/>
        <v>0</v>
      </c>
      <c r="AD81" s="555">
        <f t="shared" si="171"/>
        <v>2.199999999982083E-2</v>
      </c>
      <c r="AE81" s="555">
        <f t="shared" ref="AE81:AP81" si="172">+AE23-SUM(AE16:AE22)</f>
        <v>-2.1999999999877673E-2</v>
      </c>
      <c r="AF81" s="555">
        <f t="shared" si="172"/>
        <v>0</v>
      </c>
      <c r="AG81" s="555">
        <f t="shared" si="172"/>
        <v>0</v>
      </c>
      <c r="AH81" s="555">
        <f t="shared" si="172"/>
        <v>0</v>
      </c>
      <c r="AI81" s="555">
        <f t="shared" si="172"/>
        <v>0</v>
      </c>
      <c r="AJ81" s="555">
        <f t="shared" si="172"/>
        <v>0</v>
      </c>
      <c r="AK81" s="555">
        <f t="shared" si="172"/>
        <v>0</v>
      </c>
      <c r="AL81" s="555">
        <f t="shared" si="172"/>
        <v>0</v>
      </c>
      <c r="AM81" s="555">
        <f t="shared" si="172"/>
        <v>0</v>
      </c>
      <c r="AN81" s="555">
        <f t="shared" si="172"/>
        <v>0</v>
      </c>
      <c r="AO81" s="555">
        <f t="shared" si="172"/>
        <v>0</v>
      </c>
      <c r="AP81" s="555">
        <f t="shared" si="172"/>
        <v>0</v>
      </c>
      <c r="AQ81" s="555"/>
      <c r="AR81" s="555"/>
      <c r="AS81" s="555"/>
      <c r="AT81" s="555"/>
      <c r="AU81" s="555"/>
      <c r="AV81" s="555"/>
      <c r="AW81" s="555"/>
      <c r="AX81" s="555"/>
      <c r="AY81" s="555"/>
      <c r="AZ81" s="555"/>
      <c r="BA81" s="555"/>
      <c r="BB81" s="555"/>
      <c r="BC81" s="555"/>
      <c r="BD81" s="555"/>
      <c r="BE81" s="555"/>
      <c r="BF81" s="555"/>
      <c r="BG81" s="555"/>
      <c r="BH81" s="555"/>
      <c r="BI81" s="556"/>
      <c r="BJ81" s="557"/>
      <c r="BK81" s="558"/>
      <c r="BL81" s="38"/>
      <c r="BM81" s="38"/>
      <c r="BN81" s="38"/>
      <c r="BO81" s="38"/>
      <c r="BP81" s="38"/>
      <c r="BQ81" s="38"/>
      <c r="BR81" s="38"/>
      <c r="BS81" s="38"/>
      <c r="BT81" s="38"/>
      <c r="BU81" s="38"/>
      <c r="BV81" s="38"/>
      <c r="BW81" s="38"/>
      <c r="BX81" s="38"/>
      <c r="BY81" s="38"/>
      <c r="BZ81" s="38"/>
      <c r="CA81" s="38"/>
      <c r="CB81" s="38"/>
      <c r="CC81" s="38"/>
      <c r="CD81" s="38"/>
      <c r="CE81" s="38"/>
      <c r="CF81" s="38"/>
      <c r="CG81" s="38"/>
      <c r="CH81" s="38"/>
      <c r="CI81" s="38"/>
      <c r="CJ81" s="38"/>
      <c r="CK81" s="38"/>
      <c r="CL81" s="38"/>
      <c r="CM81" s="38"/>
      <c r="CN81" s="38"/>
      <c r="CO81" s="38"/>
      <c r="CP81" s="38"/>
      <c r="CQ81" s="38"/>
      <c r="CR81" s="38"/>
      <c r="CS81" s="38"/>
      <c r="CT81" s="38"/>
      <c r="CU81" s="38"/>
      <c r="CV81" s="38"/>
      <c r="CW81" s="38"/>
      <c r="CX81" s="38"/>
      <c r="CY81" s="107"/>
    </row>
    <row r="82" spans="2:104" s="554" customFormat="1" ht="17.100000000000001" customHeight="1" outlineLevel="1">
      <c r="B82" s="559" t="s">
        <v>554</v>
      </c>
      <c r="C82" s="555"/>
      <c r="D82" s="555"/>
      <c r="E82" s="555"/>
      <c r="F82" s="555"/>
      <c r="G82" s="555"/>
      <c r="H82" s="555">
        <f>+H23+H24+H27+H30-H31</f>
        <v>0</v>
      </c>
      <c r="I82" s="555">
        <f>+I23+I24+I27+I30-I31</f>
        <v>0</v>
      </c>
      <c r="J82" s="555">
        <f>+J23+J24+J27+J30-J31</f>
        <v>0</v>
      </c>
      <c r="K82" s="555"/>
      <c r="L82" s="555">
        <f>+L23+L24+L27+L30-L31</f>
        <v>0</v>
      </c>
      <c r="M82" s="555">
        <f>+M23+M24+M27+M30-M31</f>
        <v>0</v>
      </c>
      <c r="N82" s="555">
        <f>+N23+N24+N27+N30-N31</f>
        <v>0</v>
      </c>
      <c r="O82" s="555"/>
      <c r="P82" s="555">
        <f>+P23+P24+P27+P30-P31</f>
        <v>0</v>
      </c>
      <c r="Q82" s="555">
        <f>+Q23+Q24+Q27+Q30-Q31</f>
        <v>0</v>
      </c>
      <c r="R82" s="555">
        <f>+R23+R24+R27+R30-R31</f>
        <v>0</v>
      </c>
      <c r="S82" s="555"/>
      <c r="T82" s="555">
        <f>+T23+T24+T27+T30-T31</f>
        <v>0</v>
      </c>
      <c r="U82" s="555">
        <f>+U23+U24+U27+U30-U31</f>
        <v>0</v>
      </c>
      <c r="V82" s="555">
        <f>+V23+V24+V27+V30-V31</f>
        <v>0.10000000000005116</v>
      </c>
      <c r="W82" s="555"/>
      <c r="X82" s="555">
        <f>+X23+X24+X27+X30-X31</f>
        <v>0</v>
      </c>
      <c r="Y82" s="555">
        <f>+Y23+Y24+Y27+Y30-Y31</f>
        <v>0</v>
      </c>
      <c r="Z82" s="555">
        <f>+Z23+Z24+Z27+Z30-Z31</f>
        <v>0</v>
      </c>
      <c r="AA82" s="555"/>
      <c r="AB82" s="555">
        <f t="shared" ref="AB82:AC82" si="173">+AB23+AB24+AB27+AB30-AB31</f>
        <v>0</v>
      </c>
      <c r="AC82" s="555">
        <f t="shared" si="173"/>
        <v>0</v>
      </c>
      <c r="AD82" s="555">
        <f>+AD23+AD24+AD27+AD30-AD31</f>
        <v>0</v>
      </c>
      <c r="AE82" s="555">
        <f t="shared" ref="AE82:AP82" si="174">+AE23+AE24+AE27+AE30-AE31</f>
        <v>5.6843418860808015E-14</v>
      </c>
      <c r="AF82" s="555">
        <f t="shared" si="174"/>
        <v>0</v>
      </c>
      <c r="AG82" s="555">
        <f t="shared" si="174"/>
        <v>0</v>
      </c>
      <c r="AH82" s="555">
        <f t="shared" si="174"/>
        <v>0</v>
      </c>
      <c r="AI82" s="555">
        <f t="shared" si="174"/>
        <v>-2.5579538487363607E-13</v>
      </c>
      <c r="AJ82" s="555">
        <f t="shared" si="174"/>
        <v>0</v>
      </c>
      <c r="AK82" s="555">
        <f t="shared" si="174"/>
        <v>0</v>
      </c>
      <c r="AL82" s="555">
        <f t="shared" si="174"/>
        <v>0</v>
      </c>
      <c r="AM82" s="555">
        <f t="shared" si="174"/>
        <v>0</v>
      </c>
      <c r="AN82" s="555">
        <f t="shared" si="174"/>
        <v>0</v>
      </c>
      <c r="AO82" s="555">
        <f t="shared" si="174"/>
        <v>0</v>
      </c>
      <c r="AP82" s="555">
        <f t="shared" si="174"/>
        <v>0</v>
      </c>
      <c r="AQ82" s="555"/>
      <c r="AR82" s="555">
        <f t="shared" ref="AR82:BF82" si="175">+AR23+AR24+AR27+AR30-AR31</f>
        <v>0</v>
      </c>
      <c r="AS82" s="555">
        <f t="shared" si="175"/>
        <v>0</v>
      </c>
      <c r="AT82" s="555">
        <f t="shared" si="175"/>
        <v>0</v>
      </c>
      <c r="AU82" s="555"/>
      <c r="AV82" s="555">
        <f t="shared" si="175"/>
        <v>0</v>
      </c>
      <c r="AW82" s="555">
        <f t="shared" si="175"/>
        <v>0</v>
      </c>
      <c r="AX82" s="555">
        <f t="shared" si="175"/>
        <v>0</v>
      </c>
      <c r="AY82" s="555"/>
      <c r="AZ82" s="555">
        <f t="shared" si="175"/>
        <v>0</v>
      </c>
      <c r="BA82" s="555">
        <f t="shared" si="175"/>
        <v>0</v>
      </c>
      <c r="BB82" s="555">
        <f t="shared" si="175"/>
        <v>0</v>
      </c>
      <c r="BC82" s="555"/>
      <c r="BD82" s="555">
        <f t="shared" si="175"/>
        <v>0</v>
      </c>
      <c r="BE82" s="555">
        <f t="shared" si="175"/>
        <v>0</v>
      </c>
      <c r="BF82" s="555">
        <f t="shared" si="175"/>
        <v>0</v>
      </c>
      <c r="BG82" s="555"/>
      <c r="BH82" s="555"/>
      <c r="BI82" s="556"/>
      <c r="BJ82" s="557"/>
      <c r="BK82" s="558"/>
      <c r="BL82" s="38"/>
      <c r="BM82" s="38"/>
      <c r="BN82" s="38"/>
      <c r="BO82" s="38"/>
      <c r="BP82" s="38"/>
      <c r="BQ82" s="38"/>
      <c r="BR82" s="38"/>
      <c r="BS82" s="38"/>
      <c r="BT82" s="38"/>
      <c r="BU82" s="38"/>
      <c r="BV82" s="38"/>
      <c r="BW82" s="38"/>
      <c r="BX82" s="38"/>
      <c r="BY82" s="38"/>
      <c r="BZ82" s="38"/>
      <c r="CA82" s="38"/>
      <c r="CB82" s="38"/>
      <c r="CC82" s="38"/>
      <c r="CD82" s="38"/>
      <c r="CE82" s="38"/>
      <c r="CF82" s="38"/>
      <c r="CG82" s="38"/>
      <c r="CH82" s="38"/>
      <c r="CI82" s="38"/>
      <c r="CJ82" s="38"/>
      <c r="CK82" s="38"/>
      <c r="CL82" s="38"/>
      <c r="CM82" s="38"/>
      <c r="CN82" s="38"/>
      <c r="CO82" s="38"/>
      <c r="CP82" s="38"/>
      <c r="CQ82" s="38"/>
      <c r="CR82" s="38"/>
      <c r="CS82" s="38"/>
      <c r="CT82" s="38"/>
      <c r="CU82" s="38"/>
      <c r="CV82" s="38"/>
      <c r="CW82" s="38"/>
      <c r="CX82" s="38"/>
      <c r="CY82" s="107"/>
    </row>
    <row r="83" spans="2:104" s="554" customFormat="1" ht="17.100000000000001" customHeight="1" outlineLevel="1">
      <c r="B83" s="559" t="s">
        <v>555</v>
      </c>
      <c r="C83" s="555"/>
      <c r="D83" s="555"/>
      <c r="E83" s="555"/>
      <c r="F83" s="555"/>
      <c r="G83" s="555"/>
      <c r="H83" s="555">
        <f>+H31+H33-H34</f>
        <v>0</v>
      </c>
      <c r="I83" s="555">
        <f>+I31+I33-I34</f>
        <v>0</v>
      </c>
      <c r="J83" s="555">
        <f>+J31+J33-J34</f>
        <v>0</v>
      </c>
      <c r="K83" s="555"/>
      <c r="L83" s="555">
        <f>+L31+L33-L34</f>
        <v>0</v>
      </c>
      <c r="M83" s="555">
        <f>+M31+M33-M34</f>
        <v>0</v>
      </c>
      <c r="N83" s="555">
        <f>+N31+N33-N34</f>
        <v>0</v>
      </c>
      <c r="O83" s="555"/>
      <c r="P83" s="555">
        <f>+P31+P33-P34</f>
        <v>0</v>
      </c>
      <c r="Q83" s="555">
        <f>+Q31+Q33-Q34</f>
        <v>0</v>
      </c>
      <c r="R83" s="555">
        <f>+R31+R33-R34</f>
        <v>0</v>
      </c>
      <c r="S83" s="555"/>
      <c r="T83" s="555">
        <f>+T31+T33-T34</f>
        <v>0</v>
      </c>
      <c r="U83" s="555">
        <f>+U31+U33-U34</f>
        <v>0</v>
      </c>
      <c r="V83" s="555">
        <f>+V31+V33-V34</f>
        <v>0</v>
      </c>
      <c r="W83" s="555"/>
      <c r="X83" s="555">
        <f>+X31+X33-X34</f>
        <v>0</v>
      </c>
      <c r="Y83" s="555">
        <f>+Y31+Y33-Y34</f>
        <v>0</v>
      </c>
      <c r="Z83" s="555">
        <f t="shared" ref="Z83:BH83" si="176">+Z31+Z33-Z34</f>
        <v>0</v>
      </c>
      <c r="AA83" s="555">
        <f t="shared" si="176"/>
        <v>0</v>
      </c>
      <c r="AB83" s="555">
        <f t="shared" si="176"/>
        <v>0</v>
      </c>
      <c r="AC83" s="555">
        <f t="shared" si="176"/>
        <v>0</v>
      </c>
      <c r="AD83" s="555">
        <f t="shared" si="176"/>
        <v>2.1999999999962938E-2</v>
      </c>
      <c r="AE83" s="555">
        <f t="shared" ref="AE83:AP83" si="177">+AE31+AE33-AE34</f>
        <v>-2.1999999999934516E-2</v>
      </c>
      <c r="AF83" s="555">
        <f t="shared" si="177"/>
        <v>0</v>
      </c>
      <c r="AG83" s="555">
        <f t="shared" si="177"/>
        <v>0</v>
      </c>
      <c r="AH83" s="555">
        <f t="shared" si="177"/>
        <v>0</v>
      </c>
      <c r="AI83" s="555">
        <f t="shared" si="177"/>
        <v>0</v>
      </c>
      <c r="AJ83" s="555">
        <f t="shared" si="177"/>
        <v>0</v>
      </c>
      <c r="AK83" s="555">
        <f t="shared" si="177"/>
        <v>0</v>
      </c>
      <c r="AL83" s="555">
        <f t="shared" si="177"/>
        <v>0</v>
      </c>
      <c r="AM83" s="555">
        <f t="shared" si="177"/>
        <v>0</v>
      </c>
      <c r="AN83" s="555">
        <f t="shared" si="177"/>
        <v>0</v>
      </c>
      <c r="AO83" s="555">
        <f t="shared" si="177"/>
        <v>0</v>
      </c>
      <c r="AP83" s="555">
        <f t="shared" si="177"/>
        <v>0</v>
      </c>
      <c r="AQ83" s="555">
        <f t="shared" si="176"/>
        <v>0</v>
      </c>
      <c r="AR83" s="555">
        <f t="shared" si="176"/>
        <v>0</v>
      </c>
      <c r="AS83" s="555">
        <f t="shared" si="176"/>
        <v>0</v>
      </c>
      <c r="AT83" s="555">
        <f t="shared" si="176"/>
        <v>0</v>
      </c>
      <c r="AU83" s="555">
        <f t="shared" si="176"/>
        <v>0</v>
      </c>
      <c r="AV83" s="555">
        <f t="shared" si="176"/>
        <v>0</v>
      </c>
      <c r="AW83" s="555">
        <f t="shared" si="176"/>
        <v>0</v>
      </c>
      <c r="AX83" s="555">
        <f t="shared" si="176"/>
        <v>0</v>
      </c>
      <c r="AY83" s="555">
        <f t="shared" si="176"/>
        <v>0</v>
      </c>
      <c r="AZ83" s="555">
        <f t="shared" si="176"/>
        <v>0</v>
      </c>
      <c r="BA83" s="555">
        <f t="shared" si="176"/>
        <v>0</v>
      </c>
      <c r="BB83" s="555">
        <f t="shared" si="176"/>
        <v>0</v>
      </c>
      <c r="BC83" s="555">
        <f t="shared" si="176"/>
        <v>0</v>
      </c>
      <c r="BD83" s="555">
        <f t="shared" si="176"/>
        <v>0</v>
      </c>
      <c r="BE83" s="555">
        <f t="shared" si="176"/>
        <v>0</v>
      </c>
      <c r="BF83" s="555">
        <f t="shared" si="176"/>
        <v>0</v>
      </c>
      <c r="BG83" s="555">
        <f t="shared" si="176"/>
        <v>0</v>
      </c>
      <c r="BH83" s="555">
        <f t="shared" si="176"/>
        <v>0</v>
      </c>
      <c r="BI83" s="556"/>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107"/>
      <c r="CZ83" s="3"/>
    </row>
    <row r="84" spans="2:104" ht="17.100000000000001" customHeight="1" outlineLevel="1">
      <c r="BI84" s="119"/>
      <c r="CY84" s="87"/>
    </row>
    <row r="85" spans="2:104" ht="17.100000000000001" customHeight="1">
      <c r="BI85" s="119"/>
      <c r="CZ85" s="35"/>
    </row>
    <row r="86" spans="2:104" ht="14.4">
      <c r="B86" s="815" t="s">
        <v>680</v>
      </c>
      <c r="C86" s="816"/>
      <c r="D86" s="817"/>
      <c r="E86" s="817"/>
      <c r="F86" s="817"/>
      <c r="G86" s="816"/>
      <c r="H86" s="817"/>
      <c r="I86" s="817"/>
      <c r="J86" s="817"/>
      <c r="K86" s="816"/>
      <c r="L86" s="816"/>
      <c r="M86" s="816"/>
      <c r="N86" s="818">
        <f t="shared" ref="N86:AH86" si="178">+(N23-N22)/N15</f>
        <v>0.31278087637243157</v>
      </c>
      <c r="O86" s="818" t="e">
        <f t="shared" si="178"/>
        <v>#DIV/0!</v>
      </c>
      <c r="P86" s="818">
        <f t="shared" si="178"/>
        <v>0.31164415903295878</v>
      </c>
      <c r="Q86" s="818">
        <f t="shared" si="178"/>
        <v>0.36337805579799726</v>
      </c>
      <c r="R86" s="818">
        <f t="shared" si="178"/>
        <v>0.33881832985760602</v>
      </c>
      <c r="S86" s="818" t="e">
        <f t="shared" si="178"/>
        <v>#DIV/0!</v>
      </c>
      <c r="T86" s="818">
        <f t="shared" si="178"/>
        <v>0.31206862235234439</v>
      </c>
      <c r="U86" s="818">
        <f t="shared" si="178"/>
        <v>0.34214166807066249</v>
      </c>
      <c r="V86" s="819">
        <f t="shared" si="178"/>
        <v>0.32953036036100725</v>
      </c>
      <c r="W86" s="818" t="e">
        <f t="shared" si="178"/>
        <v>#DIV/0!</v>
      </c>
      <c r="X86" s="818">
        <f t="shared" si="178"/>
        <v>0.32450668863520465</v>
      </c>
      <c r="Y86" s="818">
        <f t="shared" si="178"/>
        <v>0.35282290712788178</v>
      </c>
      <c r="Z86" s="819">
        <f t="shared" si="178"/>
        <v>0.33931762721461822</v>
      </c>
      <c r="AA86" s="818" t="e">
        <f t="shared" si="178"/>
        <v>#DIV/0!</v>
      </c>
      <c r="AB86" s="818">
        <f t="shared" si="178"/>
        <v>0.31955950640519371</v>
      </c>
      <c r="AC86" s="818">
        <f t="shared" si="178"/>
        <v>0.36983794258645891</v>
      </c>
      <c r="AD86" s="819">
        <f t="shared" si="178"/>
        <v>0.34596934822583475</v>
      </c>
      <c r="AE86" s="819" t="e">
        <f t="shared" si="178"/>
        <v>#DIV/0!</v>
      </c>
      <c r="AF86" s="819">
        <f t="shared" si="178"/>
        <v>0.32995459195376303</v>
      </c>
      <c r="AG86" s="819">
        <f t="shared" si="178"/>
        <v>0.37753701790423294</v>
      </c>
      <c r="AH86" s="819">
        <f t="shared" si="178"/>
        <v>0.35462892041184402</v>
      </c>
      <c r="BI86" s="12"/>
      <c r="CZ86" s="35"/>
    </row>
    <row r="87" spans="2:104">
      <c r="Z87" s="35"/>
      <c r="AD87" s="35"/>
      <c r="AH87" s="35"/>
      <c r="BI87" s="1"/>
    </row>
    <row r="89" spans="2:104">
      <c r="N89" s="152"/>
      <c r="R89" s="152"/>
      <c r="V89" s="152"/>
    </row>
  </sheetData>
  <phoneticPr fontId="16" type="noConversion"/>
  <pageMargins left="0" right="0" top="0" bottom="0" header="0" footer="0"/>
  <pageSetup paperSize="5" scale="42"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tabColor rgb="FF33CCCC"/>
    <pageSetUpPr autoPageBreaks="0"/>
  </sheetPr>
  <dimension ref="A1:BZ470"/>
  <sheetViews>
    <sheetView showGridLines="0" zoomScale="115" zoomScaleNormal="115" workbookViewId="0">
      <pane xSplit="3" ySplit="7" topLeftCell="AN137" activePane="bottomRight" state="frozen"/>
      <selection pane="topRight" activeCell="D1" sqref="D1"/>
      <selection pane="bottomLeft" activeCell="A8" sqref="A8"/>
      <selection pane="bottomRight" activeCell="BB154" sqref="BB154"/>
    </sheetView>
  </sheetViews>
  <sheetFormatPr defaultColWidth="9.109375" defaultRowHeight="13.8" outlineLevelRow="1"/>
  <cols>
    <col min="1" max="1" width="4.88671875" style="132" customWidth="1"/>
    <col min="2" max="2" width="35.5546875" style="132" customWidth="1"/>
    <col min="3" max="3" width="20" style="133" customWidth="1"/>
    <col min="4" max="6" width="9.33203125" style="133" customWidth="1"/>
    <col min="7" max="7" width="4.6640625" style="133" customWidth="1"/>
    <col min="8" max="10" width="9.33203125" style="133" customWidth="1"/>
    <col min="11" max="11" width="3.6640625" style="133" customWidth="1"/>
    <col min="12" max="14" width="9.33203125" style="133" customWidth="1"/>
    <col min="15" max="15" width="5.109375" style="133" customWidth="1"/>
    <col min="16" max="18" width="9.33203125" style="133" customWidth="1"/>
    <col min="19" max="19" width="3.88671875" style="133" customWidth="1"/>
    <col min="20" max="20" width="9.33203125" style="133" customWidth="1"/>
    <col min="21" max="21" width="12.5546875" style="133" customWidth="1"/>
    <col min="22" max="22" width="9.33203125" style="133" customWidth="1"/>
    <col min="23" max="23" width="5.33203125" style="133" customWidth="1"/>
    <col min="24" max="24" width="9.33203125" style="133" customWidth="1"/>
    <col min="25" max="25" width="10.6640625" style="133" customWidth="1"/>
    <col min="26" max="26" width="9.33203125" style="133" customWidth="1"/>
    <col min="27" max="27" width="5.6640625" style="133" customWidth="1"/>
    <col min="28" max="28" width="11.5546875" style="133" customWidth="1"/>
    <col min="29" max="29" width="9.33203125" style="133" customWidth="1"/>
    <col min="30" max="30" width="8.5546875" style="133" customWidth="1"/>
    <col min="31" max="31" width="6.33203125" style="133" customWidth="1"/>
    <col min="32" max="34" width="9.33203125" style="133" customWidth="1"/>
    <col min="35" max="35" width="5.6640625" style="133" customWidth="1"/>
    <col min="36" max="38" width="9.33203125" style="133" customWidth="1"/>
    <col min="39" max="39" width="7.6640625" style="133" customWidth="1"/>
    <col min="40" max="42" width="9.33203125" style="133" customWidth="1"/>
    <col min="43" max="43" width="5.88671875" style="133" customWidth="1"/>
    <col min="44" max="46" width="9.33203125" style="133" customWidth="1"/>
    <col min="47" max="47" width="5.33203125" style="133" customWidth="1"/>
    <col min="48" max="50" width="9.33203125" style="133" customWidth="1"/>
    <col min="51" max="51" width="5.33203125" style="133" customWidth="1"/>
    <col min="52" max="54" width="9.33203125" style="133" customWidth="1"/>
    <col min="55" max="55" width="5.33203125" style="133" customWidth="1"/>
    <col min="56" max="58" width="9.33203125" style="133" customWidth="1"/>
    <col min="59" max="59" width="7.33203125" style="133" customWidth="1"/>
    <col min="60" max="62" width="9.33203125" style="133" customWidth="1"/>
    <col min="63" max="63" width="7" style="133" customWidth="1"/>
    <col min="64" max="66" width="9.33203125" style="133" customWidth="1"/>
    <col min="67" max="67" width="7.6640625" style="133" customWidth="1"/>
    <col min="68" max="70" width="9.33203125" style="133" customWidth="1"/>
    <col min="71" max="71" width="7.44140625" style="133" customWidth="1"/>
    <col min="72" max="74" width="9.33203125" style="133" customWidth="1"/>
    <col min="75" max="75" width="7.44140625" style="133" customWidth="1"/>
    <col min="76" max="78" width="9.33203125" style="133" customWidth="1"/>
    <col min="79" max="16384" width="9.109375" style="133"/>
  </cols>
  <sheetData>
    <row r="1" spans="1:78" ht="15.6">
      <c r="B1" s="651" t="s">
        <v>599</v>
      </c>
      <c r="C1" s="651">
        <f>SOTP!$F$66</f>
        <v>45</v>
      </c>
    </row>
    <row r="2" spans="1:78" ht="15.6">
      <c r="B2" s="223" t="s">
        <v>257</v>
      </c>
    </row>
    <row r="3" spans="1:78" hidden="1" outlineLevel="1"/>
    <row r="4" spans="1:78" collapsed="1">
      <c r="B4" s="189"/>
      <c r="C4" s="191"/>
      <c r="D4" s="190">
        <f>D5/F5</f>
        <v>0.50273224043715847</v>
      </c>
      <c r="E4" s="190">
        <f>E5/F5</f>
        <v>0.49726775956284153</v>
      </c>
      <c r="F4" s="190">
        <f>F5/F5</f>
        <v>1</v>
      </c>
      <c r="G4" s="191"/>
      <c r="H4" s="190">
        <f>H5/J5</f>
        <v>0.50410958904109593</v>
      </c>
      <c r="I4" s="190">
        <f>I5/J5</f>
        <v>0.49589041095890413</v>
      </c>
      <c r="J4" s="190">
        <f>J5/J5</f>
        <v>1</v>
      </c>
      <c r="K4" s="191"/>
      <c r="L4" s="190">
        <f>L5/N5</f>
        <v>0.50410958904109593</v>
      </c>
      <c r="M4" s="190">
        <f>M5/N5</f>
        <v>0.49589041095890413</v>
      </c>
      <c r="N4" s="190">
        <f>N5/N5</f>
        <v>1</v>
      </c>
      <c r="O4" s="191"/>
      <c r="P4" s="190">
        <f>P5/R5</f>
        <v>0.50410958904109593</v>
      </c>
      <c r="Q4" s="190">
        <f>Q5/R5</f>
        <v>0.49589041095890413</v>
      </c>
      <c r="R4" s="190">
        <f>R5/R5</f>
        <v>1</v>
      </c>
      <c r="S4" s="191"/>
      <c r="T4" s="190">
        <f>T5/V5</f>
        <v>0.50273224043715847</v>
      </c>
      <c r="U4" s="190">
        <f>U5/V5</f>
        <v>0.49726775956284153</v>
      </c>
      <c r="V4" s="190">
        <f>V5/V5</f>
        <v>1</v>
      </c>
      <c r="W4" s="191"/>
      <c r="X4" s="190">
        <f>X5/Z5</f>
        <v>0.50410958904109593</v>
      </c>
      <c r="Y4" s="190">
        <f>Y5/Z5</f>
        <v>0.49589041095890413</v>
      </c>
      <c r="Z4" s="190">
        <f>Z5/Z5</f>
        <v>1</v>
      </c>
      <c r="AA4" s="191"/>
      <c r="AB4" s="190">
        <f>AB5/AD5</f>
        <v>0.50410958904109593</v>
      </c>
      <c r="AC4" s="190">
        <v>0.50410958904109593</v>
      </c>
      <c r="AD4" s="190">
        <v>1</v>
      </c>
      <c r="AE4" s="191"/>
      <c r="AF4" s="190">
        <f>AF5/AH5</f>
        <v>0.50410958904109593</v>
      </c>
      <c r="AG4" s="190">
        <f>AG5/AH5</f>
        <v>0.49589041095890413</v>
      </c>
      <c r="AH4" s="190">
        <f>AH5/AH5</f>
        <v>1</v>
      </c>
      <c r="AI4" s="191"/>
      <c r="AJ4" s="190">
        <f>AJ5/AL5</f>
        <v>0.50273224043715847</v>
      </c>
      <c r="AK4" s="190">
        <f>AK5/AL5</f>
        <v>0.49726775956284153</v>
      </c>
      <c r="AL4" s="190">
        <f>AL5/AL5</f>
        <v>1</v>
      </c>
      <c r="AM4" s="191"/>
      <c r="AN4" s="190">
        <f>AN5/AP5</f>
        <v>0.50410958904109593</v>
      </c>
      <c r="AO4" s="190">
        <f>AO5/AP5</f>
        <v>0.49589041095890413</v>
      </c>
      <c r="AP4" s="190">
        <f>AP5/AP5</f>
        <v>1</v>
      </c>
      <c r="AQ4" s="213"/>
      <c r="AR4" s="212">
        <f>AR5/AT5</f>
        <v>0.50410958904109593</v>
      </c>
      <c r="AS4" s="212">
        <f>AS5/AT5</f>
        <v>0.49589041095890413</v>
      </c>
      <c r="AT4" s="212">
        <f>AT5/AT5</f>
        <v>1</v>
      </c>
      <c r="AU4" s="213"/>
      <c r="AV4" s="212">
        <f>AV5/AX5</f>
        <v>0.50410958904109593</v>
      </c>
      <c r="AW4" s="212">
        <f>AW5/AX5</f>
        <v>0.49589041095890413</v>
      </c>
      <c r="AX4" s="212">
        <f>AX5/AX5</f>
        <v>1</v>
      </c>
      <c r="AY4" s="213"/>
      <c r="AZ4" s="212">
        <f>AZ5/BB5</f>
        <v>0.50273224043715847</v>
      </c>
      <c r="BA4" s="212">
        <f>BA5/BB5</f>
        <v>0.49726775956284153</v>
      </c>
      <c r="BB4" s="212">
        <f>BB5/BB5</f>
        <v>1</v>
      </c>
      <c r="BC4" s="213"/>
      <c r="BD4" s="212">
        <f>BD5/BF5</f>
        <v>0.50410958904109593</v>
      </c>
      <c r="BE4" s="212">
        <f>BE5/BF5</f>
        <v>0.49589041095890413</v>
      </c>
      <c r="BF4" s="212">
        <f>BF5/BF5</f>
        <v>1</v>
      </c>
      <c r="BG4" s="213"/>
      <c r="BH4" s="212">
        <f>BH5/BJ5</f>
        <v>0.50410958904109593</v>
      </c>
      <c r="BI4" s="212">
        <f>BI5/BJ5</f>
        <v>0.49589041095890413</v>
      </c>
      <c r="BJ4" s="212">
        <f>BJ5/BJ5</f>
        <v>1</v>
      </c>
      <c r="BK4" s="213"/>
      <c r="BL4" s="212">
        <f>BL5/BN5</f>
        <v>0.50410958904109593</v>
      </c>
      <c r="BM4" s="212">
        <f>BM5/BN5</f>
        <v>0.49589041095890413</v>
      </c>
      <c r="BN4" s="212">
        <f>BN5/BN5</f>
        <v>1</v>
      </c>
      <c r="BO4" s="213"/>
      <c r="BP4" s="212">
        <f>BP5/BR5</f>
        <v>0.50273224043715847</v>
      </c>
      <c r="BQ4" s="212">
        <f>BQ5/BR5</f>
        <v>0.49726775956284153</v>
      </c>
      <c r="BR4" s="212">
        <f>BR5/BR5</f>
        <v>1</v>
      </c>
      <c r="BT4" s="212">
        <f>BT5/BV5</f>
        <v>0.50410958904109593</v>
      </c>
      <c r="BU4" s="212">
        <f>BU5/BV5</f>
        <v>0.49589041095890413</v>
      </c>
      <c r="BV4" s="212">
        <f>BV5/BV5</f>
        <v>1</v>
      </c>
      <c r="BX4" s="212">
        <f>BX5/BZ5</f>
        <v>0.50410958904109593</v>
      </c>
      <c r="BY4" s="212">
        <f>BY5/BZ5</f>
        <v>0.49589041095890413</v>
      </c>
      <c r="BZ4" s="212">
        <f>BZ5/BZ5</f>
        <v>1</v>
      </c>
    </row>
    <row r="5" spans="1:78">
      <c r="B5" s="189"/>
      <c r="C5" s="191"/>
      <c r="D5" s="191">
        <f>EOMONTH(D6,0)-EOMONTH(D6,-6)</f>
        <v>184</v>
      </c>
      <c r="E5" s="191">
        <f>EOMONTH(E6,0)-EOMONTH(E6,-6)</f>
        <v>182</v>
      </c>
      <c r="F5" s="191">
        <f>D5+E5</f>
        <v>366</v>
      </c>
      <c r="G5" s="191"/>
      <c r="H5" s="191">
        <f>EOMONTH(H6,0)-EOMONTH(H6,-6)</f>
        <v>184</v>
      </c>
      <c r="I5" s="191">
        <f>EOMONTH(I6,0)-EOMONTH(I6,-6)</f>
        <v>181</v>
      </c>
      <c r="J5" s="191">
        <f>H5+I5</f>
        <v>365</v>
      </c>
      <c r="K5" s="191"/>
      <c r="L5" s="191">
        <f>EOMONTH(L6,0)-EOMONTH(L6,-6)</f>
        <v>184</v>
      </c>
      <c r="M5" s="191">
        <f>EOMONTH(M6,0)-EOMONTH(M6,-6)</f>
        <v>181</v>
      </c>
      <c r="N5" s="191">
        <f>L5+M5</f>
        <v>365</v>
      </c>
      <c r="O5" s="191"/>
      <c r="P5" s="191">
        <f>EOMONTH(P6,0)-EOMONTH(P6,-6)</f>
        <v>184</v>
      </c>
      <c r="Q5" s="191">
        <f>EOMONTH(Q6,0)-EOMONTH(Q6,-6)</f>
        <v>181</v>
      </c>
      <c r="R5" s="191">
        <f>P5+Q5</f>
        <v>365</v>
      </c>
      <c r="S5" s="191"/>
      <c r="T5" s="191">
        <f>EOMONTH(T6,0)-EOMONTH(T6,-6)</f>
        <v>184</v>
      </c>
      <c r="U5" s="191">
        <f>EOMONTH(U6,0)-EOMONTH(U6,-6)</f>
        <v>182</v>
      </c>
      <c r="V5" s="191">
        <f>T5+U5</f>
        <v>366</v>
      </c>
      <c r="W5" s="191"/>
      <c r="X5" s="191">
        <f>EOMONTH(X6,0)-EOMONTH(X6,-6)</f>
        <v>184</v>
      </c>
      <c r="Y5" s="191">
        <f>EOMONTH(Y6,0)-EOMONTH(Y6,-6)</f>
        <v>181</v>
      </c>
      <c r="Z5" s="191">
        <f>X5+Y5</f>
        <v>365</v>
      </c>
      <c r="AA5" s="191"/>
      <c r="AB5" s="191">
        <f>EOMONTH(AB6,0)-EOMONTH(AB6,-6)</f>
        <v>184</v>
      </c>
      <c r="AC5" s="191">
        <v>184</v>
      </c>
      <c r="AD5" s="191">
        <v>365</v>
      </c>
      <c r="AE5" s="191"/>
      <c r="AF5" s="191">
        <f>EOMONTH(AF6,0)-EOMONTH(AF6,-6)</f>
        <v>184</v>
      </c>
      <c r="AG5" s="191">
        <f>EOMONTH(AG6,0)-EOMONTH(AG6,-6)</f>
        <v>181</v>
      </c>
      <c r="AH5" s="191">
        <f>AF5+AG5</f>
        <v>365</v>
      </c>
      <c r="AI5" s="191"/>
      <c r="AJ5" s="191">
        <f>EOMONTH(AJ6,0)-EOMONTH(AJ6,-6)</f>
        <v>184</v>
      </c>
      <c r="AK5" s="191">
        <f>EOMONTH(AK6,0)-EOMONTH(AK6,-6)</f>
        <v>182</v>
      </c>
      <c r="AL5" s="191">
        <f>AJ5+AK5</f>
        <v>366</v>
      </c>
      <c r="AM5" s="191"/>
      <c r="AN5" s="191">
        <f>EOMONTH(AN6,0)-EOMONTH(AN6,-6)</f>
        <v>184</v>
      </c>
      <c r="AO5" s="191">
        <f>EOMONTH(AO6,0)-EOMONTH(AO6,-6)</f>
        <v>181</v>
      </c>
      <c r="AP5" s="191">
        <f>AN5+AO5</f>
        <v>365</v>
      </c>
      <c r="AQ5" s="213"/>
      <c r="AR5" s="213">
        <f>EOMONTH(AR6,0)-EOMONTH(AR6,-6)</f>
        <v>184</v>
      </c>
      <c r="AS5" s="213">
        <f>EOMONTH(AS6,0)-EOMONTH(AS6,-6)</f>
        <v>181</v>
      </c>
      <c r="AT5" s="213">
        <f>AR5+AS5</f>
        <v>365</v>
      </c>
      <c r="AU5" s="213"/>
      <c r="AV5" s="213">
        <f>EOMONTH(AV6,0)-EOMONTH(AV6,-6)</f>
        <v>184</v>
      </c>
      <c r="AW5" s="213">
        <f>EOMONTH(AW6,0)-EOMONTH(AW6,-6)</f>
        <v>181</v>
      </c>
      <c r="AX5" s="213">
        <f>AV5+AW5</f>
        <v>365</v>
      </c>
      <c r="AY5" s="213"/>
      <c r="AZ5" s="213">
        <f>EOMONTH(AZ6,0)-EOMONTH(AZ6,-6)</f>
        <v>184</v>
      </c>
      <c r="BA5" s="213">
        <f>EOMONTH(BA6,0)-EOMONTH(BA6,-6)</f>
        <v>182</v>
      </c>
      <c r="BB5" s="213">
        <f>AZ5+BA5</f>
        <v>366</v>
      </c>
      <c r="BC5" s="213"/>
      <c r="BD5" s="213">
        <f>EOMONTH(BD6,0)-EOMONTH(BD6,-6)</f>
        <v>184</v>
      </c>
      <c r="BE5" s="213">
        <f>EOMONTH(BE6,0)-EOMONTH(BE6,-6)</f>
        <v>181</v>
      </c>
      <c r="BF5" s="213">
        <f>BD5+BE5</f>
        <v>365</v>
      </c>
      <c r="BG5" s="213"/>
      <c r="BH5" s="213">
        <f>EOMONTH(BH6,0)-EOMONTH(BH6,-6)</f>
        <v>184</v>
      </c>
      <c r="BI5" s="213">
        <f>EOMONTH(BI6,0)-EOMONTH(BI6,-6)</f>
        <v>181</v>
      </c>
      <c r="BJ5" s="213">
        <f>BH5+BI5</f>
        <v>365</v>
      </c>
      <c r="BK5" s="213"/>
      <c r="BL5" s="213">
        <f>EOMONTH(BL6,0)-EOMONTH(BL6,-6)</f>
        <v>184</v>
      </c>
      <c r="BM5" s="213">
        <f>EOMONTH(BM6,0)-EOMONTH(BM6,-6)</f>
        <v>181</v>
      </c>
      <c r="BN5" s="213">
        <f>BL5+BM5</f>
        <v>365</v>
      </c>
      <c r="BO5" s="213"/>
      <c r="BP5" s="213">
        <f>EOMONTH(BP6,0)-EOMONTH(BP6,-6)</f>
        <v>184</v>
      </c>
      <c r="BQ5" s="213">
        <f>EOMONTH(BQ6,0)-EOMONTH(BQ6,-6)</f>
        <v>182</v>
      </c>
      <c r="BR5" s="213">
        <f>BP5+BQ5</f>
        <v>366</v>
      </c>
      <c r="BT5" s="213">
        <f>EOMONTH(BT6,0)-EOMONTH(BT6,-6)</f>
        <v>184</v>
      </c>
      <c r="BU5" s="213">
        <f>EOMONTH(BU6,0)-EOMONTH(BU6,-6)</f>
        <v>181</v>
      </c>
      <c r="BV5" s="213">
        <f>BT5+BU5</f>
        <v>365</v>
      </c>
      <c r="BX5" s="213">
        <f>EOMONTH(BX6,0)-EOMONTH(BX6,-6)</f>
        <v>184</v>
      </c>
      <c r="BY5" s="213">
        <f>EOMONTH(BY6,0)-EOMONTH(BY6,-6)</f>
        <v>181</v>
      </c>
      <c r="BZ5" s="213">
        <f>BX5+BY5</f>
        <v>365</v>
      </c>
    </row>
    <row r="6" spans="1:78">
      <c r="B6" s="189"/>
      <c r="C6" s="193"/>
      <c r="D6" s="194">
        <v>42369</v>
      </c>
      <c r="E6" s="194">
        <v>42551</v>
      </c>
      <c r="F6" s="194">
        <f>E6</f>
        <v>42551</v>
      </c>
      <c r="G6" s="191"/>
      <c r="H6" s="194">
        <f>+EOMONTH(D6,12)</f>
        <v>42735</v>
      </c>
      <c r="I6" s="194">
        <f>+EOMONTH(E6,12)</f>
        <v>42916</v>
      </c>
      <c r="J6" s="194">
        <f>I6</f>
        <v>42916</v>
      </c>
      <c r="K6" s="191"/>
      <c r="L6" s="194">
        <f>+EOMONTH(H6,12)</f>
        <v>43100</v>
      </c>
      <c r="M6" s="194">
        <f>+EOMONTH(I6,12)</f>
        <v>43281</v>
      </c>
      <c r="N6" s="194">
        <f>M6</f>
        <v>43281</v>
      </c>
      <c r="O6" s="191"/>
      <c r="P6" s="194">
        <f>+EOMONTH(L6,12)</f>
        <v>43465</v>
      </c>
      <c r="Q6" s="194">
        <f>+EOMONTH(M6,12)</f>
        <v>43646</v>
      </c>
      <c r="R6" s="194">
        <f>Q6</f>
        <v>43646</v>
      </c>
      <c r="S6" s="191"/>
      <c r="T6" s="194">
        <f>+EOMONTH(P6,12)</f>
        <v>43830</v>
      </c>
      <c r="U6" s="194">
        <f>+EOMONTH(Q6,12)</f>
        <v>44012</v>
      </c>
      <c r="V6" s="194">
        <f>U6</f>
        <v>44012</v>
      </c>
      <c r="W6" s="191"/>
      <c r="X6" s="194">
        <f>+EOMONTH(T6,12)</f>
        <v>44196</v>
      </c>
      <c r="Y6" s="194">
        <f>+EOMONTH(U6,12)</f>
        <v>44377</v>
      </c>
      <c r="Z6" s="194">
        <f>Y6</f>
        <v>44377</v>
      </c>
      <c r="AA6" s="191"/>
      <c r="AB6" s="194">
        <f>+EOMONTH(X6,12)</f>
        <v>44561</v>
      </c>
      <c r="AC6" s="194">
        <f>+EOMONTH(Y6,12)</f>
        <v>44742</v>
      </c>
      <c r="AD6" s="194">
        <f>AC6</f>
        <v>44742</v>
      </c>
      <c r="AE6" s="191"/>
      <c r="AF6" s="194">
        <f>+EOMONTH(AB6,12)</f>
        <v>44926</v>
      </c>
      <c r="AG6" s="194">
        <f>+EOMONTH(AC6,12)</f>
        <v>45107</v>
      </c>
      <c r="AH6" s="194">
        <f>AG6</f>
        <v>45107</v>
      </c>
      <c r="AI6" s="191"/>
      <c r="AJ6" s="194">
        <f>+EOMONTH(AF6,12)</f>
        <v>45291</v>
      </c>
      <c r="AK6" s="194">
        <f>+EOMONTH(AG6,12)</f>
        <v>45473</v>
      </c>
      <c r="AL6" s="194">
        <f>AK6</f>
        <v>45473</v>
      </c>
      <c r="AM6" s="191"/>
      <c r="AN6" s="194">
        <f>+EOMONTH(AJ6,12)</f>
        <v>45657</v>
      </c>
      <c r="AO6" s="194">
        <f>+EOMONTH(AK6,12)</f>
        <v>45838</v>
      </c>
      <c r="AP6" s="194">
        <f>AO6</f>
        <v>45838</v>
      </c>
      <c r="AQ6" s="213"/>
      <c r="AR6" s="216">
        <f>+EOMONTH(AN6,12)</f>
        <v>46022</v>
      </c>
      <c r="AS6" s="216">
        <f>+EOMONTH(AO6,12)</f>
        <v>46203</v>
      </c>
      <c r="AT6" s="216">
        <f>AS6</f>
        <v>46203</v>
      </c>
      <c r="AU6" s="213"/>
      <c r="AV6" s="216">
        <f>+EOMONTH(AR6,12)</f>
        <v>46387</v>
      </c>
      <c r="AW6" s="216">
        <f>+EOMONTH(AS6,12)</f>
        <v>46568</v>
      </c>
      <c r="AX6" s="216">
        <f>AW6</f>
        <v>46568</v>
      </c>
      <c r="AY6" s="213"/>
      <c r="AZ6" s="216">
        <f>+EOMONTH(AV6,12)</f>
        <v>46752</v>
      </c>
      <c r="BA6" s="216">
        <f>+EOMONTH(AW6,12)</f>
        <v>46934</v>
      </c>
      <c r="BB6" s="216">
        <f>BA6</f>
        <v>46934</v>
      </c>
      <c r="BC6" s="213"/>
      <c r="BD6" s="216">
        <f>+EOMONTH(AZ6,12)</f>
        <v>47118</v>
      </c>
      <c r="BE6" s="216">
        <f>+EOMONTH(BA6,12)</f>
        <v>47299</v>
      </c>
      <c r="BF6" s="216">
        <f>BE6</f>
        <v>47299</v>
      </c>
      <c r="BG6" s="213"/>
      <c r="BH6" s="216">
        <f>+EOMONTH(BD6,12)</f>
        <v>47483</v>
      </c>
      <c r="BI6" s="216">
        <f>+EOMONTH(BE6,12)</f>
        <v>47664</v>
      </c>
      <c r="BJ6" s="216">
        <f>BI6</f>
        <v>47664</v>
      </c>
      <c r="BK6" s="213"/>
      <c r="BL6" s="216">
        <f>+EOMONTH(BH6,12)</f>
        <v>47848</v>
      </c>
      <c r="BM6" s="216">
        <f>+EOMONTH(BI6,12)</f>
        <v>48029</v>
      </c>
      <c r="BN6" s="216">
        <f>BM6</f>
        <v>48029</v>
      </c>
      <c r="BO6" s="213"/>
      <c r="BP6" s="216">
        <f>+EOMONTH(BL6,12)</f>
        <v>48213</v>
      </c>
      <c r="BQ6" s="216">
        <f>+EOMONTH(BM6,12)</f>
        <v>48395</v>
      </c>
      <c r="BR6" s="216">
        <f>BQ6</f>
        <v>48395</v>
      </c>
      <c r="BS6" s="213"/>
      <c r="BT6" s="216">
        <f>+EOMONTH(BP6,12)</f>
        <v>48579</v>
      </c>
      <c r="BU6" s="216">
        <f>+EOMONTH(BQ6,12)</f>
        <v>48760</v>
      </c>
      <c r="BV6" s="216">
        <f>BU6</f>
        <v>48760</v>
      </c>
      <c r="BW6" s="213"/>
      <c r="BX6" s="216">
        <f>+EOMONTH(BT6,12)</f>
        <v>48944</v>
      </c>
      <c r="BY6" s="216">
        <f>+EOMONTH(BU6,12)</f>
        <v>49125</v>
      </c>
      <c r="BZ6" s="216">
        <f>BY6</f>
        <v>49125</v>
      </c>
    </row>
    <row r="7" spans="1:78" s="156" customFormat="1">
      <c r="A7" s="169"/>
      <c r="B7" s="261" t="s">
        <v>154</v>
      </c>
      <c r="C7" s="193"/>
      <c r="D7" s="193" t="s">
        <v>321</v>
      </c>
      <c r="E7" s="193" t="s">
        <v>322</v>
      </c>
      <c r="F7" s="193" t="s">
        <v>323</v>
      </c>
      <c r="G7" s="193"/>
      <c r="H7" s="193" t="s">
        <v>318</v>
      </c>
      <c r="I7" s="193" t="s">
        <v>319</v>
      </c>
      <c r="J7" s="193" t="s">
        <v>320</v>
      </c>
      <c r="K7" s="193"/>
      <c r="L7" s="193" t="s">
        <v>315</v>
      </c>
      <c r="M7" s="193" t="s">
        <v>316</v>
      </c>
      <c r="N7" s="193" t="s">
        <v>317</v>
      </c>
      <c r="O7" s="193"/>
      <c r="P7" s="193" t="s">
        <v>111</v>
      </c>
      <c r="Q7" s="193" t="s">
        <v>112</v>
      </c>
      <c r="R7" s="193" t="s">
        <v>113</v>
      </c>
      <c r="S7" s="193"/>
      <c r="T7" s="193" t="s">
        <v>120</v>
      </c>
      <c r="U7" s="193" t="s">
        <v>123</v>
      </c>
      <c r="V7" s="193" t="s">
        <v>121</v>
      </c>
      <c r="W7" s="193"/>
      <c r="X7" s="193" t="s">
        <v>127</v>
      </c>
      <c r="Y7" s="193" t="s">
        <v>131</v>
      </c>
      <c r="Z7" s="193" t="s">
        <v>132</v>
      </c>
      <c r="AA7" s="193"/>
      <c r="AB7" s="193" t="s">
        <v>133</v>
      </c>
      <c r="AC7" s="193" t="s">
        <v>143</v>
      </c>
      <c r="AD7" s="193" t="s">
        <v>148</v>
      </c>
      <c r="AE7" s="193"/>
      <c r="AF7" s="193" t="s">
        <v>144</v>
      </c>
      <c r="AG7" s="193" t="s">
        <v>145</v>
      </c>
      <c r="AH7" s="193" t="s">
        <v>150</v>
      </c>
      <c r="AI7" s="193"/>
      <c r="AJ7" s="193" t="s">
        <v>146</v>
      </c>
      <c r="AK7" s="193" t="s">
        <v>147</v>
      </c>
      <c r="AL7" s="193" t="s">
        <v>149</v>
      </c>
      <c r="AM7" s="193"/>
      <c r="AN7" s="193" t="s">
        <v>714</v>
      </c>
      <c r="AO7" s="193" t="s">
        <v>723</v>
      </c>
      <c r="AP7" s="193" t="s">
        <v>713</v>
      </c>
      <c r="AQ7" s="215"/>
      <c r="AR7" s="215" t="s">
        <v>95</v>
      </c>
      <c r="AS7" s="215" t="s">
        <v>96</v>
      </c>
      <c r="AT7" s="215" t="s">
        <v>97</v>
      </c>
      <c r="AU7" s="215"/>
      <c r="AV7" s="215" t="s">
        <v>98</v>
      </c>
      <c r="AW7" s="215" t="s">
        <v>99</v>
      </c>
      <c r="AX7" s="215" t="s">
        <v>100</v>
      </c>
      <c r="AY7" s="215"/>
      <c r="AZ7" s="215" t="s">
        <v>101</v>
      </c>
      <c r="BA7" s="215" t="s">
        <v>102</v>
      </c>
      <c r="BB7" s="215" t="s">
        <v>103</v>
      </c>
      <c r="BC7" s="215"/>
      <c r="BD7" s="215" t="s">
        <v>104</v>
      </c>
      <c r="BE7" s="215" t="s">
        <v>105</v>
      </c>
      <c r="BF7" s="215" t="s">
        <v>106</v>
      </c>
      <c r="BG7" s="215"/>
      <c r="BH7" s="215" t="s">
        <v>108</v>
      </c>
      <c r="BI7" s="215" t="s">
        <v>109</v>
      </c>
      <c r="BJ7" s="215" t="s">
        <v>110</v>
      </c>
      <c r="BK7" s="215"/>
      <c r="BL7" s="215" t="s">
        <v>124</v>
      </c>
      <c r="BM7" s="215" t="s">
        <v>125</v>
      </c>
      <c r="BN7" s="215" t="s">
        <v>126</v>
      </c>
      <c r="BO7" s="215"/>
      <c r="BP7" s="215" t="s">
        <v>128</v>
      </c>
      <c r="BQ7" s="215" t="s">
        <v>129</v>
      </c>
      <c r="BR7" s="215" t="s">
        <v>130</v>
      </c>
      <c r="BT7" s="215" t="s">
        <v>724</v>
      </c>
      <c r="BU7" s="215" t="s">
        <v>725</v>
      </c>
      <c r="BV7" s="215" t="s">
        <v>726</v>
      </c>
      <c r="BX7" s="215" t="s">
        <v>727</v>
      </c>
      <c r="BY7" s="215" t="s">
        <v>728</v>
      </c>
      <c r="BZ7" s="215" t="s">
        <v>729</v>
      </c>
    </row>
    <row r="8" spans="1:78" s="169" customFormat="1"/>
    <row r="9" spans="1:78" s="227" customFormat="1" ht="15.6">
      <c r="A9" s="224"/>
      <c r="B9" s="576" t="s">
        <v>157</v>
      </c>
      <c r="C9" s="225"/>
      <c r="D9" s="225"/>
      <c r="E9" s="225"/>
      <c r="F9" s="225"/>
      <c r="G9" s="225"/>
      <c r="H9" s="225"/>
      <c r="I9" s="225"/>
      <c r="J9" s="225"/>
      <c r="K9" s="225"/>
      <c r="L9" s="225"/>
      <c r="M9" s="225"/>
      <c r="N9" s="225"/>
      <c r="O9" s="225"/>
      <c r="P9" s="225"/>
      <c r="Q9" s="225"/>
      <c r="R9" s="225"/>
      <c r="S9" s="225"/>
      <c r="T9" s="225"/>
      <c r="U9" s="225"/>
      <c r="V9" s="225"/>
      <c r="W9" s="225"/>
      <c r="X9" s="225"/>
      <c r="Y9" s="225"/>
      <c r="Z9" s="225"/>
      <c r="AA9" s="225"/>
      <c r="AB9" s="225"/>
      <c r="AC9" s="226"/>
      <c r="AD9" s="226"/>
      <c r="AE9" s="226"/>
      <c r="AF9" s="226"/>
      <c r="AG9" s="226"/>
      <c r="AH9" s="226"/>
      <c r="AI9" s="226"/>
      <c r="AJ9" s="226"/>
      <c r="AK9" s="226"/>
      <c r="AL9" s="226"/>
      <c r="AM9" s="226"/>
      <c r="AN9" s="226"/>
      <c r="AO9" s="226"/>
      <c r="AP9" s="226"/>
      <c r="AQ9" s="226"/>
      <c r="AR9" s="226"/>
      <c r="AS9" s="226"/>
      <c r="AT9" s="226"/>
      <c r="AU9" s="226"/>
      <c r="AV9" s="226"/>
      <c r="AW9" s="226"/>
      <c r="AX9" s="226"/>
      <c r="AY9" s="226"/>
      <c r="AZ9" s="226"/>
      <c r="BA9" s="226"/>
      <c r="BB9" s="226"/>
      <c r="BC9" s="226"/>
      <c r="BD9" s="226"/>
      <c r="BE9" s="226"/>
      <c r="BF9" s="226"/>
      <c r="BG9" s="226"/>
      <c r="BH9" s="226"/>
      <c r="BI9" s="226"/>
      <c r="BJ9" s="226"/>
      <c r="BK9" s="226"/>
      <c r="BL9" s="226"/>
      <c r="BM9" s="226"/>
      <c r="BN9" s="226"/>
      <c r="BO9" s="226"/>
      <c r="BP9" s="226"/>
      <c r="BQ9" s="226"/>
      <c r="BR9" s="226"/>
      <c r="BT9" s="226"/>
      <c r="BU9" s="226"/>
      <c r="BV9" s="226"/>
      <c r="BX9" s="226"/>
      <c r="BY9" s="226"/>
      <c r="BZ9" s="226"/>
    </row>
    <row r="10" spans="1:78">
      <c r="B10" s="142" t="s">
        <v>0</v>
      </c>
    </row>
    <row r="11" spans="1:78" s="161" customFormat="1">
      <c r="A11" s="148"/>
      <c r="B11" s="148" t="s">
        <v>500</v>
      </c>
      <c r="C11" s="262" t="s">
        <v>406</v>
      </c>
      <c r="D11" s="136">
        <f>D216+D267+D297+D351+D400+D421</f>
        <v>208.73399999999995</v>
      </c>
      <c r="E11" s="136">
        <f>E216+E267+E297+E351+E400+E421</f>
        <v>235.78800000000001</v>
      </c>
      <c r="F11" s="136">
        <f>F216+F267+F297+F351+F400+F421</f>
        <v>444.52199999999999</v>
      </c>
      <c r="G11" s="170"/>
      <c r="H11" s="136">
        <f>H216+H267+H297+H351+H400+H421</f>
        <v>213.678</v>
      </c>
      <c r="I11" s="136">
        <f>I216+I267+I297+I351+I400+I421</f>
        <v>250.52700000000004</v>
      </c>
      <c r="J11" s="136">
        <f>J216+J267+J297+J351+J400+J421</f>
        <v>464.20499999999993</v>
      </c>
      <c r="K11" s="170"/>
      <c r="L11" s="136">
        <f>L216+L267+L297+L351+L400+L421</f>
        <v>227.85</v>
      </c>
      <c r="M11" s="136">
        <f>M216+M267+M297+M351+M400+M421</f>
        <v>267.39600000000002</v>
      </c>
      <c r="N11" s="136">
        <f>N216+N267+N297+N351+N400+N421</f>
        <v>495.24599999999998</v>
      </c>
      <c r="O11" s="170"/>
      <c r="P11" s="136">
        <f>P216+P267+P297+P351+P400+P421</f>
        <v>265.16700000000003</v>
      </c>
      <c r="Q11" s="136">
        <f>Q216+Q267+Q297+Q351+Q400+Q421</f>
        <v>276.43299999999999</v>
      </c>
      <c r="R11" s="136">
        <f>R216+R267+R297+R351+R400+R421</f>
        <v>541.6</v>
      </c>
      <c r="S11" s="170"/>
      <c r="T11" s="136">
        <f>T216+T267+T297+T351+T400+T421</f>
        <v>272.13300000000004</v>
      </c>
      <c r="U11" s="136">
        <f>U216+U267+U297+U351+U400+U421</f>
        <v>311.58499999999998</v>
      </c>
      <c r="V11" s="136">
        <f>V216+V267+V297+V351+V400+V421</f>
        <v>583.71799999999996</v>
      </c>
      <c r="W11" s="310"/>
      <c r="X11" s="136">
        <f>X216+X267+X297+X351+X400+X421</f>
        <v>310.94400000000002</v>
      </c>
      <c r="Y11" s="136">
        <f>Y216+Y267+Y297+Y351+Y400+Y421</f>
        <v>340.81400000000002</v>
      </c>
      <c r="Z11" s="136">
        <f>Z216+Z267+Z297+Z351+Z400+Z421</f>
        <v>651.75800000000004</v>
      </c>
      <c r="AA11" s="136"/>
      <c r="AB11" s="136">
        <f>AB221+AB267+AB302+AB356+AB421</f>
        <v>327.3</v>
      </c>
      <c r="AC11" s="136">
        <f>AC221+AC267+AC302+AC356+AC421</f>
        <v>362.18</v>
      </c>
      <c r="AD11" s="136">
        <f>AD221+AD267+AD302+AD356+AD421</f>
        <v>689.4799999999999</v>
      </c>
      <c r="AE11" s="136"/>
      <c r="AF11" s="136">
        <f>AF221+AF267+AF302+AF356+AF421</f>
        <v>466.1</v>
      </c>
      <c r="AG11" s="136">
        <f>AG221+AG267+AG302+AG356+AG421</f>
        <v>645.279</v>
      </c>
      <c r="AH11" s="136">
        <f>AH221+AH267+AH302+AH356+AH421</f>
        <v>1111.3790000000001</v>
      </c>
      <c r="AI11" s="566">
        <f>AF11+AG11-AH11</f>
        <v>0</v>
      </c>
      <c r="AJ11" s="136">
        <f>AJ221+AJ267+AJ302+AJ356+AJ421</f>
        <v>635.70000000000005</v>
      </c>
      <c r="AK11" s="136">
        <f>AK221+AK267+AK302+AK356+AK421</f>
        <v>695.971</v>
      </c>
      <c r="AL11" s="136">
        <f>AL221+AL267+AL302+AL356+AL421</f>
        <v>1331.693</v>
      </c>
      <c r="AM11" s="566">
        <f>AJ11+AK11-AL11</f>
        <v>-2.1999999999934516E-2</v>
      </c>
      <c r="AN11" s="136">
        <f>AN221+AN267+AN302+AN356+AN421</f>
        <v>712.5</v>
      </c>
      <c r="AO11" s="136">
        <f>AO221+AO267+AO302+AO356+AO421</f>
        <v>788.69999999999993</v>
      </c>
      <c r="AP11" s="136">
        <f>AP221+AP267+AP302+AP356+AP421</f>
        <v>1501.2219999999998</v>
      </c>
      <c r="AQ11" s="566">
        <f>AN11+AO11-AP11</f>
        <v>-2.1999999999934516E-2</v>
      </c>
      <c r="AR11" s="136">
        <f>AR221+AR267+AR302+AR356+AR421</f>
        <v>763.61546300870941</v>
      </c>
      <c r="AS11" s="136">
        <f>AS221+AS267+AS302+AS356+AS421</f>
        <v>823.4146574909048</v>
      </c>
      <c r="AT11" s="136">
        <f>AT221+AT267+AT302+AT356+AT421</f>
        <v>1587.030120499614</v>
      </c>
      <c r="AU11" s="566">
        <f>AR11+AS11-AT11</f>
        <v>0</v>
      </c>
      <c r="AV11" s="136">
        <f>AV221+AV267+AV302+AV356+AV421</f>
        <v>797.87722049232411</v>
      </c>
      <c r="AW11" s="136">
        <f>AW221+AW267+AW302+AW356+AW421</f>
        <v>862.27806014326029</v>
      </c>
      <c r="AX11" s="136">
        <f>AX221+AX267+AX302+AX356+AX421</f>
        <v>1660.1552806355844</v>
      </c>
      <c r="AY11" s="566">
        <f>AV11+AW11-AX11</f>
        <v>0</v>
      </c>
      <c r="AZ11" s="136">
        <f>AZ221+AZ267+AZ302+AZ356+AZ421</f>
        <v>832.17571243333111</v>
      </c>
      <c r="BA11" s="136">
        <f>BA221+BA267+BA302+BA356+BA421</f>
        <v>901.22635904228241</v>
      </c>
      <c r="BB11" s="136">
        <f>BB221+BB267+BB302+BB356+BB421</f>
        <v>1733.4020714756136</v>
      </c>
      <c r="BC11" s="566">
        <f>AZ11+BA11-BB11</f>
        <v>0</v>
      </c>
      <c r="BD11" s="136">
        <f>BD221+BD267+BD302+BD356+BD421</f>
        <v>863.55687195156429</v>
      </c>
      <c r="BE11" s="136">
        <f>BE221+BE267+BE302+BE356+BE421</f>
        <v>936.98436580048156</v>
      </c>
      <c r="BF11" s="136">
        <f>BF221+BF267+BF302+BF356+BF421</f>
        <v>1800.5412377520456</v>
      </c>
      <c r="BG11" s="566">
        <f>BD11+BE11-BF11</f>
        <v>0</v>
      </c>
      <c r="BH11" s="136">
        <f>BH221+BH267+BH302+BH356+BH421</f>
        <v>896.40713181652677</v>
      </c>
      <c r="BI11" s="136">
        <f>BI221+BI267+BI302+BI356+BI421</f>
        <v>974.43385235173366</v>
      </c>
      <c r="BJ11" s="136">
        <f>BJ221+BJ267+BJ302+BJ356+BJ421</f>
        <v>1870.8409841682605</v>
      </c>
      <c r="BK11" s="489">
        <f>BH11+BI11-BJ11</f>
        <v>0</v>
      </c>
      <c r="BL11" s="136">
        <f>BL221+BL267+BL302+BL356+BL421</f>
        <v>930.79929821828659</v>
      </c>
      <c r="BM11" s="136">
        <f>BM221+BM267+BM302+BM356+BM421</f>
        <v>1013.6588021307548</v>
      </c>
      <c r="BN11" s="136">
        <f>BN221+BN267+BN302+BN356+BN421</f>
        <v>1944.4581003490414</v>
      </c>
      <c r="BO11" s="489">
        <f>BL11+BM11-BN11</f>
        <v>0</v>
      </c>
      <c r="BP11" s="136">
        <f>BP221+BP267+BP302+BP356+BP421</f>
        <v>966.80989076465892</v>
      </c>
      <c r="BQ11" s="136">
        <f>BQ221+BQ267+BQ302+BQ356+BQ421</f>
        <v>1054.7474749688652</v>
      </c>
      <c r="BR11" s="136">
        <f>BR221+BR267+BR302+BR356+BR421</f>
        <v>2021.557365733524</v>
      </c>
      <c r="BS11" s="489">
        <f>BP11+BQ11-BR11</f>
        <v>0</v>
      </c>
      <c r="BT11" s="136">
        <f>BT221+BT267+BT302+BT356+BT421</f>
        <v>1004.5193349819556</v>
      </c>
      <c r="BU11" s="136">
        <f>BU221+BU267+BU302+BU356+BU421</f>
        <v>1097.7926281510577</v>
      </c>
      <c r="BV11" s="136">
        <f>BV221+BV267+BV302+BV356+BV421</f>
        <v>2102.3119631330133</v>
      </c>
      <c r="BW11" s="489">
        <f>BT11+BU11-BV11</f>
        <v>0</v>
      </c>
      <c r="BX11" s="136">
        <f>BX221+BX267+BX302+BX356+BX421</f>
        <v>1044.012164907537</v>
      </c>
      <c r="BY11" s="136">
        <f>BY221+BY267+BY302+BY356+BY421</f>
        <v>1142.8917490262556</v>
      </c>
      <c r="BZ11" s="136">
        <f>BZ221+BZ267+BZ302+BZ356+BZ421</f>
        <v>2186.9039139337924</v>
      </c>
    </row>
    <row r="12" spans="1:78" s="161" customFormat="1">
      <c r="A12" s="148"/>
      <c r="B12" s="148" t="s">
        <v>155</v>
      </c>
      <c r="C12" s="262" t="s">
        <v>406</v>
      </c>
      <c r="D12" s="136">
        <f t="shared" ref="D12:F12" si="0">+D460</f>
        <v>1.0680000000000001</v>
      </c>
      <c r="E12" s="136">
        <f t="shared" si="0"/>
        <v>1.5329999999999999</v>
      </c>
      <c r="F12" s="136">
        <f t="shared" si="0"/>
        <v>2.601</v>
      </c>
      <c r="G12" s="170"/>
      <c r="H12" s="136">
        <f t="shared" ref="H12:J12" si="1">+H460</f>
        <v>1.0680000000000001</v>
      </c>
      <c r="I12" s="136">
        <f t="shared" si="1"/>
        <v>1.1800000000000002</v>
      </c>
      <c r="J12" s="136">
        <f t="shared" si="1"/>
        <v>2.2480000000000002</v>
      </c>
      <c r="K12" s="170"/>
      <c r="L12" s="136">
        <f t="shared" ref="L12:N12" si="2">+L460</f>
        <v>1.236</v>
      </c>
      <c r="M12" s="136">
        <f t="shared" si="2"/>
        <v>0.95099999999999985</v>
      </c>
      <c r="N12" s="136">
        <f t="shared" si="2"/>
        <v>2.1869999999999998</v>
      </c>
      <c r="O12" s="170"/>
      <c r="P12" s="136">
        <f t="shared" ref="P12:R12" si="3">+P460</f>
        <v>2.4569999999999999</v>
      </c>
      <c r="Q12" s="136">
        <f t="shared" si="3"/>
        <v>2.0880000000000001</v>
      </c>
      <c r="R12" s="136">
        <f t="shared" si="3"/>
        <v>4.5449999999999999</v>
      </c>
      <c r="S12" s="170"/>
      <c r="T12" s="136">
        <f t="shared" ref="T12:V12" si="4">+T460</f>
        <v>2.4569999999999999</v>
      </c>
      <c r="U12" s="136">
        <f t="shared" si="4"/>
        <v>2.0300000000000002</v>
      </c>
      <c r="V12" s="136">
        <f t="shared" si="4"/>
        <v>4.4870000000000001</v>
      </c>
      <c r="W12" s="310"/>
      <c r="X12" s="136">
        <f t="shared" ref="X12:Z12" si="5">+X460</f>
        <v>2.1379999999999999</v>
      </c>
      <c r="Y12" s="136">
        <f t="shared" si="5"/>
        <v>1.419</v>
      </c>
      <c r="Z12" s="136">
        <f t="shared" si="5"/>
        <v>3.5569999999999999</v>
      </c>
      <c r="AA12" s="136"/>
      <c r="AB12" s="136">
        <f>+AB460</f>
        <v>0.95899999999999996</v>
      </c>
      <c r="AC12" s="136">
        <f>+AC460</f>
        <v>1.0230000000000001</v>
      </c>
      <c r="AD12" s="136">
        <f>+AD460</f>
        <v>1.982</v>
      </c>
      <c r="AE12" s="136"/>
      <c r="AF12" s="136">
        <f>+AF460</f>
        <v>1.153</v>
      </c>
      <c r="AG12" s="136">
        <f>+AG460</f>
        <v>1.6840000000000002</v>
      </c>
      <c r="AH12" s="136">
        <f>+AH460</f>
        <v>2.8370000000000002</v>
      </c>
      <c r="AI12" s="566">
        <f>AF12+AG12-AH12</f>
        <v>0</v>
      </c>
      <c r="AJ12" s="136">
        <f>+AJ460</f>
        <v>1.575</v>
      </c>
      <c r="AK12" s="136">
        <f>+AK460</f>
        <v>1.8379999999999999</v>
      </c>
      <c r="AL12" s="136">
        <f>+AL460</f>
        <v>3.4129999999999998</v>
      </c>
      <c r="AM12" s="566">
        <f>AJ12+AK12-AL12</f>
        <v>0</v>
      </c>
      <c r="AN12" s="136">
        <f>+AN460</f>
        <v>1.6080000000000001</v>
      </c>
      <c r="AO12" s="136">
        <f>+AO460</f>
        <v>0.83499999999999996</v>
      </c>
      <c r="AP12" s="136">
        <f>+AP460</f>
        <v>2.4430000000000001</v>
      </c>
      <c r="AQ12" s="566">
        <f>AN12+AO12-AP12</f>
        <v>0</v>
      </c>
      <c r="AR12" s="136">
        <f t="shared" ref="AR12:AT12" si="6">+AR460</f>
        <v>1.6562400000000002</v>
      </c>
      <c r="AS12" s="136">
        <f t="shared" si="6"/>
        <v>0.86004999999999998</v>
      </c>
      <c r="AT12" s="136">
        <f t="shared" si="6"/>
        <v>2.5162900000000001</v>
      </c>
      <c r="AU12" s="566">
        <f>AR12+AS12-AT12</f>
        <v>0</v>
      </c>
      <c r="AV12" s="136">
        <f t="shared" ref="AV12:AX12" si="7">+AV460</f>
        <v>0.87295074999999989</v>
      </c>
      <c r="AW12" s="136">
        <f t="shared" si="7"/>
        <v>0.88604501124999979</v>
      </c>
      <c r="AX12" s="136">
        <f t="shared" si="7"/>
        <v>1.7589957612499996</v>
      </c>
      <c r="AY12" s="566">
        <f>AV12+AW12-AX12</f>
        <v>0</v>
      </c>
      <c r="AZ12" s="136">
        <f t="shared" ref="AZ12:BB12" si="8">+AZ460</f>
        <v>0.89933568641874972</v>
      </c>
      <c r="BA12" s="136">
        <f t="shared" si="8"/>
        <v>0.91282572171503085</v>
      </c>
      <c r="BB12" s="136">
        <f t="shared" si="8"/>
        <v>1.8121614081337807</v>
      </c>
      <c r="BC12" s="566">
        <f>AZ12+BA12-BB12</f>
        <v>0</v>
      </c>
      <c r="BD12" s="136">
        <f t="shared" ref="BD12:BF12" si="9">+BD460</f>
        <v>0.92651810754075625</v>
      </c>
      <c r="BE12" s="136">
        <f t="shared" si="9"/>
        <v>0.94041587915386748</v>
      </c>
      <c r="BF12" s="136">
        <f t="shared" si="9"/>
        <v>1.8669339866946237</v>
      </c>
      <c r="BG12" s="566">
        <f>BD12+BE12-BF12</f>
        <v>0</v>
      </c>
      <c r="BH12" s="136">
        <f t="shared" ref="BH12:BJ12" si="10">+BH460</f>
        <v>0.95452211734117542</v>
      </c>
      <c r="BI12" s="136">
        <f t="shared" si="10"/>
        <v>0.96883994910129301</v>
      </c>
      <c r="BJ12" s="136">
        <f t="shared" si="10"/>
        <v>1.9233620664424684</v>
      </c>
      <c r="BK12" s="489">
        <f>BH12+BI12-BJ12</f>
        <v>0</v>
      </c>
      <c r="BL12" s="136">
        <f t="shared" ref="BL12:BN12" si="11">+BL460</f>
        <v>0.98337254833781229</v>
      </c>
      <c r="BM12" s="136">
        <f t="shared" si="11"/>
        <v>0.99812313656287943</v>
      </c>
      <c r="BN12" s="136">
        <f t="shared" si="11"/>
        <v>1.9814956849006917</v>
      </c>
      <c r="BO12" s="489">
        <f>BL12+BM12-BN12</f>
        <v>0</v>
      </c>
      <c r="BP12" s="136">
        <f t="shared" ref="BP12:BR12" si="12">+BP460</f>
        <v>1.0130949836113226</v>
      </c>
      <c r="BQ12" s="136">
        <f t="shared" si="12"/>
        <v>1.0282914083654924</v>
      </c>
      <c r="BR12" s="136">
        <f t="shared" si="12"/>
        <v>2.0413863919768147</v>
      </c>
      <c r="BS12" s="489">
        <f>BP12+BQ12-BR12</f>
        <v>0</v>
      </c>
      <c r="BT12" s="136">
        <f t="shared" ref="BT12:BV12" si="13">+BT460</f>
        <v>1.0437157794909746</v>
      </c>
      <c r="BU12" s="136">
        <f t="shared" si="13"/>
        <v>1.059371516183339</v>
      </c>
      <c r="BV12" s="136">
        <f t="shared" si="13"/>
        <v>2.1030872956743139</v>
      </c>
      <c r="BW12" s="489">
        <f>BT12+BU12-BV12</f>
        <v>0</v>
      </c>
      <c r="BX12" s="136">
        <f t="shared" ref="BX12:BZ12" si="14">+BX460</f>
        <v>1.0752620889260891</v>
      </c>
      <c r="BY12" s="136">
        <f t="shared" si="14"/>
        <v>1.0913910202599804</v>
      </c>
      <c r="BZ12" s="136">
        <f t="shared" si="14"/>
        <v>2.1666531091860692</v>
      </c>
    </row>
    <row r="13" spans="1:78" s="140" customFormat="1">
      <c r="A13" s="148"/>
      <c r="B13" s="149" t="s">
        <v>156</v>
      </c>
      <c r="C13" s="323" t="s">
        <v>406</v>
      </c>
      <c r="D13" s="232">
        <f>+D11+D12</f>
        <v>209.80199999999996</v>
      </c>
      <c r="E13" s="232">
        <f>+E11+E12</f>
        <v>237.321</v>
      </c>
      <c r="F13" s="232">
        <f>+F11+F12</f>
        <v>447.12299999999999</v>
      </c>
      <c r="G13" s="171"/>
      <c r="H13" s="232">
        <f>+H11+H12</f>
        <v>214.74600000000001</v>
      </c>
      <c r="I13" s="232">
        <f>+I11+I12</f>
        <v>251.70700000000005</v>
      </c>
      <c r="J13" s="232">
        <f>+J11+J12</f>
        <v>466.45299999999992</v>
      </c>
      <c r="K13" s="171"/>
      <c r="L13" s="232">
        <f>+L11+L12</f>
        <v>229.08599999999998</v>
      </c>
      <c r="M13" s="232">
        <f>+M11+M12</f>
        <v>268.34700000000004</v>
      </c>
      <c r="N13" s="232">
        <f>+N11+N12</f>
        <v>497.43299999999999</v>
      </c>
      <c r="O13" s="171"/>
      <c r="P13" s="232">
        <f>+P11+P12</f>
        <v>267.62400000000002</v>
      </c>
      <c r="Q13" s="232">
        <f>+Q11+Q12</f>
        <v>278.52100000000002</v>
      </c>
      <c r="R13" s="232">
        <f>+R11+R12</f>
        <v>546.14499999999998</v>
      </c>
      <c r="S13" s="171"/>
      <c r="T13" s="232">
        <f>+T11+T12</f>
        <v>274.59000000000003</v>
      </c>
      <c r="U13" s="232">
        <f>+U11+U12</f>
        <v>313.61499999999995</v>
      </c>
      <c r="V13" s="232">
        <f>+V11+V12</f>
        <v>588.20499999999993</v>
      </c>
      <c r="W13" s="310"/>
      <c r="X13" s="232">
        <f>+X11+X12</f>
        <v>313.08199999999999</v>
      </c>
      <c r="Y13" s="232">
        <f>+Y11+Y12</f>
        <v>342.233</v>
      </c>
      <c r="Z13" s="232">
        <f>+Z11+Z12</f>
        <v>655.31500000000005</v>
      </c>
      <c r="AA13" s="136"/>
      <c r="AB13" s="232">
        <f>+AB11+AB12</f>
        <v>328.25900000000001</v>
      </c>
      <c r="AC13" s="232">
        <f>+AC11+AC12</f>
        <v>363.20300000000003</v>
      </c>
      <c r="AD13" s="232">
        <f>+AD11+AD12</f>
        <v>691.46199999999988</v>
      </c>
      <c r="AE13" s="136"/>
      <c r="AF13" s="232">
        <f>+AF11+AF12</f>
        <v>467.25300000000004</v>
      </c>
      <c r="AG13" s="232">
        <f>+AG11+AG12</f>
        <v>646.96299999999997</v>
      </c>
      <c r="AH13" s="232">
        <f>+AH11+AH12</f>
        <v>1114.2160000000001</v>
      </c>
      <c r="AI13" s="566">
        <f>AF13+AG13-AH13</f>
        <v>0</v>
      </c>
      <c r="AJ13" s="232">
        <f>+AJ11+AJ12</f>
        <v>637.27500000000009</v>
      </c>
      <c r="AK13" s="232">
        <f>+AK11+AK12</f>
        <v>697.80899999999997</v>
      </c>
      <c r="AL13" s="232">
        <f>+AL11+AL12</f>
        <v>1335.106</v>
      </c>
      <c r="AM13" s="566">
        <f>AJ13+AK13-AL13</f>
        <v>-2.1999999999934516E-2</v>
      </c>
      <c r="AN13" s="232">
        <f>+AN11+AN12</f>
        <v>714.10799999999995</v>
      </c>
      <c r="AO13" s="232">
        <f>+AO11+AO12</f>
        <v>789.53499999999997</v>
      </c>
      <c r="AP13" s="232">
        <f>+AP11+AP12</f>
        <v>1503.6649999999997</v>
      </c>
      <c r="AQ13" s="566">
        <f>AN13+AO13-AP13</f>
        <v>-2.1999999999707143E-2</v>
      </c>
      <c r="AR13" s="232">
        <f t="shared" ref="AR13:AT13" si="15">+AR11+AR12</f>
        <v>765.27170300870944</v>
      </c>
      <c r="AS13" s="232">
        <f t="shared" si="15"/>
        <v>824.2747074909048</v>
      </c>
      <c r="AT13" s="232">
        <f t="shared" si="15"/>
        <v>1589.546410499614</v>
      </c>
      <c r="AU13" s="566">
        <f>AR13+AS13-AT13</f>
        <v>0</v>
      </c>
      <c r="AV13" s="232">
        <f t="shared" ref="AV13:AX13" si="16">+AV11+AV12</f>
        <v>798.75017124232409</v>
      </c>
      <c r="AW13" s="232">
        <f t="shared" si="16"/>
        <v>863.16410515451025</v>
      </c>
      <c r="AX13" s="232">
        <f t="shared" si="16"/>
        <v>1661.9142763968343</v>
      </c>
      <c r="AY13" s="566">
        <f>AV13+AW13-AX13</f>
        <v>0</v>
      </c>
      <c r="AZ13" s="232">
        <f t="shared" ref="AZ13:BB13" si="17">+AZ11+AZ12</f>
        <v>833.07504811974991</v>
      </c>
      <c r="BA13" s="232">
        <f t="shared" si="17"/>
        <v>902.13918476399749</v>
      </c>
      <c r="BB13" s="232">
        <f t="shared" si="17"/>
        <v>1735.2142328837474</v>
      </c>
      <c r="BC13" s="566">
        <f>AZ13+BA13-BB13</f>
        <v>0</v>
      </c>
      <c r="BD13" s="232">
        <f t="shared" ref="BD13:BF13" si="18">+BD11+BD12</f>
        <v>864.48339005910509</v>
      </c>
      <c r="BE13" s="232">
        <f t="shared" si="18"/>
        <v>937.92478167963543</v>
      </c>
      <c r="BF13" s="232">
        <f t="shared" si="18"/>
        <v>1802.4081717387403</v>
      </c>
      <c r="BG13" s="566">
        <f>BD13+BE13-BF13</f>
        <v>0</v>
      </c>
      <c r="BH13" s="232">
        <f t="shared" ref="BH13:BJ13" si="19">+BH11+BH12</f>
        <v>897.36165393386796</v>
      </c>
      <c r="BI13" s="232">
        <f t="shared" si="19"/>
        <v>975.40269230083493</v>
      </c>
      <c r="BJ13" s="232">
        <f t="shared" si="19"/>
        <v>1872.764346234703</v>
      </c>
      <c r="BK13" s="489">
        <f>BH13+BI13-BJ13</f>
        <v>0</v>
      </c>
      <c r="BL13" s="232">
        <f t="shared" ref="BL13:BN13" si="20">+BL11+BL12</f>
        <v>931.78267076662439</v>
      </c>
      <c r="BM13" s="232">
        <f t="shared" si="20"/>
        <v>1014.6569252673177</v>
      </c>
      <c r="BN13" s="232">
        <f t="shared" si="20"/>
        <v>1946.4395960339421</v>
      </c>
      <c r="BO13" s="489">
        <f>BL13+BM13-BN13</f>
        <v>0</v>
      </c>
      <c r="BP13" s="232">
        <f t="shared" ref="BP13:BR13" si="21">+BP11+BP12</f>
        <v>967.82298574827018</v>
      </c>
      <c r="BQ13" s="232">
        <f t="shared" si="21"/>
        <v>1055.7757663772306</v>
      </c>
      <c r="BR13" s="232">
        <f t="shared" si="21"/>
        <v>2023.5987521255008</v>
      </c>
      <c r="BS13" s="489">
        <f>BP13+BQ13-BR13</f>
        <v>0</v>
      </c>
      <c r="BT13" s="232">
        <f t="shared" ref="BT13:BV13" si="22">+BT11+BT12</f>
        <v>1005.5630507614466</v>
      </c>
      <c r="BU13" s="232">
        <f t="shared" si="22"/>
        <v>1098.851999667241</v>
      </c>
      <c r="BV13" s="232">
        <f t="shared" si="22"/>
        <v>2104.4150504286877</v>
      </c>
      <c r="BW13" s="489">
        <f>BT13+BU13-BV13</f>
        <v>0</v>
      </c>
      <c r="BX13" s="232">
        <f t="shared" ref="BX13:BZ13" si="23">+BX11+BX12</f>
        <v>1045.0874269964631</v>
      </c>
      <c r="BY13" s="232">
        <f t="shared" si="23"/>
        <v>1143.9831400465157</v>
      </c>
      <c r="BZ13" s="232">
        <f t="shared" si="23"/>
        <v>2189.0705670429784</v>
      </c>
    </row>
    <row r="14" spans="1:78" s="161" customFormat="1">
      <c r="A14" s="148"/>
      <c r="B14" s="148"/>
      <c r="D14" s="136"/>
      <c r="E14" s="136"/>
      <c r="F14" s="136"/>
      <c r="G14" s="170"/>
      <c r="H14" s="136"/>
      <c r="I14" s="136"/>
      <c r="J14" s="136"/>
      <c r="K14" s="170"/>
      <c r="L14" s="136"/>
      <c r="M14" s="136"/>
      <c r="N14" s="136"/>
      <c r="O14" s="170"/>
      <c r="P14" s="136"/>
      <c r="Q14" s="136"/>
      <c r="R14" s="136"/>
      <c r="S14" s="170"/>
      <c r="T14" s="136"/>
      <c r="U14" s="136"/>
      <c r="V14" s="136"/>
      <c r="W14" s="310"/>
      <c r="X14" s="136"/>
      <c r="Y14" s="136"/>
      <c r="AA14" s="136"/>
      <c r="AB14" s="136"/>
      <c r="AC14" s="136"/>
      <c r="AE14" s="136"/>
      <c r="AF14" s="136"/>
      <c r="AG14" s="136"/>
      <c r="AI14" s="567"/>
      <c r="AJ14" s="136"/>
      <c r="AK14" s="136"/>
      <c r="AL14" s="567"/>
      <c r="AM14" s="567"/>
      <c r="AN14" s="136"/>
      <c r="AO14" s="136"/>
      <c r="AP14" s="567"/>
      <c r="AQ14" s="567"/>
      <c r="AU14" s="567"/>
      <c r="AY14" s="567"/>
      <c r="BC14" s="567"/>
      <c r="BG14" s="567"/>
      <c r="BK14" s="310"/>
      <c r="BO14" s="310"/>
      <c r="BS14" s="310"/>
      <c r="BW14" s="310"/>
    </row>
    <row r="15" spans="1:78" s="161" customFormat="1">
      <c r="A15" s="148"/>
      <c r="B15" s="158" t="s">
        <v>1</v>
      </c>
      <c r="D15" s="136"/>
      <c r="E15" s="136"/>
      <c r="F15" s="136"/>
      <c r="G15" s="170"/>
      <c r="H15" s="136"/>
      <c r="I15" s="136"/>
      <c r="J15" s="136"/>
      <c r="K15" s="170"/>
      <c r="L15" s="136"/>
      <c r="M15" s="136"/>
      <c r="N15" s="136"/>
      <c r="O15" s="170"/>
      <c r="P15" s="136"/>
      <c r="Q15" s="136"/>
      <c r="R15" s="136"/>
      <c r="S15" s="170"/>
      <c r="T15" s="136"/>
      <c r="U15" s="136"/>
      <c r="V15" s="136"/>
      <c r="W15" s="310"/>
      <c r="X15" s="136"/>
      <c r="Y15" s="136"/>
      <c r="AA15" s="136"/>
      <c r="AB15" s="136"/>
      <c r="AC15" s="136"/>
      <c r="AE15" s="136"/>
      <c r="AF15" s="136"/>
      <c r="AG15" s="136"/>
      <c r="AI15" s="567"/>
      <c r="AJ15" s="136"/>
      <c r="AK15" s="136"/>
      <c r="AM15" s="567"/>
      <c r="AN15" s="136"/>
      <c r="AO15" s="136"/>
      <c r="AQ15" s="567"/>
      <c r="AU15" s="567"/>
      <c r="AY15" s="567"/>
      <c r="BC15" s="567"/>
      <c r="BG15" s="567"/>
      <c r="BK15" s="310"/>
      <c r="BO15" s="310"/>
      <c r="BS15" s="310"/>
      <c r="BW15" s="310"/>
    </row>
    <row r="16" spans="1:78" s="161" customFormat="1">
      <c r="A16" s="148"/>
      <c r="B16" s="148" t="s">
        <v>158</v>
      </c>
      <c r="C16" s="262" t="s">
        <v>406</v>
      </c>
      <c r="D16" s="136">
        <f>D224+D271+D305+D359+D403</f>
        <v>-162.108</v>
      </c>
      <c r="E16" s="136">
        <f>E224+E271+E305+E359+E403</f>
        <v>-156.61599999999999</v>
      </c>
      <c r="F16" s="136">
        <f>F224+F271+F305+F359+F403</f>
        <v>-318.72399999999999</v>
      </c>
      <c r="G16" s="170"/>
      <c r="H16" s="136">
        <f>H224+H271+H305+H359+H403</f>
        <v>-157.86499999999998</v>
      </c>
      <c r="I16" s="136">
        <f>I224+I271+I305+I359+I403</f>
        <v>-168.02</v>
      </c>
      <c r="J16" s="136">
        <f>J224+J271+J305+J359+J403</f>
        <v>-325.88499999999999</v>
      </c>
      <c r="K16" s="170"/>
      <c r="L16" s="136">
        <f>L224+L271+L305+L359+L403</f>
        <v>-167.37799999999999</v>
      </c>
      <c r="M16" s="136">
        <f>M224+M271+M305+M359+M403</f>
        <v>-183.04699999999997</v>
      </c>
      <c r="N16" s="136">
        <f>N224+N271+N305+N359+N403</f>
        <v>-350.42500000000001</v>
      </c>
      <c r="O16" s="170"/>
      <c r="P16" s="136">
        <f>P224+P271+P305+P359+P403</f>
        <v>-200.13399999999999</v>
      </c>
      <c r="Q16" s="136">
        <f>Q224+Q271+Q305+Q359+Q403</f>
        <v>-196.012</v>
      </c>
      <c r="R16" s="136">
        <f>R224+R271+R305+R359+R403</f>
        <v>-396.14600000000002</v>
      </c>
      <c r="S16" s="170"/>
      <c r="T16" s="136">
        <f>T224+T271+T305+T359+T403</f>
        <v>-204.37799999999999</v>
      </c>
      <c r="U16" s="136">
        <f>U224+U271+U305+U359+U403</f>
        <v>-214.964</v>
      </c>
      <c r="V16" s="136">
        <f>V224+V271+V305+V359+V403</f>
        <v>-419.34199999999998</v>
      </c>
      <c r="W16" s="310"/>
      <c r="X16" s="136">
        <f>X224+X271+X305+X359+X403</f>
        <v>-214.95999999999998</v>
      </c>
      <c r="Y16" s="136">
        <f>Y224+Y271+Y305+Y359+Y403</f>
        <v>-231.82800000000006</v>
      </c>
      <c r="Z16" s="136">
        <f>Z224+Z271+Z305+Z359+Z403</f>
        <v>-446.78800000000001</v>
      </c>
      <c r="AA16" s="310"/>
      <c r="AB16" s="136">
        <f>AB224+AB271+AB305+AB359+AB403</f>
        <v>-225</v>
      </c>
      <c r="AC16" s="136">
        <f>AC224+AC271+AC305+AC359+AC403</f>
        <v>-230.2</v>
      </c>
      <c r="AD16" s="136">
        <f>AD224+AD271+AD305+AD359+AD403</f>
        <v>-455.2</v>
      </c>
      <c r="AE16" s="310"/>
      <c r="AF16" s="136">
        <f>AF225+AF271+AF306+AF360+AF424</f>
        <v>-320.28500000000003</v>
      </c>
      <c r="AG16" s="136">
        <f>AG225+AG271+AG306+AG360+AG424</f>
        <v>-423.92599999999999</v>
      </c>
      <c r="AH16" s="136">
        <f>AH225+AH271+AH306+AH360+AH424</f>
        <v>-744.21100000000001</v>
      </c>
      <c r="AI16" s="566">
        <f>AF16+AG16-AH16</f>
        <v>0</v>
      </c>
      <c r="AJ16" s="136">
        <f>AJ225+AJ271+AJ306+AJ360+AJ424</f>
        <v>-428.9</v>
      </c>
      <c r="AK16" s="136">
        <f>AK225+AK271+AK306+AK360+AK424</f>
        <v>-449.76799999999997</v>
      </c>
      <c r="AL16" s="136">
        <f>AL225+AL271+AL306+AL360+AL424</f>
        <v>-878.66799999999989</v>
      </c>
      <c r="AM16" s="566">
        <f>AJ16+AK16-AL16</f>
        <v>0</v>
      </c>
      <c r="AN16" s="136">
        <f>AN225+AN271+AN306+AN360+AN424</f>
        <v>-484.29999999999995</v>
      </c>
      <c r="AO16" s="136">
        <f>AO225+AO271+AO306+AO360+AO424</f>
        <v>-496.7000000000001</v>
      </c>
      <c r="AP16" s="136">
        <f>AP225+AP271+AP306+AP360+AP424</f>
        <v>-981</v>
      </c>
      <c r="AQ16" s="566">
        <f>AN16+AO16-AP16</f>
        <v>0</v>
      </c>
      <c r="AR16" s="136">
        <f>AR225+AR271+AR306+AR360+AR424</f>
        <v>-511.11055050870937</v>
      </c>
      <c r="AS16" s="136">
        <f>AS225+AS271+AS306+AS360+AS424</f>
        <v>-512.2204424909047</v>
      </c>
      <c r="AT16" s="136">
        <f>AT225+AT271+AT306+AT360+AT424</f>
        <v>-1023.3309929996141</v>
      </c>
      <c r="AU16" s="566">
        <f>AR16+AS16-AT16</f>
        <v>0</v>
      </c>
      <c r="AV16" s="136">
        <f>AV225+AV271+AV306+AV360+AV424</f>
        <v>-529.81055839271323</v>
      </c>
      <c r="AW16" s="136">
        <f>AW225+AW271+AW306+AW360+AW424</f>
        <v>-529.16058521334105</v>
      </c>
      <c r="AX16" s="136">
        <f>AX225+AX271+AX306+AX360+AX424</f>
        <v>-1058.9711436060543</v>
      </c>
      <c r="AY16" s="566">
        <f>AV16+AW16-AX16</f>
        <v>0</v>
      </c>
      <c r="AZ16" s="136">
        <f>AZ225+AZ271+AZ306+AZ360+AZ424</f>
        <v>-547.10065555465212</v>
      </c>
      <c r="BA16" s="136">
        <f>BA225+BA271+BA306+BA360+BA424</f>
        <v>-546.60296932228653</v>
      </c>
      <c r="BB16" s="136">
        <f>BB225+BB271+BB306+BB360+BB424</f>
        <v>-1093.7036248769386</v>
      </c>
      <c r="BC16" s="566">
        <f>AZ16+BA16-BB16</f>
        <v>0</v>
      </c>
      <c r="BD16" s="136">
        <f>BD225+BD271+BD306+BD360+BD424</f>
        <v>-568.06662500914229</v>
      </c>
      <c r="BE16" s="136">
        <f>BE225+BE271+BE306+BE360+BE424</f>
        <v>-568.44577324477882</v>
      </c>
      <c r="BF16" s="136">
        <f>BF225+BF271+BF306+BF360+BF424</f>
        <v>-1136.5123982539212</v>
      </c>
      <c r="BG16" s="566">
        <f>BD16+BE16-BF16</f>
        <v>0</v>
      </c>
      <c r="BH16" s="136">
        <f>BH225+BH271+BH306+BH360+BH424</f>
        <v>-590.01879786632617</v>
      </c>
      <c r="BI16" s="136">
        <f>BI225+BI271+BI306+BI360+BI424</f>
        <v>-591.32356151121428</v>
      </c>
      <c r="BJ16" s="136">
        <f>BJ225+BJ271+BJ306+BJ360+BJ424</f>
        <v>-1181.3423593775406</v>
      </c>
      <c r="BK16" s="489">
        <f>BH16+BI16-BJ16</f>
        <v>0</v>
      </c>
      <c r="BL16" s="136">
        <f>BL225+BL271+BL306+BL360+BL424</f>
        <v>-613.00598068313434</v>
      </c>
      <c r="BM16" s="136">
        <f>BM225+BM271+BM306+BM360+BM424</f>
        <v>-615.28761814598215</v>
      </c>
      <c r="BN16" s="136">
        <f>BN225+BN271+BN306+BN360+BN424</f>
        <v>-1228.2935988291165</v>
      </c>
      <c r="BO16" s="489">
        <f>BL16+BM16-BN16</f>
        <v>0</v>
      </c>
      <c r="BP16" s="136">
        <f>BP225+BP271+BP306+BP360+BP424</f>
        <v>-637.0794575072282</v>
      </c>
      <c r="BQ16" s="136">
        <f>BQ225+BQ271+BQ306+BQ360+BQ424</f>
        <v>-640.39182730388552</v>
      </c>
      <c r="BR16" s="136">
        <f>BR225+BR271+BR306+BR360+BR424</f>
        <v>-1277.4712848111137</v>
      </c>
      <c r="BS16" s="489">
        <f>BP16+BQ16-BR16</f>
        <v>0</v>
      </c>
      <c r="BT16" s="136">
        <f>BT225+BT271+BT306+BT360+BT424</f>
        <v>-662.29311744641689</v>
      </c>
      <c r="BU16" s="136">
        <f>BU225+BU271+BU306+BU360+BU424</f>
        <v>-666.69280689153322</v>
      </c>
      <c r="BV16" s="136">
        <f>BV225+BV271+BV306+BV360+BV424</f>
        <v>-1328.9859243379501</v>
      </c>
      <c r="BW16" s="489">
        <f>BT16+BU16-BV16</f>
        <v>0</v>
      </c>
      <c r="BX16" s="136">
        <f>BX225+BX271+BX306+BX360+BX424</f>
        <v>-688.70358887224165</v>
      </c>
      <c r="BY16" s="136">
        <f>BY225+BY271+BY306+BY360+BY424</f>
        <v>-694.25004912316706</v>
      </c>
      <c r="BZ16" s="136">
        <f>BZ225+BZ271+BZ306+BZ360+BZ424</f>
        <v>-1382.9536379954088</v>
      </c>
    </row>
    <row r="17" spans="1:78" s="161" customFormat="1">
      <c r="A17" s="148"/>
      <c r="B17" s="148" t="s">
        <v>159</v>
      </c>
      <c r="C17" s="262" t="s">
        <v>406</v>
      </c>
      <c r="D17" s="136">
        <f>+D461</f>
        <v>-9.093</v>
      </c>
      <c r="E17" s="136">
        <f>+F17-D17</f>
        <v>-4.8900000000000006</v>
      </c>
      <c r="F17" s="136">
        <f>+F461</f>
        <v>-13.983000000000001</v>
      </c>
      <c r="G17" s="170"/>
      <c r="H17" s="136">
        <f>+H461</f>
        <v>-8.4949999999999992</v>
      </c>
      <c r="I17" s="136">
        <f>+J17-H17</f>
        <v>-8.56</v>
      </c>
      <c r="J17" s="136">
        <f>+J461</f>
        <v>-17.055</v>
      </c>
      <c r="K17" s="170"/>
      <c r="L17" s="136">
        <f>+L461</f>
        <v>-9.4329999999999998</v>
      </c>
      <c r="M17" s="136">
        <f>+N17-L17</f>
        <v>-4.3369999999999997</v>
      </c>
      <c r="N17" s="136">
        <f>+N461</f>
        <v>-13.77</v>
      </c>
      <c r="O17" s="170"/>
      <c r="P17" s="136">
        <f>+P461</f>
        <v>-7.0430000000000001</v>
      </c>
      <c r="Q17" s="136">
        <f>+R17-P17</f>
        <v>-6.7939999999999996</v>
      </c>
      <c r="R17" s="136">
        <f>+R461</f>
        <v>-13.837</v>
      </c>
      <c r="S17" s="170"/>
      <c r="T17" s="136">
        <f>+T461</f>
        <v>-7.0430000000000001</v>
      </c>
      <c r="U17" s="136">
        <f>+V17-T17</f>
        <v>-8.8359999999999985</v>
      </c>
      <c r="V17" s="136">
        <f>+V461</f>
        <v>-15.879</v>
      </c>
      <c r="W17" s="310"/>
      <c r="X17" s="136">
        <f>+X461</f>
        <v>-7.306</v>
      </c>
      <c r="Y17" s="136">
        <f>+Z17-X17</f>
        <v>-7.4519999999999991</v>
      </c>
      <c r="Z17" s="136">
        <f>+Z461</f>
        <v>-14.757999999999999</v>
      </c>
      <c r="AA17" s="310"/>
      <c r="AB17" s="136">
        <f>+AB461</f>
        <v>-10.335000000000001</v>
      </c>
      <c r="AC17" s="136">
        <f>+AD17-AB17</f>
        <v>-9.6310000000000002</v>
      </c>
      <c r="AD17" s="136">
        <f>+AD461</f>
        <v>-19.966000000000001</v>
      </c>
      <c r="AE17" s="310"/>
      <c r="AF17" s="136">
        <f>+AF461</f>
        <v>-13.03</v>
      </c>
      <c r="AG17" s="136">
        <f>+AG461</f>
        <v>-12.796000000000001</v>
      </c>
      <c r="AH17" s="136">
        <f>+AF17+AG17</f>
        <v>-25.826000000000001</v>
      </c>
      <c r="AI17" s="566">
        <f>AF17+AG17-AH17</f>
        <v>0</v>
      </c>
      <c r="AJ17" s="136">
        <f>+AJ461</f>
        <v>-14.978</v>
      </c>
      <c r="AK17" s="136">
        <f>+AK461</f>
        <v>-11.043999999999999</v>
      </c>
      <c r="AL17" s="136">
        <f t="shared" ref="AL17" si="24">+AJ17+AK17</f>
        <v>-26.021999999999998</v>
      </c>
      <c r="AM17" s="566">
        <f>AJ17+AK17-AL17</f>
        <v>0</v>
      </c>
      <c r="AN17" s="136">
        <f>+AN461</f>
        <v>-15.565</v>
      </c>
      <c r="AO17" s="136">
        <f>+AO461</f>
        <v>-10.589</v>
      </c>
      <c r="AP17" s="136">
        <f t="shared" ref="AP17" si="25">+AN17+AO17</f>
        <v>-26.154</v>
      </c>
      <c r="AQ17" s="566">
        <f>AN17+AO17-AP17</f>
        <v>0</v>
      </c>
      <c r="AR17" s="136">
        <f t="shared" ref="AR17:AS17" si="26">+AR461</f>
        <v>-14.942399999999999</v>
      </c>
      <c r="AS17" s="136">
        <f t="shared" si="26"/>
        <v>-10.800780000000001</v>
      </c>
      <c r="AT17" s="136">
        <f t="shared" ref="AT17" si="27">+AR17+AS17</f>
        <v>-25.743180000000002</v>
      </c>
      <c r="AU17" s="566">
        <f>AR17+AS17-AT17</f>
        <v>0</v>
      </c>
      <c r="AV17" s="136">
        <f t="shared" ref="AV17:AW17" si="28">+AV461</f>
        <v>-15.166535999999997</v>
      </c>
      <c r="AW17" s="136">
        <f t="shared" si="28"/>
        <v>-10.9627917</v>
      </c>
      <c r="AX17" s="136">
        <f t="shared" ref="AX17" si="29">+AV17+AW17</f>
        <v>-26.129327699999997</v>
      </c>
      <c r="AY17" s="566">
        <f>AV17+AW17-AX17</f>
        <v>0</v>
      </c>
      <c r="AZ17" s="136">
        <f t="shared" ref="AZ17:BA17" si="30">+AZ461</f>
        <v>-15.394034039999996</v>
      </c>
      <c r="BA17" s="136">
        <f t="shared" si="30"/>
        <v>-11.1272335755</v>
      </c>
      <c r="BB17" s="136">
        <f t="shared" ref="BB17" si="31">+AZ17+BA17</f>
        <v>-26.521267615499994</v>
      </c>
      <c r="BC17" s="566">
        <f>AZ17+BA17-BB17</f>
        <v>0</v>
      </c>
      <c r="BD17" s="136">
        <f t="shared" ref="BD17:BE17" si="32">+BD461</f>
        <v>-15.624944550599993</v>
      </c>
      <c r="BE17" s="136">
        <f t="shared" si="32"/>
        <v>-11.294142079132499</v>
      </c>
      <c r="BF17" s="136">
        <f t="shared" ref="BF17" si="33">+BD17+BE17</f>
        <v>-26.91908662973249</v>
      </c>
      <c r="BG17" s="566">
        <f>BD17+BE17-BF17</f>
        <v>0</v>
      </c>
      <c r="BH17" s="136">
        <f t="shared" ref="BH17:BI17" si="34">+BH461</f>
        <v>-15.859318718858992</v>
      </c>
      <c r="BI17" s="136">
        <f t="shared" si="34"/>
        <v>-11.463554210319485</v>
      </c>
      <c r="BJ17" s="136">
        <f t="shared" ref="BJ17" si="35">+BH17+BI17</f>
        <v>-27.322872929178477</v>
      </c>
      <c r="BK17" s="489">
        <f>BH17+BI17-BJ17</f>
        <v>0</v>
      </c>
      <c r="BL17" s="136">
        <f t="shared" ref="BL17:BM17" si="36">+BL461</f>
        <v>-16.097208499641877</v>
      </c>
      <c r="BM17" s="136">
        <f t="shared" si="36"/>
        <v>-11.635507523474276</v>
      </c>
      <c r="BN17" s="136">
        <f t="shared" ref="BN17" si="37">+BL17+BM17</f>
        <v>-27.732716023116154</v>
      </c>
      <c r="BO17" s="489">
        <f>BL17+BM17-BN17</f>
        <v>0</v>
      </c>
      <c r="BP17" s="136">
        <f t="shared" ref="BP17:BQ17" si="38">+BP461</f>
        <v>-16.338666627136504</v>
      </c>
      <c r="BQ17" s="136">
        <f t="shared" si="38"/>
        <v>-11.810040136326389</v>
      </c>
      <c r="BR17" s="136">
        <f t="shared" ref="BR17" si="39">+BP17+BQ17</f>
        <v>-28.148706763462894</v>
      </c>
      <c r="BS17" s="489">
        <f>BP17+BQ17-BR17</f>
        <v>0</v>
      </c>
      <c r="BT17" s="136">
        <f t="shared" ref="BT17:BU17" si="40">+BT461</f>
        <v>-16.583746626543551</v>
      </c>
      <c r="BU17" s="136">
        <f t="shared" si="40"/>
        <v>-11.987190738371284</v>
      </c>
      <c r="BV17" s="136">
        <f t="shared" ref="BV17" si="41">+BT17+BU17</f>
        <v>-28.570937364914833</v>
      </c>
      <c r="BW17" s="489">
        <f>BT17+BU17-BV17</f>
        <v>0</v>
      </c>
      <c r="BX17" s="136">
        <f t="shared" ref="BX17:BY17" si="42">+BX461</f>
        <v>-16.832502825941702</v>
      </c>
      <c r="BY17" s="136">
        <f t="shared" si="42"/>
        <v>-12.166998599446853</v>
      </c>
      <c r="BZ17" s="136">
        <f t="shared" ref="BZ17" si="43">+BX17+BY17</f>
        <v>-28.999501425388555</v>
      </c>
    </row>
    <row r="18" spans="1:78" s="161" customFormat="1">
      <c r="A18" s="148"/>
      <c r="B18" s="149" t="s">
        <v>160</v>
      </c>
      <c r="C18" s="323" t="s">
        <v>406</v>
      </c>
      <c r="D18" s="232">
        <f>+D16+D17</f>
        <v>-171.20099999999999</v>
      </c>
      <c r="E18" s="232">
        <f>+E16+E17</f>
        <v>-161.50599999999997</v>
      </c>
      <c r="F18" s="232">
        <f>+F16+F17</f>
        <v>-332.70699999999999</v>
      </c>
      <c r="G18" s="170"/>
      <c r="H18" s="232">
        <f>+H16+H17</f>
        <v>-166.35999999999999</v>
      </c>
      <c r="I18" s="232">
        <f>+I16+I17</f>
        <v>-176.58</v>
      </c>
      <c r="J18" s="232">
        <f>+J16+J17</f>
        <v>-342.94</v>
      </c>
      <c r="K18" s="170"/>
      <c r="L18" s="232">
        <f>+L16+L17</f>
        <v>-176.81099999999998</v>
      </c>
      <c r="M18" s="232">
        <f>+M16+M17</f>
        <v>-187.38399999999996</v>
      </c>
      <c r="N18" s="232">
        <f>+N16+N17</f>
        <v>-364.19499999999999</v>
      </c>
      <c r="O18" s="170"/>
      <c r="P18" s="232">
        <f>+P16+P17</f>
        <v>-207.17699999999999</v>
      </c>
      <c r="Q18" s="232">
        <f>+Q16+Q17</f>
        <v>-202.80600000000001</v>
      </c>
      <c r="R18" s="232">
        <f>+R16+R17</f>
        <v>-409.983</v>
      </c>
      <c r="S18" s="170"/>
      <c r="T18" s="232">
        <f>+T16+T17</f>
        <v>-211.42099999999999</v>
      </c>
      <c r="U18" s="232">
        <f>+U16+U17</f>
        <v>-223.8</v>
      </c>
      <c r="V18" s="232">
        <f>+V16+V17</f>
        <v>-435.221</v>
      </c>
      <c r="W18" s="310"/>
      <c r="X18" s="232">
        <f>+X16+X17</f>
        <v>-222.26599999999999</v>
      </c>
      <c r="Y18" s="232">
        <f>+Y16+Y17</f>
        <v>-239.28000000000006</v>
      </c>
      <c r="Z18" s="232">
        <f>+Z16+Z17</f>
        <v>-461.54599999999999</v>
      </c>
      <c r="AA18" s="310"/>
      <c r="AB18" s="232">
        <f>+AB16+AB17</f>
        <v>-235.33500000000001</v>
      </c>
      <c r="AC18" s="232">
        <f>+AC16+AC17</f>
        <v>-239.83099999999999</v>
      </c>
      <c r="AD18" s="232">
        <f>+AD16+AD17</f>
        <v>-475.166</v>
      </c>
      <c r="AE18" s="310"/>
      <c r="AF18" s="232">
        <f>+AF16+AF17</f>
        <v>-333.315</v>
      </c>
      <c r="AG18" s="232">
        <f>+AG16+AG17</f>
        <v>-436.72199999999998</v>
      </c>
      <c r="AH18" s="232">
        <f>+AH16+AH17</f>
        <v>-770.03700000000003</v>
      </c>
      <c r="AI18" s="566">
        <f>AF18+AG18-AH18</f>
        <v>0</v>
      </c>
      <c r="AJ18" s="232">
        <f>+AJ16+AJ17</f>
        <v>-443.87799999999999</v>
      </c>
      <c r="AK18" s="232">
        <f>+AK16+AK17</f>
        <v>-460.81199999999995</v>
      </c>
      <c r="AL18" s="232">
        <f>+AL16+AL17</f>
        <v>-904.68999999999994</v>
      </c>
      <c r="AM18" s="566">
        <f>AJ18+AK18-AL18</f>
        <v>0</v>
      </c>
      <c r="AN18" s="232">
        <f>+AN16+AN17</f>
        <v>-499.86499999999995</v>
      </c>
      <c r="AO18" s="232">
        <f>+AO16+AO17</f>
        <v>-507.2890000000001</v>
      </c>
      <c r="AP18" s="232">
        <f>+AP16+AP17</f>
        <v>-1007.154</v>
      </c>
      <c r="AQ18" s="566">
        <f>AN18+AO18-AP18</f>
        <v>0</v>
      </c>
      <c r="AR18" s="232">
        <f t="shared" ref="AR18:AT18" si="44">+AR16+AR17</f>
        <v>-526.05295050870939</v>
      </c>
      <c r="AS18" s="232">
        <f t="shared" si="44"/>
        <v>-523.02122249090473</v>
      </c>
      <c r="AT18" s="232">
        <f t="shared" si="44"/>
        <v>-1049.0741729996141</v>
      </c>
      <c r="AU18" s="566">
        <f>AR18+AS18-AT18</f>
        <v>0</v>
      </c>
      <c r="AV18" s="232">
        <f t="shared" ref="AV18:AX18" si="45">+AV16+AV17</f>
        <v>-544.97709439271318</v>
      </c>
      <c r="AW18" s="232">
        <f t="shared" si="45"/>
        <v>-540.12337691334108</v>
      </c>
      <c r="AX18" s="232">
        <f t="shared" si="45"/>
        <v>-1085.1004713060543</v>
      </c>
      <c r="AY18" s="566">
        <f>AV18+AW18-AX18</f>
        <v>0</v>
      </c>
      <c r="AZ18" s="232">
        <f t="shared" ref="AZ18:BB18" si="46">+AZ16+AZ17</f>
        <v>-562.49468959465207</v>
      </c>
      <c r="BA18" s="232">
        <f t="shared" si="46"/>
        <v>-557.73020289778651</v>
      </c>
      <c r="BB18" s="232">
        <f t="shared" si="46"/>
        <v>-1120.2248924924386</v>
      </c>
      <c r="BC18" s="566">
        <f>AZ18+BA18-BB18</f>
        <v>0</v>
      </c>
      <c r="BD18" s="232">
        <f t="shared" ref="BD18:BF18" si="47">+BD16+BD17</f>
        <v>-583.69156955974233</v>
      </c>
      <c r="BE18" s="232">
        <f t="shared" si="47"/>
        <v>-579.7399153239113</v>
      </c>
      <c r="BF18" s="232">
        <f t="shared" si="47"/>
        <v>-1163.4314848836536</v>
      </c>
      <c r="BG18" s="566">
        <f>BD18+BE18-BF18</f>
        <v>0</v>
      </c>
      <c r="BH18" s="232">
        <f t="shared" ref="BH18:BJ18" si="48">+BH16+BH17</f>
        <v>-605.87811658518513</v>
      </c>
      <c r="BI18" s="232">
        <f t="shared" si="48"/>
        <v>-602.78711572153372</v>
      </c>
      <c r="BJ18" s="232">
        <f t="shared" si="48"/>
        <v>-1208.665232306719</v>
      </c>
      <c r="BK18" s="489">
        <f>BH18+BI18-BJ18</f>
        <v>0</v>
      </c>
      <c r="BL18" s="232">
        <f t="shared" ref="BL18:BN18" si="49">+BL16+BL17</f>
        <v>-629.10318918277619</v>
      </c>
      <c r="BM18" s="232">
        <f t="shared" si="49"/>
        <v>-626.92312566945645</v>
      </c>
      <c r="BN18" s="232">
        <f t="shared" si="49"/>
        <v>-1256.0263148522326</v>
      </c>
      <c r="BO18" s="489">
        <f>BL18+BM18-BN18</f>
        <v>0</v>
      </c>
      <c r="BP18" s="232">
        <f t="shared" ref="BP18:BR18" si="50">+BP16+BP17</f>
        <v>-653.41812413436469</v>
      </c>
      <c r="BQ18" s="232">
        <f t="shared" si="50"/>
        <v>-652.20186744021191</v>
      </c>
      <c r="BR18" s="232">
        <f t="shared" si="50"/>
        <v>-1305.6199915745767</v>
      </c>
      <c r="BS18" s="489">
        <f>BP18+BQ18-BR18</f>
        <v>0</v>
      </c>
      <c r="BT18" s="232">
        <f t="shared" ref="BT18:BV18" si="51">+BT16+BT17</f>
        <v>-678.87686407296042</v>
      </c>
      <c r="BU18" s="232">
        <f t="shared" si="51"/>
        <v>-678.67999762990451</v>
      </c>
      <c r="BV18" s="232">
        <f t="shared" si="51"/>
        <v>-1357.556861702865</v>
      </c>
      <c r="BW18" s="489">
        <f>BT18+BU18-BV18</f>
        <v>0</v>
      </c>
      <c r="BX18" s="232">
        <f t="shared" ref="BX18:BZ18" si="52">+BX16+BX17</f>
        <v>-705.53609169818333</v>
      </c>
      <c r="BY18" s="232">
        <f t="shared" si="52"/>
        <v>-706.41704772261392</v>
      </c>
      <c r="BZ18" s="232">
        <f t="shared" si="52"/>
        <v>-1411.9531394207975</v>
      </c>
    </row>
    <row r="19" spans="1:78" s="161" customFormat="1">
      <c r="A19" s="148"/>
      <c r="B19" s="148"/>
      <c r="D19" s="310"/>
      <c r="E19" s="310"/>
      <c r="F19" s="310"/>
      <c r="G19" s="170"/>
      <c r="H19" s="310"/>
      <c r="I19" s="310"/>
      <c r="J19" s="310"/>
      <c r="K19" s="170"/>
      <c r="L19" s="310"/>
      <c r="M19" s="310"/>
      <c r="N19" s="310"/>
      <c r="O19" s="170"/>
      <c r="P19" s="310"/>
      <c r="Q19" s="310"/>
      <c r="R19" s="310"/>
      <c r="S19" s="170"/>
      <c r="T19" s="310"/>
      <c r="U19" s="310"/>
      <c r="V19" s="310"/>
      <c r="W19" s="310"/>
      <c r="X19" s="310"/>
      <c r="Y19" s="310"/>
      <c r="Z19" s="172"/>
      <c r="AA19" s="136"/>
      <c r="AB19" s="310"/>
      <c r="AC19" s="310"/>
      <c r="AD19" s="172"/>
      <c r="AE19" s="136"/>
      <c r="AF19" s="310"/>
      <c r="AG19" s="310"/>
      <c r="AH19" s="172"/>
      <c r="AI19" s="567"/>
      <c r="AJ19" s="310"/>
      <c r="AK19" s="310"/>
      <c r="AL19" s="172"/>
      <c r="AM19" s="567"/>
      <c r="AN19" s="310"/>
      <c r="AO19" s="310"/>
      <c r="AP19" s="172"/>
      <c r="AQ19" s="567"/>
      <c r="AR19" s="172"/>
      <c r="AS19" s="172"/>
      <c r="AT19" s="172"/>
      <c r="AU19" s="567"/>
      <c r="AV19" s="172"/>
      <c r="AW19" s="172"/>
      <c r="AX19" s="172"/>
      <c r="AY19" s="567"/>
      <c r="AZ19" s="172"/>
      <c r="BA19" s="172"/>
      <c r="BB19" s="172"/>
      <c r="BC19" s="567"/>
      <c r="BD19" s="172"/>
      <c r="BE19" s="172"/>
      <c r="BF19" s="172"/>
      <c r="BG19" s="567"/>
      <c r="BH19" s="172"/>
      <c r="BI19" s="172"/>
      <c r="BJ19" s="172"/>
      <c r="BK19" s="310"/>
      <c r="BL19" s="172"/>
      <c r="BM19" s="172"/>
      <c r="BN19" s="172"/>
      <c r="BO19" s="310"/>
      <c r="BP19" s="172"/>
      <c r="BQ19" s="172"/>
      <c r="BR19" s="172"/>
      <c r="BS19" s="310"/>
      <c r="BT19" s="172"/>
      <c r="BU19" s="172"/>
      <c r="BV19" s="172"/>
      <c r="BW19" s="310"/>
      <c r="BX19" s="172"/>
      <c r="BY19" s="172"/>
      <c r="BZ19" s="172"/>
    </row>
    <row r="20" spans="1:78" s="140" customFormat="1">
      <c r="A20" s="149"/>
      <c r="B20" s="148" t="s">
        <v>675</v>
      </c>
      <c r="C20" s="262" t="s">
        <v>406</v>
      </c>
      <c r="D20" s="232">
        <f>D16+D11</f>
        <v>46.625999999999948</v>
      </c>
      <c r="E20" s="232">
        <f>E16+E11</f>
        <v>79.172000000000025</v>
      </c>
      <c r="F20" s="232">
        <f>F16+F11</f>
        <v>125.798</v>
      </c>
      <c r="G20" s="171"/>
      <c r="H20" s="232">
        <f>H16+H11</f>
        <v>55.813000000000017</v>
      </c>
      <c r="I20" s="232">
        <f>I16+I11</f>
        <v>82.507000000000033</v>
      </c>
      <c r="J20" s="232">
        <f>J16+J11</f>
        <v>138.31999999999994</v>
      </c>
      <c r="K20" s="171"/>
      <c r="L20" s="232">
        <f>L16+L11</f>
        <v>60.472000000000008</v>
      </c>
      <c r="M20" s="232">
        <f>M16+M11</f>
        <v>84.349000000000046</v>
      </c>
      <c r="N20" s="232">
        <f>N16+N11</f>
        <v>144.82099999999997</v>
      </c>
      <c r="O20" s="171"/>
      <c r="P20" s="232">
        <f>P16+P11</f>
        <v>65.033000000000044</v>
      </c>
      <c r="Q20" s="232">
        <f>Q16+Q11</f>
        <v>80.420999999999992</v>
      </c>
      <c r="R20" s="232">
        <f>R16+R11</f>
        <v>145.45400000000001</v>
      </c>
      <c r="S20" s="171"/>
      <c r="T20" s="232">
        <f>T16+T11</f>
        <v>67.755000000000052</v>
      </c>
      <c r="U20" s="232">
        <f>U16+U11</f>
        <v>96.620999999999981</v>
      </c>
      <c r="V20" s="232">
        <f>V16+V11</f>
        <v>164.37599999999998</v>
      </c>
      <c r="W20" s="310"/>
      <c r="X20" s="232">
        <f>X16+X11</f>
        <v>95.984000000000037</v>
      </c>
      <c r="Y20" s="232">
        <f>Y16+Y11</f>
        <v>108.98599999999996</v>
      </c>
      <c r="Z20" s="232">
        <f>Z16+Z11</f>
        <v>204.97000000000003</v>
      </c>
      <c r="AA20" s="136"/>
      <c r="AB20" s="232">
        <f>AB16+AB11</f>
        <v>102.30000000000001</v>
      </c>
      <c r="AC20" s="232">
        <f>AC16+AC11</f>
        <v>131.98000000000002</v>
      </c>
      <c r="AD20" s="232">
        <f>AD16+AD11</f>
        <v>234.27999999999992</v>
      </c>
      <c r="AE20" s="136"/>
      <c r="AF20" s="232">
        <f>AF16+AF11</f>
        <v>145.815</v>
      </c>
      <c r="AG20" s="232">
        <f>AG16+AG11</f>
        <v>221.35300000000001</v>
      </c>
      <c r="AH20" s="232">
        <f>AH16+AH11</f>
        <v>367.16800000000012</v>
      </c>
      <c r="AI20" s="566">
        <f>AF20+AG20-AH20</f>
        <v>0</v>
      </c>
      <c r="AJ20" s="232">
        <f>AJ16+AJ11</f>
        <v>206.80000000000007</v>
      </c>
      <c r="AK20" s="232">
        <f>AK16+AK11</f>
        <v>246.20300000000003</v>
      </c>
      <c r="AL20" s="140">
        <f>AL16+AL11</f>
        <v>453.02500000000009</v>
      </c>
      <c r="AM20" s="566">
        <f>AJ20+AK20-AL20</f>
        <v>-2.199999999999136E-2</v>
      </c>
      <c r="AN20" s="232">
        <f>AN16+AN11</f>
        <v>228.20000000000005</v>
      </c>
      <c r="AO20" s="232">
        <f>AO16+AO11</f>
        <v>291.99999999999983</v>
      </c>
      <c r="AP20" s="140">
        <f>AP16+AP11</f>
        <v>520.22199999999975</v>
      </c>
      <c r="AQ20" s="566">
        <f>AN20+AO20-AP20</f>
        <v>-2.1999999999934516E-2</v>
      </c>
      <c r="AR20" s="232">
        <f t="shared" ref="AR20:AT20" si="53">AR16+AR11</f>
        <v>252.50491250000005</v>
      </c>
      <c r="AS20" s="232">
        <f t="shared" si="53"/>
        <v>311.1942150000001</v>
      </c>
      <c r="AT20" s="232">
        <f t="shared" si="53"/>
        <v>563.69912749999992</v>
      </c>
      <c r="AU20" s="566">
        <f>AR20+AS20-AT20</f>
        <v>0</v>
      </c>
      <c r="AV20" s="232">
        <f t="shared" ref="AV20:AX20" si="54">AV16+AV11</f>
        <v>268.06666209961088</v>
      </c>
      <c r="AW20" s="232">
        <f t="shared" si="54"/>
        <v>333.11747492991924</v>
      </c>
      <c r="AX20" s="232">
        <f t="shared" si="54"/>
        <v>601.18413702953012</v>
      </c>
      <c r="AY20" s="566">
        <f>AV20+AW20-AX20</f>
        <v>0</v>
      </c>
      <c r="AZ20" s="232">
        <f t="shared" ref="AZ20:BB20" si="55">AZ16+AZ11</f>
        <v>285.07505687867899</v>
      </c>
      <c r="BA20" s="232">
        <f t="shared" si="55"/>
        <v>354.62338971999588</v>
      </c>
      <c r="BB20" s="232">
        <f t="shared" si="55"/>
        <v>639.69844659867499</v>
      </c>
      <c r="BC20" s="566">
        <f>AZ20+BA20-BB20</f>
        <v>0</v>
      </c>
      <c r="BD20" s="232">
        <f t="shared" ref="BD20:BF20" si="56">BD16+BD11</f>
        <v>295.490246942422</v>
      </c>
      <c r="BE20" s="232">
        <f t="shared" si="56"/>
        <v>368.53859255570273</v>
      </c>
      <c r="BF20" s="232">
        <f t="shared" si="56"/>
        <v>664.0288394981244</v>
      </c>
      <c r="BG20" s="566">
        <f>BD20+BE20-BF20</f>
        <v>0</v>
      </c>
      <c r="BH20" s="232">
        <f t="shared" ref="BH20:BJ20" si="57">BH16+BH11</f>
        <v>306.3883339502006</v>
      </c>
      <c r="BI20" s="232">
        <f t="shared" si="57"/>
        <v>383.11029084051938</v>
      </c>
      <c r="BJ20" s="232">
        <f t="shared" si="57"/>
        <v>689.49862479071999</v>
      </c>
      <c r="BK20" s="489">
        <f>BH20+BI20-BJ20</f>
        <v>0</v>
      </c>
      <c r="BL20" s="232">
        <f t="shared" ref="BL20:BN20" si="58">BL16+BL11</f>
        <v>317.79331753515226</v>
      </c>
      <c r="BM20" s="232">
        <f t="shared" si="58"/>
        <v>398.37118398477264</v>
      </c>
      <c r="BN20" s="232">
        <f t="shared" si="58"/>
        <v>716.1645015199249</v>
      </c>
      <c r="BO20" s="489">
        <f>BL20+BM20-BN20</f>
        <v>0</v>
      </c>
      <c r="BP20" s="232">
        <f t="shared" ref="BP20:BR20" si="59">BP16+BP11</f>
        <v>329.73043325743072</v>
      </c>
      <c r="BQ20" s="232">
        <f t="shared" si="59"/>
        <v>414.35564766497964</v>
      </c>
      <c r="BR20" s="232">
        <f t="shared" si="59"/>
        <v>744.08608092241025</v>
      </c>
      <c r="BS20" s="489">
        <f>BP20+BQ20-BR20</f>
        <v>0</v>
      </c>
      <c r="BT20" s="232">
        <f t="shared" ref="BT20:BV20" si="60">BT16+BT11</f>
        <v>342.22621753553869</v>
      </c>
      <c r="BU20" s="232">
        <f t="shared" si="60"/>
        <v>431.09982125952445</v>
      </c>
      <c r="BV20" s="232">
        <f t="shared" si="60"/>
        <v>773.32603879506314</v>
      </c>
      <c r="BW20" s="489">
        <f>BT20+BU20-BV20</f>
        <v>0</v>
      </c>
      <c r="BX20" s="232">
        <f t="shared" ref="BX20:BZ20" si="61">BX16+BX11</f>
        <v>355.30857603529535</v>
      </c>
      <c r="BY20" s="232">
        <f t="shared" si="61"/>
        <v>448.64169990308858</v>
      </c>
      <c r="BZ20" s="232">
        <f t="shared" si="61"/>
        <v>803.95027593838358</v>
      </c>
    </row>
    <row r="21" spans="1:78" s="140" customFormat="1" ht="14.4" customHeight="1">
      <c r="A21" s="149"/>
      <c r="B21" s="148" t="s">
        <v>676</v>
      </c>
      <c r="C21" s="262" t="s">
        <v>406</v>
      </c>
      <c r="D21" s="136">
        <f>+D12+D17</f>
        <v>-8.0250000000000004</v>
      </c>
      <c r="E21" s="136">
        <f>+E12+E17</f>
        <v>-3.3570000000000007</v>
      </c>
      <c r="F21" s="136">
        <f>+F12+F17</f>
        <v>-11.382000000000001</v>
      </c>
      <c r="G21" s="171"/>
      <c r="H21" s="136">
        <f>+H12+H17</f>
        <v>-7.4269999999999996</v>
      </c>
      <c r="I21" s="136">
        <f>+I12+I17</f>
        <v>-7.3800000000000008</v>
      </c>
      <c r="J21" s="136">
        <f>+J12+J17</f>
        <v>-14.806999999999999</v>
      </c>
      <c r="K21" s="171"/>
      <c r="L21" s="136">
        <f>+L12+L17</f>
        <v>-8.1969999999999992</v>
      </c>
      <c r="M21" s="136">
        <f>+M12+M17</f>
        <v>-3.3860000000000001</v>
      </c>
      <c r="N21" s="136">
        <f>+N12+N17</f>
        <v>-11.583</v>
      </c>
      <c r="O21" s="171"/>
      <c r="P21" s="136">
        <f>+P12+P17</f>
        <v>-4.5860000000000003</v>
      </c>
      <c r="Q21" s="136">
        <f>+Q12+Q17</f>
        <v>-4.7059999999999995</v>
      </c>
      <c r="R21" s="136">
        <f>+R12+R17</f>
        <v>-9.2919999999999998</v>
      </c>
      <c r="S21" s="171"/>
      <c r="T21" s="136">
        <f>+T12+T17</f>
        <v>-4.5860000000000003</v>
      </c>
      <c r="U21" s="136">
        <f>+U12+U17</f>
        <v>-6.8059999999999983</v>
      </c>
      <c r="V21" s="136">
        <f>+V12+V17</f>
        <v>-11.391999999999999</v>
      </c>
      <c r="W21" s="310"/>
      <c r="X21" s="136">
        <f>+X12+X17</f>
        <v>-5.1680000000000001</v>
      </c>
      <c r="Y21" s="136">
        <f>+Y12+Y17</f>
        <v>-6.0329999999999995</v>
      </c>
      <c r="Z21" s="136">
        <f>+Z12+Z17</f>
        <v>-11.200999999999999</v>
      </c>
      <c r="AA21" s="136"/>
      <c r="AB21" s="136">
        <f>+AB12+AB17</f>
        <v>-9.3760000000000012</v>
      </c>
      <c r="AC21" s="136">
        <f>+AC12+AC17</f>
        <v>-8.6080000000000005</v>
      </c>
      <c r="AD21" s="136">
        <f>+AD12+AD17</f>
        <v>-17.984000000000002</v>
      </c>
      <c r="AE21" s="136"/>
      <c r="AF21" s="136">
        <f>+AF12+AF17</f>
        <v>-11.876999999999999</v>
      </c>
      <c r="AG21" s="136">
        <f>+AG12+AG17</f>
        <v>-11.112000000000002</v>
      </c>
      <c r="AH21" s="136">
        <f>+AH12+AH17</f>
        <v>-22.989000000000001</v>
      </c>
      <c r="AI21" s="566">
        <f>AF21+AG21-AH21</f>
        <v>0</v>
      </c>
      <c r="AJ21" s="136">
        <f>+AJ12+AJ17</f>
        <v>-13.403</v>
      </c>
      <c r="AK21" s="136">
        <f>+AK12+AK17</f>
        <v>-9.2059999999999995</v>
      </c>
      <c r="AL21" s="161">
        <f>+AL12+AL17</f>
        <v>-22.608999999999998</v>
      </c>
      <c r="AM21" s="566">
        <f>AJ21+AK21-AL21</f>
        <v>0</v>
      </c>
      <c r="AN21" s="136">
        <f>+AN12+AN17</f>
        <v>-13.956999999999999</v>
      </c>
      <c r="AO21" s="136">
        <f>+AO12+AO17</f>
        <v>-9.7540000000000013</v>
      </c>
      <c r="AP21" s="161">
        <f>+AP12+AP17</f>
        <v>-23.710999999999999</v>
      </c>
      <c r="AQ21" s="566">
        <f>AN21+AO21-AP21</f>
        <v>0</v>
      </c>
      <c r="AR21" s="136">
        <f t="shared" ref="AR21:AT21" si="62">+AR12+AR17</f>
        <v>-13.286159999999999</v>
      </c>
      <c r="AS21" s="136">
        <f t="shared" si="62"/>
        <v>-9.9407300000000021</v>
      </c>
      <c r="AT21" s="136">
        <f t="shared" si="62"/>
        <v>-23.226890000000001</v>
      </c>
      <c r="AU21" s="566">
        <f>AR21+AS21-AT21</f>
        <v>0</v>
      </c>
      <c r="AV21" s="136">
        <f t="shared" ref="AV21:AX21" si="63">+AV12+AV17</f>
        <v>-14.293585249999998</v>
      </c>
      <c r="AW21" s="136">
        <f t="shared" si="63"/>
        <v>-10.076746688750001</v>
      </c>
      <c r="AX21" s="136">
        <f t="shared" si="63"/>
        <v>-24.370331938749999</v>
      </c>
      <c r="AY21" s="566">
        <f>AV21+AW21-AX21</f>
        <v>0</v>
      </c>
      <c r="AZ21" s="136">
        <f t="shared" ref="AZ21:BB21" si="64">+AZ12+AZ17</f>
        <v>-14.494698353581246</v>
      </c>
      <c r="BA21" s="136">
        <f t="shared" si="64"/>
        <v>-10.214407853784969</v>
      </c>
      <c r="BB21" s="136">
        <f t="shared" si="64"/>
        <v>-24.709106207366212</v>
      </c>
      <c r="BC21" s="566">
        <f>AZ21+BA21-BB21</f>
        <v>0</v>
      </c>
      <c r="BD21" s="136">
        <f t="shared" ref="BD21:BF21" si="65">+BD12+BD17</f>
        <v>-14.698426443059237</v>
      </c>
      <c r="BE21" s="136">
        <f t="shared" si="65"/>
        <v>-10.353726199978631</v>
      </c>
      <c r="BF21" s="136">
        <f t="shared" si="65"/>
        <v>-25.052152643037868</v>
      </c>
      <c r="BG21" s="566">
        <f>BD21+BE21-BF21</f>
        <v>0</v>
      </c>
      <c r="BH21" s="136">
        <f t="shared" ref="BH21:BJ21" si="66">+BH12+BH17</f>
        <v>-14.904796601517816</v>
      </c>
      <c r="BI21" s="136">
        <f t="shared" si="66"/>
        <v>-10.494714261218192</v>
      </c>
      <c r="BJ21" s="136">
        <f t="shared" si="66"/>
        <v>-25.399510862736008</v>
      </c>
      <c r="BK21" s="489">
        <f>BH21+BI21-BJ21</f>
        <v>0</v>
      </c>
      <c r="BL21" s="136">
        <f t="shared" ref="BL21:BN21" si="67">+BL12+BL17</f>
        <v>-15.113835951304065</v>
      </c>
      <c r="BM21" s="136">
        <f t="shared" si="67"/>
        <v>-10.637384386911396</v>
      </c>
      <c r="BN21" s="136">
        <f t="shared" si="67"/>
        <v>-25.751220338215461</v>
      </c>
      <c r="BO21" s="489">
        <f>BL21+BM21-BN21</f>
        <v>0</v>
      </c>
      <c r="BP21" s="136">
        <f t="shared" ref="BP21:BR21" si="68">+BP12+BP17</f>
        <v>-15.325571643525182</v>
      </c>
      <c r="BQ21" s="136">
        <f t="shared" si="68"/>
        <v>-10.781748727960897</v>
      </c>
      <c r="BR21" s="136">
        <f t="shared" si="68"/>
        <v>-26.107320371486079</v>
      </c>
      <c r="BS21" s="489">
        <f>BP21+BQ21-BR21</f>
        <v>0</v>
      </c>
      <c r="BT21" s="136">
        <f t="shared" ref="BT21:BV21" si="69">+BT12+BT17</f>
        <v>-15.540030847052577</v>
      </c>
      <c r="BU21" s="136">
        <f t="shared" si="69"/>
        <v>-10.927819222187946</v>
      </c>
      <c r="BV21" s="136">
        <f t="shared" si="69"/>
        <v>-26.467850069240519</v>
      </c>
      <c r="BW21" s="489">
        <f>BT21+BU21-BV21</f>
        <v>0</v>
      </c>
      <c r="BX21" s="136">
        <f t="shared" ref="BX21:BZ21" si="70">+BX12+BX17</f>
        <v>-15.757240737015614</v>
      </c>
      <c r="BY21" s="136">
        <f t="shared" si="70"/>
        <v>-11.075607579186872</v>
      </c>
      <c r="BZ21" s="136">
        <f t="shared" si="70"/>
        <v>-26.832848316202487</v>
      </c>
    </row>
    <row r="22" spans="1:78" s="140" customFormat="1" ht="14.4" customHeight="1">
      <c r="A22" s="540"/>
      <c r="B22" s="149" t="s">
        <v>677</v>
      </c>
      <c r="C22" s="323" t="s">
        <v>406</v>
      </c>
      <c r="D22" s="232">
        <f>+D20+D21</f>
        <v>38.600999999999949</v>
      </c>
      <c r="E22" s="232">
        <f>+E20+E21</f>
        <v>75.815000000000026</v>
      </c>
      <c r="F22" s="232">
        <f>+F20+F21</f>
        <v>114.416</v>
      </c>
      <c r="G22" s="171"/>
      <c r="H22" s="232">
        <f>+H20+H21</f>
        <v>48.386000000000017</v>
      </c>
      <c r="I22" s="232">
        <f>+I20+I21</f>
        <v>75.127000000000038</v>
      </c>
      <c r="J22" s="232">
        <f>+J20+J21</f>
        <v>123.51299999999993</v>
      </c>
      <c r="K22" s="171"/>
      <c r="L22" s="232">
        <f>+L20+L21</f>
        <v>52.275000000000006</v>
      </c>
      <c r="M22" s="232">
        <f>+M20+M21</f>
        <v>80.963000000000051</v>
      </c>
      <c r="N22" s="232">
        <f>+N20+N21</f>
        <v>133.23799999999997</v>
      </c>
      <c r="O22" s="171"/>
      <c r="P22" s="232">
        <f>+P20+P21</f>
        <v>60.447000000000045</v>
      </c>
      <c r="Q22" s="232">
        <f>+Q20+Q21</f>
        <v>75.714999999999989</v>
      </c>
      <c r="R22" s="232">
        <f>+R20+R21</f>
        <v>136.16200000000001</v>
      </c>
      <c r="S22" s="171"/>
      <c r="T22" s="232">
        <f>+T20+T21</f>
        <v>63.169000000000054</v>
      </c>
      <c r="U22" s="232">
        <f>+U20+U21</f>
        <v>89.814999999999984</v>
      </c>
      <c r="V22" s="232">
        <f>+V20+V21</f>
        <v>152.98399999999998</v>
      </c>
      <c r="W22" s="310"/>
      <c r="X22" s="232">
        <f>+X20+X21</f>
        <v>90.816000000000031</v>
      </c>
      <c r="Y22" s="232">
        <f>+Y20+Y21</f>
        <v>102.95299999999996</v>
      </c>
      <c r="Z22" s="232">
        <f>+Z20+Z21</f>
        <v>193.76900000000003</v>
      </c>
      <c r="AA22" s="136"/>
      <c r="AB22" s="232">
        <f>+AB20+AB21</f>
        <v>92.924000000000007</v>
      </c>
      <c r="AC22" s="232">
        <f>+AC20+AC21</f>
        <v>123.37200000000001</v>
      </c>
      <c r="AD22" s="232">
        <f>+AD20+AD21</f>
        <v>216.29599999999991</v>
      </c>
      <c r="AE22" s="136"/>
      <c r="AF22" s="232">
        <f>+AF20+AF21+3.33*0</f>
        <v>133.93799999999999</v>
      </c>
      <c r="AG22" s="232">
        <f>+AG20+AG21</f>
        <v>210.24100000000001</v>
      </c>
      <c r="AH22" s="232">
        <f>+AH20+AH21</f>
        <v>344.17900000000014</v>
      </c>
      <c r="AI22" s="566">
        <f>AF22+AG22-AH22</f>
        <v>0</v>
      </c>
      <c r="AJ22" s="232">
        <f>+AJ20+AJ21+3.33*0</f>
        <v>193.39700000000008</v>
      </c>
      <c r="AK22" s="232">
        <f>+AK20+AK21</f>
        <v>236.99700000000004</v>
      </c>
      <c r="AL22" s="232">
        <f>+AL20+AL21</f>
        <v>430.41600000000011</v>
      </c>
      <c r="AM22" s="566">
        <f>AJ22+AK22-AL22</f>
        <v>-2.199999999999136E-2</v>
      </c>
      <c r="AN22" s="232">
        <f>+AN20+AN21+3.33*0</f>
        <v>214.24300000000005</v>
      </c>
      <c r="AO22" s="232">
        <f>+AO20+AO21</f>
        <v>282.24599999999981</v>
      </c>
      <c r="AP22" s="232">
        <f>+AP20+AP21</f>
        <v>496.51099999999974</v>
      </c>
      <c r="AQ22" s="566">
        <f>AN22+AO22-AP22</f>
        <v>-2.1999999999877673E-2</v>
      </c>
      <c r="AR22" s="232">
        <f t="shared" ref="AR22:AT22" si="71">+AR20+AR21</f>
        <v>239.21875250000005</v>
      </c>
      <c r="AS22" s="232">
        <f t="shared" si="71"/>
        <v>301.25348500000007</v>
      </c>
      <c r="AT22" s="232">
        <f t="shared" si="71"/>
        <v>540.47223749999989</v>
      </c>
      <c r="AU22" s="566">
        <f>AR22+AS22-AT22</f>
        <v>0</v>
      </c>
      <c r="AV22" s="232">
        <f t="shared" ref="AV22:AX22" si="72">+AV20+AV21</f>
        <v>253.77307684961087</v>
      </c>
      <c r="AW22" s="232">
        <f t="shared" si="72"/>
        <v>323.04072824116923</v>
      </c>
      <c r="AX22" s="232">
        <f t="shared" si="72"/>
        <v>576.81380509078008</v>
      </c>
      <c r="AY22" s="566">
        <f>AV22+AW22-AX22</f>
        <v>0</v>
      </c>
      <c r="AZ22" s="232">
        <f t="shared" ref="AZ22:BB22" si="73">+AZ20+AZ21</f>
        <v>270.58035852509772</v>
      </c>
      <c r="BA22" s="232">
        <f t="shared" si="73"/>
        <v>344.40898186621092</v>
      </c>
      <c r="BB22" s="232">
        <f t="shared" si="73"/>
        <v>614.98934039130882</v>
      </c>
      <c r="BC22" s="566">
        <f>AZ22+BA22-BB22</f>
        <v>0</v>
      </c>
      <c r="BD22" s="232">
        <f t="shared" ref="BD22:BF22" si="74">+BD20+BD21</f>
        <v>280.79182049936276</v>
      </c>
      <c r="BE22" s="232">
        <f t="shared" si="74"/>
        <v>358.18486635572413</v>
      </c>
      <c r="BF22" s="232">
        <f t="shared" si="74"/>
        <v>638.97668685508654</v>
      </c>
      <c r="BG22" s="566">
        <f>BD22+BE22-BF22</f>
        <v>0</v>
      </c>
      <c r="BH22" s="232">
        <f t="shared" ref="BH22:BJ22" si="75">+BH20+BH21</f>
        <v>291.48353734868277</v>
      </c>
      <c r="BI22" s="232">
        <f t="shared" si="75"/>
        <v>372.61557657930121</v>
      </c>
      <c r="BJ22" s="232">
        <f t="shared" si="75"/>
        <v>664.09911392798404</v>
      </c>
      <c r="BK22" s="489">
        <f>BH22+BI22-BJ22</f>
        <v>0</v>
      </c>
      <c r="BL22" s="232">
        <f t="shared" ref="BL22:BN22" si="76">+BL20+BL21</f>
        <v>302.6794815838482</v>
      </c>
      <c r="BM22" s="232">
        <f t="shared" si="76"/>
        <v>387.73379959786126</v>
      </c>
      <c r="BN22" s="232">
        <f t="shared" si="76"/>
        <v>690.41328118170941</v>
      </c>
      <c r="BO22" s="489">
        <f>BL22+BM22-BN22</f>
        <v>0</v>
      </c>
      <c r="BP22" s="232">
        <f t="shared" ref="BP22:BR22" si="77">+BP20+BP21</f>
        <v>314.40486161390555</v>
      </c>
      <c r="BQ22" s="232">
        <f t="shared" si="77"/>
        <v>403.57389893701873</v>
      </c>
      <c r="BR22" s="232">
        <f t="shared" si="77"/>
        <v>717.97876055092422</v>
      </c>
      <c r="BS22" s="489">
        <f>BP22+BQ22-BR22</f>
        <v>0</v>
      </c>
      <c r="BT22" s="232">
        <f t="shared" ref="BT22:BV22" si="78">+BT20+BT21</f>
        <v>326.68618668848615</v>
      </c>
      <c r="BU22" s="232">
        <f t="shared" si="78"/>
        <v>420.17200203733648</v>
      </c>
      <c r="BV22" s="232">
        <f t="shared" si="78"/>
        <v>746.85818872582263</v>
      </c>
      <c r="BW22" s="489">
        <f>BT22+BU22-BV22</f>
        <v>0</v>
      </c>
      <c r="BX22" s="232">
        <f t="shared" ref="BX22:BZ22" si="79">+BX20+BX21</f>
        <v>339.55133529827975</v>
      </c>
      <c r="BY22" s="232">
        <f t="shared" si="79"/>
        <v>437.56609232390173</v>
      </c>
      <c r="BZ22" s="232">
        <f t="shared" si="79"/>
        <v>777.11742762218114</v>
      </c>
    </row>
    <row r="23" spans="1:78" s="140" customFormat="1" ht="14.4" customHeight="1">
      <c r="A23" s="149"/>
      <c r="B23" s="149" t="s">
        <v>681</v>
      </c>
      <c r="C23" s="323" t="s">
        <v>406</v>
      </c>
      <c r="D23" s="220">
        <f>+D22/D13</f>
        <v>0.18398775988789409</v>
      </c>
      <c r="E23" s="220">
        <f>+E22/E13</f>
        <v>0.31946182596567529</v>
      </c>
      <c r="F23" s="220">
        <f>+F22/F13</f>
        <v>0.25589379208853047</v>
      </c>
      <c r="G23" s="171"/>
      <c r="H23" s="220">
        <f>+H22/H13</f>
        <v>0.22531735166196351</v>
      </c>
      <c r="I23" s="220">
        <f>+I22/I13</f>
        <v>0.29847004652234549</v>
      </c>
      <c r="J23" s="220">
        <f>+J22/J13</f>
        <v>0.26479195117192933</v>
      </c>
      <c r="K23" s="171"/>
      <c r="L23" s="220">
        <f>+L22/L13</f>
        <v>0.22818941358267206</v>
      </c>
      <c r="M23" s="220">
        <f>+M22/M13</f>
        <v>0.30171009923718184</v>
      </c>
      <c r="N23" s="220">
        <f>+N22/N13</f>
        <v>0.26785114779276803</v>
      </c>
      <c r="O23" s="171"/>
      <c r="P23" s="220">
        <f>+P22/P13</f>
        <v>0.22586539323827473</v>
      </c>
      <c r="Q23" s="220">
        <f>+Q22/Q13</f>
        <v>0.27184664711098977</v>
      </c>
      <c r="R23" s="220">
        <f>+R22/R13</f>
        <v>0.24931474242188431</v>
      </c>
      <c r="S23" s="171"/>
      <c r="T23" s="220">
        <f>+T22/T13</f>
        <v>0.2300484358498126</v>
      </c>
      <c r="U23" s="220">
        <f>+U22/U13</f>
        <v>0.28638617413070167</v>
      </c>
      <c r="V23" s="220">
        <f>+V22/V13</f>
        <v>0.2600861944390136</v>
      </c>
      <c r="W23" s="310"/>
      <c r="X23" s="220">
        <f>+X22/X13</f>
        <v>0.29007097182207864</v>
      </c>
      <c r="Y23" s="220">
        <f>+Y22/Y13</f>
        <v>0.30082721420786412</v>
      </c>
      <c r="Z23" s="220">
        <f>+Z22/Z13</f>
        <v>0.29568833309171927</v>
      </c>
      <c r="AA23" s="136"/>
      <c r="AB23" s="220">
        <f>+AB22/AB13</f>
        <v>0.28308134735071999</v>
      </c>
      <c r="AC23" s="220">
        <f>+AC22/AC13</f>
        <v>0.33967781103129657</v>
      </c>
      <c r="AD23" s="220">
        <f>+AD22/AD13</f>
        <v>0.31280966994570913</v>
      </c>
      <c r="AE23" s="136"/>
      <c r="AF23" s="220">
        <f>+AF22/AF13</f>
        <v>0.28664984494481571</v>
      </c>
      <c r="AG23" s="220">
        <f>+AG22/AG13</f>
        <v>0.32496603360624954</v>
      </c>
      <c r="AH23" s="220">
        <f>+AH22/AH13</f>
        <v>0.30889791566446728</v>
      </c>
      <c r="AI23" s="568"/>
      <c r="AJ23" s="220">
        <f>+AJ22/AJ13</f>
        <v>0.3034749519438234</v>
      </c>
      <c r="AK23" s="220">
        <f>+AK22/AK13</f>
        <v>0.33963018533724854</v>
      </c>
      <c r="AL23" s="220">
        <f>+AL22/AL13</f>
        <v>0.32238339128129162</v>
      </c>
      <c r="AM23" s="568"/>
      <c r="AN23" s="220">
        <f>+AN22/AN13</f>
        <v>0.30001484369311093</v>
      </c>
      <c r="AO23" s="220">
        <f>+AO22/AO13</f>
        <v>0.35748383542211531</v>
      </c>
      <c r="AP23" s="220">
        <f>+AP22/AP13</f>
        <v>0.33020054333910798</v>
      </c>
      <c r="AQ23" s="568"/>
      <c r="AR23" s="220">
        <f>+AR22/AR13</f>
        <v>0.31259322873104789</v>
      </c>
      <c r="AS23" s="220">
        <f>+AS22/AS13</f>
        <v>0.36547704577399537</v>
      </c>
      <c r="AT23" s="220">
        <f>+AT22/AT13</f>
        <v>0.34001664495604306</v>
      </c>
      <c r="AU23" s="568"/>
      <c r="AV23" s="220">
        <f>+AV22/AV13</f>
        <v>0.31771270415492836</v>
      </c>
      <c r="AW23" s="220">
        <f>+AW22/AW13</f>
        <v>0.37425180949032105</v>
      </c>
      <c r="AX23" s="220">
        <f>+AX22/AX13</f>
        <v>0.34707795298645572</v>
      </c>
      <c r="AY23" s="568"/>
      <c r="AZ23" s="220">
        <f>+AZ22/AZ13</f>
        <v>0.32479709857568956</v>
      </c>
      <c r="BA23" s="220">
        <f>+BA22/BA13</f>
        <v>0.38176922994017759</v>
      </c>
      <c r="BB23" s="220">
        <f>+BB22/BB13</f>
        <v>0.35441695252191419</v>
      </c>
      <c r="BC23" s="568"/>
      <c r="BD23" s="220">
        <f>+BD22/BD13</f>
        <v>0.32480880920125593</v>
      </c>
      <c r="BE23" s="220">
        <f>+BE22/BE13</f>
        <v>0.38189082253940104</v>
      </c>
      <c r="BF23" s="220">
        <f>+BF22/BF13</f>
        <v>0.35451275514284919</v>
      </c>
      <c r="BG23" s="568"/>
      <c r="BH23" s="220">
        <f>+BH22/BH13</f>
        <v>0.32482281371270183</v>
      </c>
      <c r="BI23" s="220">
        <f>+BI22/BI13</f>
        <v>0.38201204437969566</v>
      </c>
      <c r="BJ23" s="220">
        <f>+BJ22/BJ13</f>
        <v>0.35460901168008258</v>
      </c>
      <c r="BK23" s="171"/>
      <c r="BL23" s="220">
        <f>+BL22/BL13</f>
        <v>0.32483914015573889</v>
      </c>
      <c r="BM23" s="220">
        <f>+BM22/BM13</f>
        <v>0.38213290615023437</v>
      </c>
      <c r="BN23" s="220">
        <f>+BN22/BN13</f>
        <v>0.35470573173115305</v>
      </c>
      <c r="BO23" s="171"/>
      <c r="BP23" s="220">
        <f>+BP22/BP13</f>
        <v>0.3248578161954111</v>
      </c>
      <c r="BQ23" s="220">
        <f>+BQ22/BQ13</f>
        <v>0.38225342140768653</v>
      </c>
      <c r="BR23" s="220">
        <f>+BR22/BR13</f>
        <v>0.3548029271103228</v>
      </c>
      <c r="BS23" s="171"/>
      <c r="BT23" s="220">
        <f>+BT22/BT13</f>
        <v>0.32487886904864716</v>
      </c>
      <c r="BU23" s="220">
        <f>+BU22/BU13</f>
        <v>0.38237360642249796</v>
      </c>
      <c r="BV23" s="220">
        <f>+BV22/BV13</f>
        <v>0.35490061172755877</v>
      </c>
      <c r="BW23" s="171"/>
      <c r="BX23" s="220">
        <f>+BX22/BX13</f>
        <v>0.32490232541992764</v>
      </c>
      <c r="BY23" s="220">
        <f>+BY22/BY13</f>
        <v>0.38249348002288719</v>
      </c>
      <c r="BZ23" s="220">
        <f>+BZ22/BZ13</f>
        <v>0.35499880146482454</v>
      </c>
    </row>
    <row r="24" spans="1:78" s="140" customFormat="1" ht="14.4" customHeight="1">
      <c r="A24" s="149"/>
      <c r="B24" s="149"/>
      <c r="G24" s="171"/>
      <c r="K24" s="171"/>
      <c r="O24" s="171"/>
      <c r="S24" s="171"/>
      <c r="W24" s="310"/>
      <c r="AA24" s="136"/>
      <c r="AE24" s="136"/>
      <c r="AI24" s="568"/>
      <c r="AM24" s="568"/>
      <c r="AQ24" s="568"/>
      <c r="AU24" s="568"/>
      <c r="AY24" s="568"/>
      <c r="BC24" s="568"/>
      <c r="BG24" s="568"/>
      <c r="BK24" s="171"/>
      <c r="BO24" s="171"/>
      <c r="BS24" s="171"/>
      <c r="BW24" s="171"/>
    </row>
    <row r="25" spans="1:78" s="161" customFormat="1">
      <c r="A25" s="148"/>
      <c r="B25" s="148" t="s">
        <v>400</v>
      </c>
      <c r="C25" s="262" t="s">
        <v>406</v>
      </c>
      <c r="D25" s="136">
        <f>+D236+D277+D318+D372+D431</f>
        <v>1.0658141036401503E-14</v>
      </c>
      <c r="E25" s="136">
        <f>F25-D25</f>
        <v>-7.0480000000000018</v>
      </c>
      <c r="F25" s="136">
        <f>+F236+F277+F318+F372+F431</f>
        <v>-7.0479999999999912</v>
      </c>
      <c r="G25" s="170"/>
      <c r="H25" s="136">
        <f>+H236+H277+H318+H372+H431</f>
        <v>-3.4499999999999975</v>
      </c>
      <c r="I25" s="136">
        <f>J25-H25</f>
        <v>-3.5580000000000114</v>
      </c>
      <c r="J25" s="136">
        <f>+J236+J277+J318+J372+J431</f>
        <v>-7.0080000000000089</v>
      </c>
      <c r="K25" s="170"/>
      <c r="L25" s="136">
        <f>+L236+L277+L318+L372+L431</f>
        <v>-3.772999999999989</v>
      </c>
      <c r="M25" s="136">
        <f>N25-L25</f>
        <v>-4.0870000000000273</v>
      </c>
      <c r="N25" s="136">
        <f>+N236+N277+N318+N372+N431</f>
        <v>-7.8600000000000163</v>
      </c>
      <c r="O25" s="170"/>
      <c r="P25" s="136">
        <f>+P236+P277+P318+P372+P431</f>
        <v>-5.200000000000025</v>
      </c>
      <c r="Q25" s="136">
        <f>R25-P25</f>
        <v>-4.2999999999999892</v>
      </c>
      <c r="R25" s="136">
        <f>+R236+R277+R318+R372+R431</f>
        <v>-9.5000000000000142</v>
      </c>
      <c r="S25" s="170"/>
      <c r="T25" s="136">
        <f>+T236+T277+T318+T372+T431</f>
        <v>-5.8000000000000256</v>
      </c>
      <c r="U25" s="136">
        <f>V25-T25</f>
        <v>-3.199999999999978</v>
      </c>
      <c r="V25" s="136">
        <f>+V236+V277+V318+V372+V431</f>
        <v>-9.0000000000000036</v>
      </c>
      <c r="W25" s="310"/>
      <c r="X25" s="136">
        <f>+X236+X277+X318+X372+X431</f>
        <v>-3.4910000000000077</v>
      </c>
      <c r="Y25" s="136">
        <f>Z25-X25</f>
        <v>-2.9489999999999617</v>
      </c>
      <c r="Z25" s="136">
        <f>+Z236+Z277+Z318+Z372+Z431</f>
        <v>-6.4399999999999693</v>
      </c>
      <c r="AA25" s="136"/>
      <c r="AB25" s="136">
        <f>+AB236+AB277+AB318+AB372+AB431</f>
        <v>-2.6999999999999869</v>
      </c>
      <c r="AC25" s="136">
        <f>AD25-AB25</f>
        <v>-2.5800000000000267</v>
      </c>
      <c r="AD25" s="136">
        <f>+AD236+AD277+AD318+AD372+AD431</f>
        <v>-5.2800000000000136</v>
      </c>
      <c r="AE25" s="136"/>
      <c r="AF25" s="136">
        <f>+AF236+AF277+AF318+AF372+AF431</f>
        <v>-2.8000000000000123</v>
      </c>
      <c r="AG25" s="136">
        <f>AH25-AF25</f>
        <v>-4.768000000000014</v>
      </c>
      <c r="AH25" s="136">
        <f>+AH236+AH277+AH318+AH372+AH431</f>
        <v>-7.5680000000000263</v>
      </c>
      <c r="AI25" s="566">
        <f>AF25+AG25-AH25</f>
        <v>0</v>
      </c>
      <c r="AJ25" s="136">
        <f>+AJ236+AJ277+AJ318+AJ372+AJ431</f>
        <v>-4.8000000000000078</v>
      </c>
      <c r="AK25" s="136">
        <f>AL25-AJ25</f>
        <v>-6.6930000000000476</v>
      </c>
      <c r="AL25" s="136">
        <f>+AL236+AL277+AL318+AL372+AL431</f>
        <v>-11.493000000000055</v>
      </c>
      <c r="AM25" s="566">
        <f>AJ25+AK25-AL25</f>
        <v>0</v>
      </c>
      <c r="AN25" s="136">
        <f>+AN236+AN277+AN318+AN372+AN431</f>
        <v>-6.8000000000000611</v>
      </c>
      <c r="AO25" s="136">
        <f>AP25-AN25</f>
        <v>-6.1999999999999815</v>
      </c>
      <c r="AP25" s="136">
        <f>+AP236+AP277+AP318+AP372+AP431</f>
        <v>-13.000000000000043</v>
      </c>
      <c r="AQ25" s="566">
        <f>AN25+AO25-AP25</f>
        <v>0</v>
      </c>
      <c r="AR25" s="136">
        <f>+AR236+AR277+AR318+AR372+AR431</f>
        <v>-6.1999999999999602</v>
      </c>
      <c r="AS25" s="136">
        <f>+AS236+AS277+AS318+AS372+AS431</f>
        <v>-6.1999999999999602</v>
      </c>
      <c r="AT25" s="136">
        <f t="shared" ref="AT25" si="80">+AS25+AR25</f>
        <v>-12.39999999999992</v>
      </c>
      <c r="AU25" s="566">
        <f>AR25+AS25-AT25</f>
        <v>0</v>
      </c>
      <c r="AV25" s="136">
        <f>+AV236+AV277+AV318+AV372+AV431</f>
        <v>-6.0759999999999605</v>
      </c>
      <c r="AW25" s="136">
        <f>+AW236+AW277+AW318+AW372+AW431</f>
        <v>-6.0759999999999605</v>
      </c>
      <c r="AX25" s="136">
        <f t="shared" ref="AX25" si="81">+AW25+AV25</f>
        <v>-12.151999999999921</v>
      </c>
      <c r="AY25" s="566">
        <f>AV25+AW25-AX25</f>
        <v>0</v>
      </c>
      <c r="AZ25" s="136">
        <f>+AZ236+AZ277+AZ318+AZ372+AZ431</f>
        <v>-5.9544799999999611</v>
      </c>
      <c r="BA25" s="136">
        <f>+BA236+BA277+BA318+BA372+BA431</f>
        <v>-5.9544799999999611</v>
      </c>
      <c r="BB25" s="136">
        <f t="shared" ref="BB25" si="82">+BA25+AZ25</f>
        <v>-11.908959999999922</v>
      </c>
      <c r="BC25" s="566">
        <f>AZ25+BA25-BB25</f>
        <v>0</v>
      </c>
      <c r="BD25" s="136">
        <f>+BD236+BD277+BD318+BD372+BD431</f>
        <v>-5.9544799999999611</v>
      </c>
      <c r="BE25" s="136">
        <f>+BE236+BE277+BE318+BE372+BE431</f>
        <v>-5.9544799999999611</v>
      </c>
      <c r="BF25" s="136">
        <f t="shared" ref="BF25" si="83">+BE25+BD25</f>
        <v>-11.908959999999922</v>
      </c>
      <c r="BG25" s="566">
        <f>BD25+BE25-BF25</f>
        <v>0</v>
      </c>
      <c r="BH25" s="136">
        <f>+BH236+BH277+BH318+BH372+BH431</f>
        <v>-5.9544799999999611</v>
      </c>
      <c r="BI25" s="136">
        <f>+BI236+BI277+BI318+BI372+BI431</f>
        <v>-5.9544799999999611</v>
      </c>
      <c r="BJ25" s="136">
        <f t="shared" ref="BJ25" si="84">+BI25+BH25</f>
        <v>-11.908959999999922</v>
      </c>
      <c r="BK25" s="489">
        <f>BH25+BI25-BJ25</f>
        <v>0</v>
      </c>
      <c r="BL25" s="136">
        <f>+BL236+BL277+BL318+BL372+BL431</f>
        <v>-5.9544799999999611</v>
      </c>
      <c r="BM25" s="136">
        <f>+BM236+BM277+BM318+BM372+BM431</f>
        <v>-5.9544799999999611</v>
      </c>
      <c r="BN25" s="136">
        <f t="shared" ref="BN25" si="85">+BM25+BL25</f>
        <v>-11.908959999999922</v>
      </c>
      <c r="BO25" s="489">
        <f>BL25+BM25-BN25</f>
        <v>0</v>
      </c>
      <c r="BP25" s="136">
        <f>+BP236+BP277+BP318+BP372+BP431</f>
        <v>-5.9544799999999611</v>
      </c>
      <c r="BQ25" s="136">
        <f>+BQ236+BQ277+BQ318+BQ372+BQ431</f>
        <v>-5.9544799999999611</v>
      </c>
      <c r="BR25" s="136">
        <f t="shared" ref="BR25" si="86">+BQ25+BP25</f>
        <v>-11.908959999999922</v>
      </c>
      <c r="BS25" s="489">
        <f>BP25+BQ25-BR25</f>
        <v>0</v>
      </c>
      <c r="BT25" s="136">
        <f>+BT236+BT277+BT318+BT372+BT431</f>
        <v>-5.9544799999999611</v>
      </c>
      <c r="BU25" s="136">
        <f>+BU236+BU277+BU318+BU372+BU431</f>
        <v>-5.9544799999999611</v>
      </c>
      <c r="BV25" s="136">
        <f t="shared" ref="BV25" si="87">+BU25+BT25</f>
        <v>-11.908959999999922</v>
      </c>
      <c r="BW25" s="489">
        <f>BT25+BU25-BV25</f>
        <v>0</v>
      </c>
      <c r="BX25" s="136">
        <f>+BX236+BX277+BX318+BX372+BX431</f>
        <v>-5.9544799999999611</v>
      </c>
      <c r="BY25" s="136">
        <f>+BY236+BY277+BY318+BY372+BY431</f>
        <v>-5.9544799999999611</v>
      </c>
      <c r="BZ25" s="136">
        <f t="shared" ref="BZ25" si="88">+BY25+BX25</f>
        <v>-11.908959999999922</v>
      </c>
    </row>
    <row r="26" spans="1:78" s="161" customFormat="1">
      <c r="A26" s="148"/>
      <c r="B26" s="148" t="s">
        <v>401</v>
      </c>
      <c r="C26" s="262" t="s">
        <v>406</v>
      </c>
      <c r="D26" s="136">
        <f t="shared" ref="D26" si="89">+D465</f>
        <v>0</v>
      </c>
      <c r="E26" s="136">
        <f>F26-D26</f>
        <v>0</v>
      </c>
      <c r="F26" s="136">
        <f t="shared" ref="F26" si="90">+F465</f>
        <v>0</v>
      </c>
      <c r="G26" s="170"/>
      <c r="H26" s="136">
        <f t="shared" ref="H26" si="91">+H465</f>
        <v>0</v>
      </c>
      <c r="I26" s="136">
        <f>J26-H26</f>
        <v>0</v>
      </c>
      <c r="J26" s="136">
        <f t="shared" ref="J26" si="92">+J465</f>
        <v>0</v>
      </c>
      <c r="K26" s="170"/>
      <c r="L26" s="136">
        <f t="shared" ref="L26" si="93">+L465</f>
        <v>0</v>
      </c>
      <c r="M26" s="136">
        <f>N26-L26</f>
        <v>0</v>
      </c>
      <c r="N26" s="136">
        <f t="shared" ref="N26" si="94">+N465</f>
        <v>0</v>
      </c>
      <c r="O26" s="170"/>
      <c r="P26" s="136">
        <f t="shared" ref="P26" si="95">+P465</f>
        <v>0</v>
      </c>
      <c r="Q26" s="136">
        <f>R26-P26</f>
        <v>0</v>
      </c>
      <c r="R26" s="136">
        <f t="shared" ref="R26" si="96">+R465</f>
        <v>0</v>
      </c>
      <c r="S26" s="170"/>
      <c r="T26" s="136">
        <f t="shared" ref="T26" si="97">+T465</f>
        <v>0</v>
      </c>
      <c r="U26" s="136">
        <f>V26-T26</f>
        <v>0</v>
      </c>
      <c r="V26" s="136">
        <f t="shared" ref="V26" si="98">+V465</f>
        <v>0</v>
      </c>
      <c r="W26" s="310"/>
      <c r="X26" s="136">
        <f t="shared" ref="X26" si="99">+X465</f>
        <v>-2.5419999999999998</v>
      </c>
      <c r="Y26" s="136">
        <f>Z26-X26</f>
        <v>-2.3500000000000005</v>
      </c>
      <c r="Z26" s="136">
        <f t="shared" ref="Z26" si="100">+Z465</f>
        <v>-4.8920000000000003</v>
      </c>
      <c r="AA26" s="136"/>
      <c r="AB26" s="136">
        <f>+AB465</f>
        <v>-2.395</v>
      </c>
      <c r="AC26" s="136">
        <f>AD26-AB26</f>
        <v>-1.9140000000000001</v>
      </c>
      <c r="AD26" s="136">
        <f>+AD465</f>
        <v>-4.3090000000000002</v>
      </c>
      <c r="AE26" s="136"/>
      <c r="AF26" s="136">
        <f>+AF465</f>
        <v>-12.787000000000001</v>
      </c>
      <c r="AG26" s="136">
        <f>AH26-AF26</f>
        <v>-27.058</v>
      </c>
      <c r="AH26" s="136">
        <f>+AH465</f>
        <v>-39.844999999999999</v>
      </c>
      <c r="AI26" s="566">
        <f>AF26+AG26-AH26</f>
        <v>0</v>
      </c>
      <c r="AJ26" s="136">
        <f>+AJ465</f>
        <v>-25.295999999999999</v>
      </c>
      <c r="AK26" s="136">
        <f>AL26-AJ26</f>
        <v>-22.146000000000001</v>
      </c>
      <c r="AL26" s="136">
        <f>+AL465</f>
        <v>-47.442</v>
      </c>
      <c r="AM26" s="566">
        <f>AJ26+AK26-AL26</f>
        <v>0</v>
      </c>
      <c r="AN26" s="136">
        <f>+AN465</f>
        <v>-21.731000000000002</v>
      </c>
      <c r="AO26" s="136">
        <f>AP26-AN26</f>
        <v>-24.597999999999999</v>
      </c>
      <c r="AP26" s="136">
        <f>+AP465</f>
        <v>-46.329000000000001</v>
      </c>
      <c r="AQ26" s="566">
        <f>AN26+AO26-AP26</f>
        <v>0</v>
      </c>
      <c r="AR26" s="136">
        <f t="shared" ref="AR26:AT26" si="101">+AR465</f>
        <v>-24.597999999999999</v>
      </c>
      <c r="AS26" s="136">
        <f t="shared" si="101"/>
        <v>-24.597999999999999</v>
      </c>
      <c r="AT26" s="136">
        <f t="shared" si="101"/>
        <v>-49.195999999999998</v>
      </c>
      <c r="AU26" s="566">
        <f>AR26+AS26-AT26</f>
        <v>0</v>
      </c>
      <c r="AV26" s="136">
        <f t="shared" ref="AV26:AX26" si="102">+AV465</f>
        <v>-24.10604</v>
      </c>
      <c r="AW26" s="136">
        <f t="shared" si="102"/>
        <v>-24.10604</v>
      </c>
      <c r="AX26" s="136">
        <f t="shared" si="102"/>
        <v>-48.21208</v>
      </c>
      <c r="AY26" s="566">
        <f>AV26+AW26-AX26</f>
        <v>0</v>
      </c>
      <c r="AZ26" s="136">
        <f t="shared" ref="AZ26:BB26" si="103">+AZ465</f>
        <v>-23.6239192</v>
      </c>
      <c r="BA26" s="136">
        <f t="shared" si="103"/>
        <v>-23.6239192</v>
      </c>
      <c r="BB26" s="136">
        <f t="shared" si="103"/>
        <v>-47.247838399999999</v>
      </c>
      <c r="BC26" s="566">
        <f>AZ26+BA26-BB26</f>
        <v>0</v>
      </c>
      <c r="BD26" s="136">
        <f t="shared" ref="BD26:BF26" si="104">+BD465</f>
        <v>-23.6239192</v>
      </c>
      <c r="BE26" s="136">
        <f t="shared" si="104"/>
        <v>-23.6239192</v>
      </c>
      <c r="BF26" s="136">
        <f t="shared" si="104"/>
        <v>-47.247838399999999</v>
      </c>
      <c r="BG26" s="566">
        <f>BD26+BE26-BF26</f>
        <v>0</v>
      </c>
      <c r="BH26" s="136">
        <f t="shared" ref="BH26:BJ26" si="105">+BH465</f>
        <v>-23.6239192</v>
      </c>
      <c r="BI26" s="136">
        <f t="shared" si="105"/>
        <v>-23.6239192</v>
      </c>
      <c r="BJ26" s="136">
        <f t="shared" si="105"/>
        <v>-47.247838399999999</v>
      </c>
      <c r="BK26" s="489">
        <f>BH26+BI26-BJ26</f>
        <v>0</v>
      </c>
      <c r="BL26" s="136">
        <f t="shared" ref="BL26:BN26" si="106">+BL465</f>
        <v>-23.6239192</v>
      </c>
      <c r="BM26" s="136">
        <f t="shared" si="106"/>
        <v>-23.6239192</v>
      </c>
      <c r="BN26" s="136">
        <f t="shared" si="106"/>
        <v>-47.247838399999999</v>
      </c>
      <c r="BO26" s="489">
        <f>BL26+BM26-BN26</f>
        <v>0</v>
      </c>
      <c r="BP26" s="136">
        <f t="shared" ref="BP26:BR26" si="107">+BP465</f>
        <v>-23.6239192</v>
      </c>
      <c r="BQ26" s="136">
        <f t="shared" si="107"/>
        <v>-23.6239192</v>
      </c>
      <c r="BR26" s="136">
        <f t="shared" si="107"/>
        <v>-47.247838399999999</v>
      </c>
      <c r="BS26" s="489">
        <f>BP26+BQ26-BR26</f>
        <v>0</v>
      </c>
      <c r="BT26" s="136">
        <f t="shared" ref="BT26:BV26" si="108">+BT465</f>
        <v>-23.6239192</v>
      </c>
      <c r="BU26" s="136">
        <f t="shared" si="108"/>
        <v>-23.6239192</v>
      </c>
      <c r="BV26" s="136">
        <f t="shared" si="108"/>
        <v>-47.247838399999999</v>
      </c>
      <c r="BW26" s="489">
        <f>BT26+BU26-BV26</f>
        <v>0</v>
      </c>
      <c r="BX26" s="136">
        <f t="shared" ref="BX26:BZ26" si="109">+BX465</f>
        <v>-23.6239192</v>
      </c>
      <c r="BY26" s="136">
        <f t="shared" si="109"/>
        <v>-23.6239192</v>
      </c>
      <c r="BZ26" s="136">
        <f t="shared" si="109"/>
        <v>-47.247838399999999</v>
      </c>
    </row>
    <row r="27" spans="1:78" s="161" customFormat="1">
      <c r="A27" s="148"/>
      <c r="B27" s="148"/>
      <c r="D27" s="264"/>
      <c r="E27" s="136"/>
      <c r="F27" s="264"/>
      <c r="G27" s="170"/>
      <c r="H27" s="264"/>
      <c r="I27" s="136"/>
      <c r="J27" s="264"/>
      <c r="K27" s="170"/>
      <c r="L27" s="264"/>
      <c r="M27" s="136"/>
      <c r="N27" s="264"/>
      <c r="O27" s="170"/>
      <c r="P27" s="264"/>
      <c r="Q27" s="136"/>
      <c r="R27" s="264"/>
      <c r="S27" s="170"/>
      <c r="T27" s="264"/>
      <c r="U27" s="136"/>
      <c r="V27" s="264"/>
      <c r="W27" s="310"/>
      <c r="X27" s="264"/>
      <c r="Y27" s="136"/>
      <c r="Z27" s="264"/>
      <c r="AA27" s="136"/>
      <c r="AB27" s="264"/>
      <c r="AC27" s="136"/>
      <c r="AD27" s="264"/>
      <c r="AE27" s="136"/>
      <c r="AF27" s="264"/>
      <c r="AG27" s="136"/>
      <c r="AH27" s="264"/>
      <c r="AI27" s="569"/>
      <c r="AJ27" s="264"/>
      <c r="AK27" s="136"/>
      <c r="AL27" s="264"/>
      <c r="AM27" s="569"/>
      <c r="AN27" s="264"/>
      <c r="AO27" s="136"/>
      <c r="AP27" s="264"/>
      <c r="AQ27" s="569"/>
      <c r="AR27" s="264"/>
      <c r="AS27" s="136"/>
      <c r="AT27" s="136"/>
      <c r="AU27" s="569"/>
      <c r="AV27" s="264"/>
      <c r="AW27" s="136"/>
      <c r="AX27" s="136"/>
      <c r="AY27" s="569"/>
      <c r="AZ27" s="264"/>
      <c r="BA27" s="136"/>
      <c r="BB27" s="136"/>
      <c r="BC27" s="569"/>
      <c r="BD27" s="264"/>
      <c r="BE27" s="136"/>
      <c r="BF27" s="136"/>
      <c r="BG27" s="569"/>
      <c r="BH27" s="264"/>
      <c r="BI27" s="136"/>
      <c r="BJ27" s="136"/>
      <c r="BK27" s="170"/>
      <c r="BL27" s="264"/>
      <c r="BM27" s="136"/>
      <c r="BN27" s="136"/>
      <c r="BO27" s="170"/>
      <c r="BP27" s="264"/>
      <c r="BQ27" s="136"/>
      <c r="BR27" s="136"/>
      <c r="BS27" s="170"/>
      <c r="BT27" s="264"/>
      <c r="BU27" s="136"/>
      <c r="BV27" s="136"/>
      <c r="BW27" s="170"/>
      <c r="BX27" s="264"/>
      <c r="BY27" s="136"/>
      <c r="BZ27" s="136"/>
    </row>
    <row r="28" spans="1:78" s="161" customFormat="1">
      <c r="A28" s="148"/>
      <c r="B28" s="149" t="s">
        <v>162</v>
      </c>
      <c r="C28" s="323" t="s">
        <v>406</v>
      </c>
      <c r="D28" s="298">
        <f>D25+D22+D26</f>
        <v>38.600999999999956</v>
      </c>
      <c r="E28" s="298">
        <f>E25+E22+E26</f>
        <v>68.767000000000024</v>
      </c>
      <c r="F28" s="298">
        <f>F25+F22+F26</f>
        <v>107.36800000000001</v>
      </c>
      <c r="G28" s="170"/>
      <c r="H28" s="298">
        <f>H25+H22+H26</f>
        <v>44.936000000000021</v>
      </c>
      <c r="I28" s="298">
        <f>I25+I22+I26</f>
        <v>71.569000000000031</v>
      </c>
      <c r="J28" s="298">
        <f>J25+J22+J26</f>
        <v>116.50499999999992</v>
      </c>
      <c r="K28" s="170"/>
      <c r="L28" s="298">
        <f>L25+L22+L26</f>
        <v>48.502000000000017</v>
      </c>
      <c r="M28" s="298">
        <f>M25+M22+M26</f>
        <v>76.876000000000019</v>
      </c>
      <c r="N28" s="298">
        <f>N25+N22+N26</f>
        <v>125.37799999999996</v>
      </c>
      <c r="O28" s="170"/>
      <c r="P28" s="298">
        <f>P25+P22+P26</f>
        <v>55.247000000000021</v>
      </c>
      <c r="Q28" s="298">
        <f>Q25+Q22+Q26</f>
        <v>71.415000000000006</v>
      </c>
      <c r="R28" s="298">
        <f>R25+R22+R26</f>
        <v>126.66199999999999</v>
      </c>
      <c r="S28" s="170"/>
      <c r="T28" s="298">
        <f>T25+T22+T26</f>
        <v>57.369000000000028</v>
      </c>
      <c r="U28" s="298">
        <f>U25+U22+U26</f>
        <v>86.615000000000009</v>
      </c>
      <c r="V28" s="298">
        <f>V25+V22+V26</f>
        <v>143.98399999999998</v>
      </c>
      <c r="W28" s="310"/>
      <c r="X28" s="298">
        <f>X25+X22+X26</f>
        <v>84.783000000000015</v>
      </c>
      <c r="Y28" s="298">
        <f>Y25+Y22+Y26</f>
        <v>97.654000000000011</v>
      </c>
      <c r="Z28" s="298">
        <f>Z25+Z22+Z26</f>
        <v>182.43700000000007</v>
      </c>
      <c r="AA28" s="136"/>
      <c r="AB28" s="298">
        <f>AB25+AB22+AB26</f>
        <v>87.829000000000022</v>
      </c>
      <c r="AC28" s="298">
        <f>AC25+AC22+AC26</f>
        <v>118.87799999999999</v>
      </c>
      <c r="AD28" s="298">
        <f>AD25+AD22+AD26</f>
        <v>206.70699999999991</v>
      </c>
      <c r="AE28" s="136"/>
      <c r="AF28" s="298">
        <f>AF25+AF22+AF26</f>
        <v>118.35099999999997</v>
      </c>
      <c r="AG28" s="298">
        <f>AG25+AG22+AG26</f>
        <v>178.41500000000002</v>
      </c>
      <c r="AH28" s="298">
        <f>AH25+AH22+AH26</f>
        <v>296.76600000000008</v>
      </c>
      <c r="AI28" s="566">
        <f>AF28+AG28-AH28</f>
        <v>0</v>
      </c>
      <c r="AJ28" s="298">
        <f>AJ25+AJ22+AJ26</f>
        <v>163.30100000000007</v>
      </c>
      <c r="AK28" s="298">
        <f>AK25+AK22+AK26</f>
        <v>208.15800000000002</v>
      </c>
      <c r="AL28" s="298">
        <f>AL25+AL22+AL26</f>
        <v>371.48100000000005</v>
      </c>
      <c r="AM28" s="566">
        <f>AJ28+AK28-AL28</f>
        <v>-2.199999999999136E-2</v>
      </c>
      <c r="AN28" s="298">
        <f>AN25+AN22+AN26</f>
        <v>185.71199999999999</v>
      </c>
      <c r="AO28" s="298">
        <f>AO25+AO22+AO26</f>
        <v>251.44799999999981</v>
      </c>
      <c r="AP28" s="298">
        <f>AP25+AP22+AP26</f>
        <v>437.18199999999968</v>
      </c>
      <c r="AQ28" s="566">
        <f>AN28+AO28-AP28</f>
        <v>-2.1999999999877673E-2</v>
      </c>
      <c r="AR28" s="298">
        <f>AR25+AR22+AR26</f>
        <v>208.42075250000011</v>
      </c>
      <c r="AS28" s="298">
        <f>AS25+AS22+AS26</f>
        <v>270.45548500000012</v>
      </c>
      <c r="AT28" s="298">
        <f>AT25+AT22+AT26</f>
        <v>478.8762375</v>
      </c>
      <c r="AU28" s="566">
        <f>AR28+AS28-AT28</f>
        <v>0</v>
      </c>
      <c r="AV28" s="298">
        <f>AV25+AV22+AV26</f>
        <v>223.5910368496109</v>
      </c>
      <c r="AW28" s="298">
        <f>AW25+AW22+AW26</f>
        <v>292.85868824116926</v>
      </c>
      <c r="AX28" s="298">
        <f>AX25+AX22+AX26</f>
        <v>516.44972509078013</v>
      </c>
      <c r="AY28" s="566">
        <f>AV28+AW28-AX28</f>
        <v>0</v>
      </c>
      <c r="AZ28" s="298">
        <f>AZ25+AZ22+AZ26</f>
        <v>241.00195932509774</v>
      </c>
      <c r="BA28" s="298">
        <f>BA25+BA22+BA26</f>
        <v>314.830582666211</v>
      </c>
      <c r="BB28" s="298">
        <f>BB25+BB22+BB26</f>
        <v>555.83254199130886</v>
      </c>
      <c r="BC28" s="566">
        <f>AZ28+BA28-BB28</f>
        <v>0</v>
      </c>
      <c r="BD28" s="298">
        <f>BD25+BD22+BD26</f>
        <v>251.21342129936278</v>
      </c>
      <c r="BE28" s="298">
        <f>BE25+BE22+BE26</f>
        <v>328.60646715572415</v>
      </c>
      <c r="BF28" s="298">
        <f>BF25+BF22+BF26</f>
        <v>579.8198884550867</v>
      </c>
      <c r="BG28" s="566">
        <f>BD28+BE28-BF28</f>
        <v>0</v>
      </c>
      <c r="BH28" s="298">
        <f>BH25+BH22+BH26</f>
        <v>261.90513814868285</v>
      </c>
      <c r="BI28" s="298">
        <f>BI25+BI22+BI26</f>
        <v>343.03717737930123</v>
      </c>
      <c r="BJ28" s="298">
        <f>BJ25+BJ22+BJ26</f>
        <v>604.94231552798408</v>
      </c>
      <c r="BK28" s="489">
        <f>BH28+BI28-BJ28</f>
        <v>0</v>
      </c>
      <c r="BL28" s="298">
        <f>BL25+BL22+BL26</f>
        <v>273.10108238384822</v>
      </c>
      <c r="BM28" s="298">
        <f>BM25+BM22+BM26</f>
        <v>358.15540039786134</v>
      </c>
      <c r="BN28" s="298">
        <f>BN25+BN22+BN26</f>
        <v>631.25648278170945</v>
      </c>
      <c r="BO28" s="489">
        <f>BL28+BM28-BN28</f>
        <v>0</v>
      </c>
      <c r="BP28" s="298">
        <f>BP25+BP22+BP26</f>
        <v>284.82646241390563</v>
      </c>
      <c r="BQ28" s="298">
        <f>BQ25+BQ22+BQ26</f>
        <v>373.99549973701875</v>
      </c>
      <c r="BR28" s="298">
        <f>BR25+BR22+BR26</f>
        <v>658.82196215092438</v>
      </c>
      <c r="BS28" s="489">
        <f>BP28+BQ28-BR28</f>
        <v>0</v>
      </c>
      <c r="BT28" s="298">
        <f>BT25+BT22+BT26</f>
        <v>297.10778748848617</v>
      </c>
      <c r="BU28" s="298">
        <f>BU25+BU22+BU26</f>
        <v>390.5936028373365</v>
      </c>
      <c r="BV28" s="298">
        <f>BV25+BV22+BV26</f>
        <v>687.70139032582267</v>
      </c>
      <c r="BW28" s="489">
        <f>BT28+BU28-BV28</f>
        <v>0</v>
      </c>
      <c r="BX28" s="298">
        <f>BX25+BX22+BX26</f>
        <v>309.97293609827983</v>
      </c>
      <c r="BY28" s="298">
        <f>BY25+BY22+BY26</f>
        <v>407.98769312390181</v>
      </c>
      <c r="BZ28" s="298">
        <f>BZ25+BZ22+BZ26</f>
        <v>717.96062922218118</v>
      </c>
    </row>
    <row r="29" spans="1:78" s="161" customFormat="1">
      <c r="A29" s="148"/>
      <c r="B29" s="148"/>
      <c r="D29" s="340"/>
      <c r="E29" s="340"/>
      <c r="F29" s="340"/>
      <c r="G29" s="309"/>
      <c r="H29" s="340"/>
      <c r="I29" s="340"/>
      <c r="J29" s="340"/>
      <c r="K29" s="309"/>
      <c r="L29" s="340"/>
      <c r="M29" s="340"/>
      <c r="N29" s="340"/>
      <c r="O29" s="309"/>
      <c r="P29" s="340"/>
      <c r="Q29" s="340"/>
      <c r="R29" s="340"/>
      <c r="S29" s="309"/>
      <c r="T29" s="340"/>
      <c r="U29" s="340"/>
      <c r="V29" s="340"/>
      <c r="W29" s="310"/>
      <c r="X29" s="340"/>
      <c r="Y29" s="340"/>
      <c r="Z29" s="340"/>
      <c r="AA29" s="136"/>
      <c r="AB29" s="340"/>
      <c r="AC29" s="340"/>
      <c r="AD29" s="340"/>
      <c r="AE29" s="136"/>
      <c r="AF29" s="340"/>
      <c r="AG29" s="340"/>
      <c r="AH29" s="340"/>
      <c r="AI29" s="569"/>
      <c r="AJ29" s="340"/>
      <c r="AK29" s="340"/>
      <c r="AL29" s="340"/>
      <c r="AM29" s="569"/>
      <c r="AN29" s="340"/>
      <c r="AO29" s="340"/>
      <c r="AP29" s="340"/>
      <c r="AQ29" s="569"/>
      <c r="AR29" s="173"/>
      <c r="AS29" s="173"/>
      <c r="AT29" s="173"/>
      <c r="AU29" s="569"/>
      <c r="AV29" s="173"/>
      <c r="AW29" s="173"/>
      <c r="AX29" s="173"/>
      <c r="AY29" s="569"/>
      <c r="AZ29" s="173"/>
      <c r="BA29" s="173"/>
      <c r="BB29" s="173"/>
      <c r="BC29" s="569"/>
      <c r="BD29" s="173"/>
      <c r="BE29" s="173"/>
      <c r="BF29" s="173"/>
      <c r="BG29" s="569"/>
      <c r="BH29" s="173"/>
      <c r="BI29" s="173"/>
      <c r="BJ29" s="173"/>
      <c r="BK29" s="170"/>
      <c r="BL29" s="173"/>
      <c r="BM29" s="173"/>
      <c r="BN29" s="173"/>
      <c r="BO29" s="170"/>
      <c r="BP29" s="173"/>
      <c r="BQ29" s="173"/>
      <c r="BR29" s="173"/>
      <c r="BS29" s="170"/>
      <c r="BT29" s="173"/>
      <c r="BU29" s="173"/>
      <c r="BV29" s="173"/>
      <c r="BW29" s="170"/>
      <c r="BX29" s="173"/>
      <c r="BY29" s="173"/>
      <c r="BZ29" s="173"/>
    </row>
    <row r="30" spans="1:78" s="140" customFormat="1">
      <c r="A30" s="149"/>
      <c r="B30" s="149" t="s">
        <v>163</v>
      </c>
      <c r="C30" s="323" t="s">
        <v>406</v>
      </c>
      <c r="D30" s="232">
        <f>+D239+D280+D321+D375+D409+D434</f>
        <v>-17.869000000000003</v>
      </c>
      <c r="E30" s="232">
        <f>+E239+E280+E321+E375</f>
        <v>-26.941000000000006</v>
      </c>
      <c r="F30" s="232">
        <f>+F239+F280+F321+F375+F409+F434</f>
        <v>-50.347999999999999</v>
      </c>
      <c r="H30" s="232">
        <f>+H239+H280+H321+H375+H409+H434</f>
        <v>-23.419000000000004</v>
      </c>
      <c r="I30" s="232">
        <f>+I239+I280+I321+I375</f>
        <v>-31.442</v>
      </c>
      <c r="J30" s="232">
        <f>+J239+J280+J321+J375+J409+J434</f>
        <v>-57.70000000000001</v>
      </c>
      <c r="L30" s="232">
        <f>+L239+L280+L321+L375+L409+L434</f>
        <v>-25.565000000000001</v>
      </c>
      <c r="M30" s="232">
        <f>+M239+M280+M321+M375</f>
        <v>-32.685999999999993</v>
      </c>
      <c r="N30" s="232">
        <f>+N239+N280+N321+N375+N409+N434</f>
        <v>-60.185999999999993</v>
      </c>
      <c r="P30" s="232">
        <f>+P239+P280+P321+P375+P409+P434</f>
        <v>-26.142999999999997</v>
      </c>
      <c r="Q30" s="232">
        <f>+Q239+Q280+Q321+Q375</f>
        <v>-29.600000000000005</v>
      </c>
      <c r="R30" s="232">
        <f>+R239+R280+R321+R375+R409+R434</f>
        <v>-56.071000000000005</v>
      </c>
      <c r="T30" s="232">
        <f>+T239+T280+T321+T375+T409+T434</f>
        <v>-24.980999999999998</v>
      </c>
      <c r="U30" s="232">
        <f>+U239+U280+U321+U375+U409+U434</f>
        <v>-44.943999999999996</v>
      </c>
      <c r="V30" s="232">
        <f>+V239+V280+V321+V375+V409+V434</f>
        <v>-69.924999999999997</v>
      </c>
      <c r="W30" s="310"/>
      <c r="X30" s="232">
        <f>+X239+X280+X321+X375+X409+X434</f>
        <v>-40.977000000000011</v>
      </c>
      <c r="Y30" s="232">
        <f>+Y239+Y280+Y321+Y375+Y409+Y434</f>
        <v>-46.988</v>
      </c>
      <c r="Z30" s="232">
        <f>+Z239+Z280+Z321+Z375+Z409+Z434</f>
        <v>-87.964999999999989</v>
      </c>
      <c r="AA30" s="136"/>
      <c r="AB30" s="232">
        <f>+AB239+AB280+AB321+AB375+AB409+AB434</f>
        <v>-44.000000000000007</v>
      </c>
      <c r="AC30" s="232">
        <f>+AC239+AC280+AC321+AC375+AC409+AC434</f>
        <v>-56.599999999999994</v>
      </c>
      <c r="AD30" s="232">
        <f>+AD239+AD280+AD321+AD375+AD409+AD434</f>
        <v>-100.6</v>
      </c>
      <c r="AE30" s="136"/>
      <c r="AF30" s="232">
        <f>+AF239+AF280+AF321+AF375+AF409+AF434</f>
        <v>-52.339999999999996</v>
      </c>
      <c r="AG30" s="232">
        <f>+AG239+AG280+AG321+AG375+AG409+AG434+0.21</f>
        <v>-63.679999999999993</v>
      </c>
      <c r="AH30" s="166">
        <f>+AH239+AH280+AH321+AH375+AH409+AH434+0.21</f>
        <v>-116.02000000000002</v>
      </c>
      <c r="AI30" s="566">
        <f>AF30+AG30-AH30</f>
        <v>0</v>
      </c>
      <c r="AJ30" s="232">
        <f>+AJ239+AJ280+AJ321+AJ375+AJ409+AJ434</f>
        <v>-62.20000000000001</v>
      </c>
      <c r="AK30" s="232">
        <f>+AK239+AK280+AK321+AK375+AK409+AK434</f>
        <v>-69.248999999999995</v>
      </c>
      <c r="AL30" s="166">
        <f>+AL239+AL280+AL321+AL375+AL409+AL434</f>
        <v>-131.44900000000001</v>
      </c>
      <c r="AM30" s="566">
        <f>AJ30+AK30-AL30</f>
        <v>0</v>
      </c>
      <c r="AN30" s="232">
        <f>+AN239+AN280+AN321+AN375+AN409+AN434</f>
        <v>-71.200000000000031</v>
      </c>
      <c r="AO30" s="232">
        <f>+AO239+AO280+AO321+AO375+AO409+AO434</f>
        <v>-81.999999999999943</v>
      </c>
      <c r="AP30" s="166">
        <f>+AP239+AP280+AP321+AP375+AP409+AP434</f>
        <v>-153.19999999999996</v>
      </c>
      <c r="AQ30" s="566">
        <f>AN30+AO30-AP30</f>
        <v>0</v>
      </c>
      <c r="AR30" s="232">
        <f>+AR239+AR280+AR321+AR375+AR409+AR434</f>
        <v>-76.403911134999987</v>
      </c>
      <c r="AS30" s="232">
        <f>+AS239+AS280+AS321+AS375+AS409+AS434</f>
        <v>-86.02505333000002</v>
      </c>
      <c r="AT30" s="232">
        <f>+AT239+AT280+AT321+AT375+AT409+AT434</f>
        <v>-162.42896446500004</v>
      </c>
      <c r="AU30" s="566">
        <f>AR30+AS30-AT30</f>
        <v>0</v>
      </c>
      <c r="AV30" s="232">
        <f>+AV239+AV280+AV321+AV375+AV409+AV434</f>
        <v>-81.332732663842734</v>
      </c>
      <c r="AW30" s="232">
        <f>+AW239+AW280+AW321+AW375+AW409+AW434</f>
        <v>-91.814254449967763</v>
      </c>
      <c r="AX30" s="232">
        <f>+AX239+AX280+AX321+AX375+AX409+AX434</f>
        <v>-173.14698711381047</v>
      </c>
      <c r="AY30" s="566">
        <f>AV30+AW30-AX30</f>
        <v>0</v>
      </c>
      <c r="AZ30" s="232">
        <f>+AZ239+AZ280+AZ321+AZ375+AZ409+AZ434</f>
        <v>-86.481726699064907</v>
      </c>
      <c r="BA30" s="232">
        <f>+BA239+BA280+BA321+BA375+BA409+BA434</f>
        <v>-97.879747460171515</v>
      </c>
      <c r="BB30" s="232">
        <f>+BB239+BB280+BB321+BB375+BB409+BB434</f>
        <v>-184.36147415923642</v>
      </c>
      <c r="BC30" s="566">
        <f>AZ30+BA30-BB30</f>
        <v>0</v>
      </c>
      <c r="BD30" s="232">
        <f>+BD239+BD280+BD321+BD375+BD409+BD434</f>
        <v>-89.784749266876929</v>
      </c>
      <c r="BE30" s="232">
        <f>+BE239+BE280+BE321+BE375+BE409+BE434</f>
        <v>-101.82144433428491</v>
      </c>
      <c r="BF30" s="232">
        <f>+BF239+BF280+BF321+BF375+BF409+BF434</f>
        <v>-191.60619360116186</v>
      </c>
      <c r="BG30" s="566">
        <f>BD30+BE30-BF30</f>
        <v>0</v>
      </c>
      <c r="BH30" s="232">
        <f>+BH239+BH280+BH321+BH375+BH409+BH434</f>
        <v>-93.245702042402201</v>
      </c>
      <c r="BI30" s="232">
        <f>+BI239+BI280+BI321+BI375+BI409+BI434</f>
        <v>-105.95402351671164</v>
      </c>
      <c r="BJ30" s="232">
        <f>+BJ239+BJ280+BJ321+BJ375+BJ409+BJ434</f>
        <v>-199.19972555911389</v>
      </c>
      <c r="BK30" s="565">
        <f>BH30+BI30-BJ30</f>
        <v>0</v>
      </c>
      <c r="BL30" s="232">
        <f>+BL239+BL280+BL321+BL375+BL409+BL434</f>
        <v>-96.872735981098501</v>
      </c>
      <c r="BM30" s="232">
        <f>+BM239+BM280+BM321+BM375+BM409+BM434</f>
        <v>-110.28736910634426</v>
      </c>
      <c r="BN30" s="232">
        <f>+BN239+BN280+BN321+BN375+BN409+BN434</f>
        <v>-207.16010508744276</v>
      </c>
      <c r="BO30" s="565">
        <f>BL30+BM30-BN30</f>
        <v>0</v>
      </c>
      <c r="BP30" s="232">
        <f>+BP239+BP280+BP321+BP375+BP409+BP434</f>
        <v>-100.67443910684929</v>
      </c>
      <c r="BQ30" s="232">
        <f>+BQ239+BQ280+BQ321+BQ375+BQ409+BQ434</f>
        <v>-114.83189503738841</v>
      </c>
      <c r="BR30" s="232">
        <f>+BR239+BR280+BR321+BR375+BR409+BR434</f>
        <v>-215.50633414423771</v>
      </c>
      <c r="BS30" s="565">
        <f>BP30+BQ30-BR30</f>
        <v>0</v>
      </c>
      <c r="BT30" s="232">
        <f>+BT239+BT280+BT321+BT375+BT409+BT434</f>
        <v>-104.6598604417006</v>
      </c>
      <c r="BU30" s="232">
        <f>+BU239+BU280+BU321+BU375+BU409+BU434</f>
        <v>-119.59857405312371</v>
      </c>
      <c r="BV30" s="232">
        <f>+BV239+BV280+BV321+BV375+BV409+BV434</f>
        <v>-224.25843449482429</v>
      </c>
      <c r="BW30" s="565">
        <f>BT30+BU30-BV30</f>
        <v>0</v>
      </c>
      <c r="BX30" s="232">
        <f>+BX239+BX280+BX321+BX375+BX409+BX434</f>
        <v>-108.83853526356555</v>
      </c>
      <c r="BY30" s="232">
        <f>+BY239+BY280+BY321+BY375+BY409+BY434</f>
        <v>-124.59896828573774</v>
      </c>
      <c r="BZ30" s="232">
        <f>+BZ239+BZ280+BZ321+BZ375+BZ409+BZ434</f>
        <v>-233.4375035493033</v>
      </c>
    </row>
    <row r="31" spans="1:78" s="161" customFormat="1">
      <c r="A31" s="148"/>
      <c r="B31" s="578" t="s">
        <v>538</v>
      </c>
      <c r="C31" s="161" t="s">
        <v>39</v>
      </c>
      <c r="D31" s="173">
        <f>1-D32</f>
        <v>0.53708453148882085</v>
      </c>
      <c r="E31" s="173">
        <f>1-E32</f>
        <v>0.60822778367530939</v>
      </c>
      <c r="F31" s="173">
        <f>1-F32</f>
        <v>0.53107071008121598</v>
      </c>
      <c r="G31" s="567"/>
      <c r="H31" s="173">
        <f>1-H32</f>
        <v>0.47883656756275605</v>
      </c>
      <c r="I31" s="173">
        <f>1-I32</f>
        <v>0.56067571155109075</v>
      </c>
      <c r="J31" s="173">
        <f>1-J32</f>
        <v>0.50474228573880908</v>
      </c>
      <c r="K31" s="567"/>
      <c r="L31" s="173">
        <f>1-L32</f>
        <v>0.47290833367696195</v>
      </c>
      <c r="M31" s="173">
        <f>1-M32</f>
        <v>0.57482179093605312</v>
      </c>
      <c r="N31" s="173">
        <f>1-N32</f>
        <v>0.51996362998293155</v>
      </c>
      <c r="O31" s="567"/>
      <c r="P31" s="173">
        <f>1-P32</f>
        <v>0.52679783517657097</v>
      </c>
      <c r="Q31" s="173">
        <f>1-Q32</f>
        <v>0.58552124903731706</v>
      </c>
      <c r="R31" s="173">
        <f>1-R32</f>
        <v>0.55731790118583313</v>
      </c>
      <c r="S31" s="567"/>
      <c r="T31" s="173">
        <f>1-T32</f>
        <v>0.56455577053809569</v>
      </c>
      <c r="U31" s="173">
        <f>1-U32</f>
        <v>0.48110604398776202</v>
      </c>
      <c r="V31" s="173">
        <f>1-V32</f>
        <v>0.51435576175130571</v>
      </c>
      <c r="W31" s="310"/>
      <c r="X31" s="173">
        <f>1-X32</f>
        <v>0.51668376915183467</v>
      </c>
      <c r="Y31" s="173">
        <f>1-Y32</f>
        <v>0.51883179388453116</v>
      </c>
      <c r="Z31" s="173">
        <f>1-Z32</f>
        <v>0.51783355350066074</v>
      </c>
      <c r="AA31" s="567"/>
      <c r="AB31" s="173">
        <f>1-AB32</f>
        <v>0.49902651743729298</v>
      </c>
      <c r="AC31" s="173">
        <f>1-AC32</f>
        <v>0.52388162654149628</v>
      </c>
      <c r="AD31" s="173">
        <f>1-AD32</f>
        <v>0.51332078739471787</v>
      </c>
      <c r="AE31" s="136"/>
      <c r="AF31" s="173">
        <f>1-AF32</f>
        <v>0.55775616598085342</v>
      </c>
      <c r="AG31" s="173">
        <f>1-AG32</f>
        <v>0.64307933749964974</v>
      </c>
      <c r="AH31" s="173">
        <f>1-AH32</f>
        <v>0.60905224992081308</v>
      </c>
      <c r="AI31" s="567"/>
      <c r="AJ31" s="173">
        <f t="shared" ref="AJ31" si="110">1-AJ32</f>
        <v>0.61910827245393485</v>
      </c>
      <c r="AK31" s="173">
        <f>1-AK32</f>
        <v>0.6673248205689909</v>
      </c>
      <c r="AL31" s="173">
        <f>1-AL32</f>
        <v>0.64614879361259392</v>
      </c>
      <c r="AM31" s="567"/>
      <c r="AN31" s="173">
        <f t="shared" ref="AN31" si="111">1-AN32</f>
        <v>0.6166106659774272</v>
      </c>
      <c r="AO31" s="173">
        <f>1-AO32</f>
        <v>0.67388883586268333</v>
      </c>
      <c r="AP31" s="173">
        <f>1-AP32</f>
        <v>0.64957386168689446</v>
      </c>
      <c r="AQ31" s="567"/>
      <c r="AR31" s="173">
        <f t="shared" ref="AR31:AT31" si="112">1-AR32</f>
        <v>0.63341504999604137</v>
      </c>
      <c r="AS31" s="173">
        <f t="shared" si="112"/>
        <v>0.68192527753689314</v>
      </c>
      <c r="AT31" s="173">
        <f t="shared" si="112"/>
        <v>0.66081222715712629</v>
      </c>
      <c r="AU31" s="567"/>
      <c r="AV31" s="173">
        <f t="shared" ref="AV31:AX31" si="113">1-AV32</f>
        <v>0.63624332258655003</v>
      </c>
      <c r="AW31" s="173">
        <f t="shared" si="113"/>
        <v>0.68648956600406996</v>
      </c>
      <c r="AX31" s="173">
        <f t="shared" si="113"/>
        <v>0.6647360261768458</v>
      </c>
      <c r="AY31" s="567"/>
      <c r="AZ31" s="173">
        <f t="shared" ref="AZ31:BB31" si="114">1-AZ32</f>
        <v>0.64115757838131904</v>
      </c>
      <c r="BA31" s="173">
        <f t="shared" si="114"/>
        <v>0.68910343261046725</v>
      </c>
      <c r="BB31" s="173">
        <f t="shared" si="114"/>
        <v>0.66831471669731934</v>
      </c>
      <c r="BC31" s="567"/>
      <c r="BD31" s="173">
        <f t="shared" ref="BD31:BF31" si="115">1-BD32</f>
        <v>0.64259573074368748</v>
      </c>
      <c r="BE31" s="173">
        <f t="shared" si="115"/>
        <v>0.69014169071105802</v>
      </c>
      <c r="BF31" s="173">
        <f t="shared" si="115"/>
        <v>0.66954187426772993</v>
      </c>
      <c r="BG31" s="567"/>
      <c r="BH31" s="173">
        <f t="shared" ref="BH31:BJ31" si="116">1-BH32</f>
        <v>0.64397146729719035</v>
      </c>
      <c r="BI31" s="173">
        <f t="shared" si="116"/>
        <v>0.69112961945941875</v>
      </c>
      <c r="BJ31" s="173">
        <f t="shared" si="116"/>
        <v>0.67071285898514876</v>
      </c>
      <c r="BK31" s="567"/>
      <c r="BL31" s="173">
        <f t="shared" ref="BL31:BN31" si="117">1-BL32</f>
        <v>0.64528615142966661</v>
      </c>
      <c r="BM31" s="173">
        <f t="shared" si="117"/>
        <v>0.69206838991166908</v>
      </c>
      <c r="BN31" s="173">
        <f t="shared" si="117"/>
        <v>0.67182894633483015</v>
      </c>
      <c r="BO31" s="567"/>
      <c r="BP31" s="173">
        <f t="shared" ref="BP31:BZ31" si="118">1-BP32</f>
        <v>0.64654113155908011</v>
      </c>
      <c r="BQ31" s="173">
        <f t="shared" si="118"/>
        <v>0.69295915293597277</v>
      </c>
      <c r="BR31" s="173">
        <f t="shared" si="118"/>
        <v>0.67289139323672242</v>
      </c>
      <c r="BS31" s="567"/>
      <c r="BT31" s="173">
        <f t="shared" si="118"/>
        <v>0.64773774081651592</v>
      </c>
      <c r="BU31" s="173">
        <f t="shared" si="118"/>
        <v>0.69380303931160192</v>
      </c>
      <c r="BV31" s="173">
        <f t="shared" si="118"/>
        <v>0.6739014379648498</v>
      </c>
      <c r="BW31" s="567"/>
      <c r="BX31" s="173">
        <f t="shared" si="118"/>
        <v>0.64887729672935945</v>
      </c>
      <c r="BY31" s="173">
        <f t="shared" si="118"/>
        <v>0.69460115982494042</v>
      </c>
      <c r="BZ31" s="173">
        <f t="shared" si="118"/>
        <v>0.67486030006658848</v>
      </c>
    </row>
    <row r="32" spans="1:78" s="161" customFormat="1">
      <c r="A32" s="148"/>
      <c r="B32" s="578" t="s">
        <v>565</v>
      </c>
      <c r="C32" s="161" t="s">
        <v>39</v>
      </c>
      <c r="D32" s="173">
        <f>-D30/D28</f>
        <v>0.4629154685111791</v>
      </c>
      <c r="E32" s="173">
        <f>-E30/E28</f>
        <v>0.39177221632469056</v>
      </c>
      <c r="F32" s="173">
        <f>-F30/F28</f>
        <v>0.46892928991878396</v>
      </c>
      <c r="G32" s="136"/>
      <c r="H32" s="173">
        <f>-H30/H28</f>
        <v>0.52116343243724395</v>
      </c>
      <c r="I32" s="173">
        <f>-I30/I28</f>
        <v>0.43932428844890925</v>
      </c>
      <c r="J32" s="173">
        <f>-J30/J28</f>
        <v>0.49525771426119092</v>
      </c>
      <c r="K32" s="136"/>
      <c r="L32" s="173">
        <f>-L30/L28</f>
        <v>0.52709166632303805</v>
      </c>
      <c r="M32" s="173">
        <f>-M30/M28</f>
        <v>0.42517820906394693</v>
      </c>
      <c r="N32" s="173">
        <f>-N30/N28</f>
        <v>0.4800363700170685</v>
      </c>
      <c r="O32" s="136"/>
      <c r="P32" s="173">
        <f>-P30/P28</f>
        <v>0.47320216482342908</v>
      </c>
      <c r="Q32" s="173">
        <f>-Q30/Q28</f>
        <v>0.41447875096268294</v>
      </c>
      <c r="R32" s="173">
        <f>-R30/R28</f>
        <v>0.44268209881416692</v>
      </c>
      <c r="S32" s="136"/>
      <c r="T32" s="173">
        <f>-T30/T28</f>
        <v>0.43544422946190425</v>
      </c>
      <c r="U32" s="173">
        <f>-U30/U28</f>
        <v>0.51889395601223798</v>
      </c>
      <c r="V32" s="173">
        <f>-V30/V28</f>
        <v>0.48564423824869435</v>
      </c>
      <c r="W32" s="310"/>
      <c r="X32" s="173">
        <f>-X30/X28</f>
        <v>0.48331623084816538</v>
      </c>
      <c r="Y32" s="173">
        <f>-Y30/Y28</f>
        <v>0.48116820611546884</v>
      </c>
      <c r="Z32" s="173">
        <f>-Z30/Z28</f>
        <v>0.48216644649933926</v>
      </c>
      <c r="AA32" s="570"/>
      <c r="AB32" s="173">
        <f>-AB30/AB28</f>
        <v>0.50097348256270702</v>
      </c>
      <c r="AC32" s="173">
        <f>-AC30/AC28</f>
        <v>0.47611837345850366</v>
      </c>
      <c r="AD32" s="173">
        <f>-AD30/AD28</f>
        <v>0.48667921260528207</v>
      </c>
      <c r="AE32" s="136"/>
      <c r="AF32" s="173">
        <f>-AF30/AF28</f>
        <v>0.44224383401914652</v>
      </c>
      <c r="AG32" s="173">
        <f>-AG30/AG28</f>
        <v>0.35692066250035021</v>
      </c>
      <c r="AH32" s="173">
        <f>-AH30/AH28</f>
        <v>0.39094775007918697</v>
      </c>
      <c r="AI32" s="570"/>
      <c r="AJ32" s="173">
        <f>-AJ30/AJ28</f>
        <v>0.38089172754606515</v>
      </c>
      <c r="AK32" s="173">
        <f>-AK30/AK28</f>
        <v>0.3326751794310091</v>
      </c>
      <c r="AL32" s="173">
        <f>-AL30/AL28</f>
        <v>0.35385120638740608</v>
      </c>
      <c r="AM32" s="570"/>
      <c r="AN32" s="173">
        <f>-AN30/AN28</f>
        <v>0.3833893340225728</v>
      </c>
      <c r="AO32" s="173">
        <f>-AO30/AO28</f>
        <v>0.32611116413731667</v>
      </c>
      <c r="AP32" s="173">
        <f>-AP30/AP28</f>
        <v>0.35042613831310548</v>
      </c>
      <c r="AQ32" s="570"/>
      <c r="AR32" s="173">
        <f>-AR30/AR28</f>
        <v>0.36658495000395869</v>
      </c>
      <c r="AS32" s="173">
        <f>-AS30/AS28</f>
        <v>0.31807472246310692</v>
      </c>
      <c r="AT32" s="173">
        <f>-AT30/AT28</f>
        <v>0.33918777284287371</v>
      </c>
      <c r="AU32" s="570"/>
      <c r="AV32" s="173">
        <f>-AV30/AV28</f>
        <v>0.36375667741345002</v>
      </c>
      <c r="AW32" s="173">
        <f>-AW30/AW28</f>
        <v>0.31351043399593009</v>
      </c>
      <c r="AX32" s="173">
        <f>-AX30/AX28</f>
        <v>0.33526397382315415</v>
      </c>
      <c r="AY32" s="570"/>
      <c r="AZ32" s="173">
        <f>-AZ30/AZ28</f>
        <v>0.35884242161868091</v>
      </c>
      <c r="BA32" s="173">
        <f>-BA30/BA28</f>
        <v>0.3108965673895327</v>
      </c>
      <c r="BB32" s="173">
        <f>-BB30/BB28</f>
        <v>0.33168528330268066</v>
      </c>
      <c r="BC32" s="570"/>
      <c r="BD32" s="173">
        <f>-BD30/BD28</f>
        <v>0.35740426925631252</v>
      </c>
      <c r="BE32" s="173">
        <f>-BE30/BE28</f>
        <v>0.30985830928894192</v>
      </c>
      <c r="BF32" s="173">
        <f>-BF30/BF28</f>
        <v>0.33045812573227007</v>
      </c>
      <c r="BG32" s="570"/>
      <c r="BH32" s="173">
        <f>-BH30/BH28</f>
        <v>0.3560285327028096</v>
      </c>
      <c r="BI32" s="173">
        <f>-BI30/BI28</f>
        <v>0.30887038054058125</v>
      </c>
      <c r="BJ32" s="173">
        <f>-BJ30/BJ28</f>
        <v>0.32928714101485118</v>
      </c>
      <c r="BK32" s="136"/>
      <c r="BL32" s="173">
        <f>-BL30/BL28</f>
        <v>0.35471384857033345</v>
      </c>
      <c r="BM32" s="173">
        <f>-BM30/BM28</f>
        <v>0.30793161008833086</v>
      </c>
      <c r="BN32" s="173">
        <f>-BN30/BN28</f>
        <v>0.32817105366516985</v>
      </c>
      <c r="BO32" s="136"/>
      <c r="BP32" s="173">
        <f>-BP30/BP28</f>
        <v>0.35345886844091989</v>
      </c>
      <c r="BQ32" s="173">
        <f>-BQ30/BQ28</f>
        <v>0.30704084706402723</v>
      </c>
      <c r="BR32" s="173">
        <f>-BR30/BR28</f>
        <v>0.32710860676327763</v>
      </c>
      <c r="BS32" s="136"/>
      <c r="BT32" s="173">
        <f>-BT30/BT28</f>
        <v>0.35226225918348403</v>
      </c>
      <c r="BU32" s="173">
        <f>-BU30/BU28</f>
        <v>0.30619696068839813</v>
      </c>
      <c r="BV32" s="173">
        <f>-BV30/BV28</f>
        <v>0.32609856203515014</v>
      </c>
      <c r="BW32" s="136"/>
      <c r="BX32" s="173">
        <f>-BX30/BX28</f>
        <v>0.3511227032706406</v>
      </c>
      <c r="BY32" s="173">
        <f>-BY30/BY28</f>
        <v>0.30539884017505958</v>
      </c>
      <c r="BZ32" s="173">
        <f>-BZ30/BZ28</f>
        <v>0.32513969993341152</v>
      </c>
    </row>
    <row r="33" spans="1:78" s="161" customFormat="1">
      <c r="A33" s="148"/>
      <c r="B33" s="148"/>
      <c r="D33" s="723"/>
      <c r="E33" s="723"/>
      <c r="F33" s="723"/>
      <c r="G33" s="136"/>
      <c r="H33" s="723"/>
      <c r="I33" s="723"/>
      <c r="J33" s="723"/>
      <c r="K33" s="136"/>
      <c r="L33" s="723"/>
      <c r="M33" s="723"/>
      <c r="N33" s="723"/>
      <c r="O33" s="136"/>
      <c r="P33" s="723"/>
      <c r="Q33" s="723"/>
      <c r="R33" s="723"/>
      <c r="S33" s="136"/>
      <c r="T33" s="723"/>
      <c r="U33" s="723"/>
      <c r="V33" s="723"/>
      <c r="W33" s="310"/>
      <c r="X33" s="723"/>
      <c r="Y33" s="723"/>
      <c r="Z33" s="723"/>
      <c r="AA33" s="136"/>
      <c r="AB33" s="723"/>
      <c r="AC33" s="723"/>
      <c r="AD33" s="723"/>
      <c r="AE33" s="136"/>
      <c r="AF33" s="723"/>
      <c r="AG33" s="723"/>
      <c r="AH33" s="723"/>
      <c r="AI33" s="571"/>
      <c r="AJ33" s="723"/>
      <c r="AK33" s="723"/>
      <c r="AL33" s="723"/>
      <c r="AM33" s="571"/>
      <c r="AN33" s="723"/>
      <c r="AO33" s="723"/>
      <c r="AP33" s="723"/>
      <c r="AQ33" s="571"/>
      <c r="AR33" s="723"/>
      <c r="AS33" s="723"/>
      <c r="AT33" s="723"/>
      <c r="AU33" s="571"/>
      <c r="AV33" s="723"/>
      <c r="AW33" s="723"/>
      <c r="AX33" s="723"/>
      <c r="AY33" s="571"/>
      <c r="AZ33" s="723"/>
      <c r="BA33" s="723"/>
      <c r="BB33" s="723"/>
      <c r="BC33" s="571"/>
      <c r="BG33" s="571"/>
    </row>
    <row r="34" spans="1:78" s="140" customFormat="1">
      <c r="A34" s="149"/>
      <c r="B34" s="149" t="s">
        <v>536</v>
      </c>
      <c r="C34" s="323" t="s">
        <v>406</v>
      </c>
      <c r="D34" s="298">
        <f>D30+D28</f>
        <v>20.731999999999953</v>
      </c>
      <c r="E34" s="298">
        <f>E30+E28</f>
        <v>41.826000000000022</v>
      </c>
      <c r="F34" s="298">
        <f>F30+F28</f>
        <v>57.02000000000001</v>
      </c>
      <c r="G34" s="232"/>
      <c r="H34" s="298">
        <f>H30+H28</f>
        <v>21.517000000000017</v>
      </c>
      <c r="I34" s="298">
        <f>I30+I28</f>
        <v>40.127000000000031</v>
      </c>
      <c r="J34" s="298">
        <f>J30+J28</f>
        <v>58.804999999999914</v>
      </c>
      <c r="K34" s="232"/>
      <c r="L34" s="298">
        <f>L30+L28</f>
        <v>22.937000000000015</v>
      </c>
      <c r="M34" s="298">
        <f>M30+M28</f>
        <v>44.190000000000026</v>
      </c>
      <c r="N34" s="298">
        <f>N30+N28</f>
        <v>65.191999999999965</v>
      </c>
      <c r="O34" s="232"/>
      <c r="P34" s="298">
        <f>P30+P28</f>
        <v>29.104000000000024</v>
      </c>
      <c r="Q34" s="298">
        <f>Q30+Q28</f>
        <v>41.814999999999998</v>
      </c>
      <c r="R34" s="298">
        <f>R30+R28</f>
        <v>70.59099999999998</v>
      </c>
      <c r="S34" s="232"/>
      <c r="T34" s="298">
        <f>T30+T28</f>
        <v>32.388000000000034</v>
      </c>
      <c r="U34" s="298">
        <f>U30+U28</f>
        <v>41.671000000000014</v>
      </c>
      <c r="V34" s="298">
        <f>V30+V28</f>
        <v>74.058999999999983</v>
      </c>
      <c r="W34" s="310"/>
      <c r="X34" s="298">
        <f>X30+X28</f>
        <v>43.806000000000004</v>
      </c>
      <c r="Y34" s="298">
        <f>Y30+Y28</f>
        <v>50.666000000000011</v>
      </c>
      <c r="Z34" s="298">
        <f>Z30+Z28</f>
        <v>94.472000000000079</v>
      </c>
      <c r="AA34" s="136"/>
      <c r="AB34" s="298">
        <f>AB30+AB28</f>
        <v>43.829000000000015</v>
      </c>
      <c r="AC34" s="298">
        <f>AC30+AC28</f>
        <v>62.277999999999992</v>
      </c>
      <c r="AD34" s="232">
        <f>AD30+AD28</f>
        <v>106.10699999999991</v>
      </c>
      <c r="AE34" s="136"/>
      <c r="AF34" s="298">
        <f>AF30+AF28</f>
        <v>66.010999999999967</v>
      </c>
      <c r="AG34" s="298">
        <f>AG30+AG28</f>
        <v>114.73500000000003</v>
      </c>
      <c r="AH34" s="232">
        <f>AH30+AH28</f>
        <v>180.74600000000004</v>
      </c>
      <c r="AI34" s="566">
        <f>AF34+AG34-AH34</f>
        <v>0</v>
      </c>
      <c r="AJ34" s="298">
        <f>AJ30+AJ28</f>
        <v>101.10100000000006</v>
      </c>
      <c r="AK34" s="298">
        <f>AK30+AK28</f>
        <v>138.90900000000002</v>
      </c>
      <c r="AL34" s="140">
        <f>AL30+AL28</f>
        <v>240.03200000000004</v>
      </c>
      <c r="AM34" s="566">
        <f>AJ34+AK34-AL34</f>
        <v>-2.1999999999962938E-2</v>
      </c>
      <c r="AN34" s="298">
        <f>AN30+AN28</f>
        <v>114.51199999999996</v>
      </c>
      <c r="AO34" s="298">
        <f>AO30+AO28</f>
        <v>169.44799999999987</v>
      </c>
      <c r="AP34" s="140">
        <f>AP30+AP28</f>
        <v>283.98199999999974</v>
      </c>
      <c r="AQ34" s="566">
        <f>AN34+AO34-AP34</f>
        <v>-2.1999999999934516E-2</v>
      </c>
      <c r="AR34" s="298">
        <f>AR30+AR28</f>
        <v>132.01684136500012</v>
      </c>
      <c r="AS34" s="298">
        <f>AS30+AS28</f>
        <v>184.4304316700001</v>
      </c>
      <c r="AT34" s="232">
        <f>AT30+AT28</f>
        <v>316.44727303499997</v>
      </c>
      <c r="AU34" s="566">
        <f>AR34+AS34-AT34</f>
        <v>0</v>
      </c>
      <c r="AV34" s="298">
        <f>AV30+AV28</f>
        <v>142.25830418576817</v>
      </c>
      <c r="AW34" s="298">
        <f>AW30+AW28</f>
        <v>201.0444337912015</v>
      </c>
      <c r="AX34" s="232">
        <f>AX30+AX28</f>
        <v>343.30273797696964</v>
      </c>
      <c r="AY34" s="566">
        <f>AV34+AW34-AX34</f>
        <v>0</v>
      </c>
      <c r="AZ34" s="298">
        <f>AZ30+AZ28</f>
        <v>154.52023262603285</v>
      </c>
      <c r="BA34" s="298">
        <f>BA30+BA28</f>
        <v>216.95083520603947</v>
      </c>
      <c r="BB34" s="232">
        <f>BB30+BB28</f>
        <v>371.47106783207244</v>
      </c>
      <c r="BC34" s="566">
        <f>AZ34+BA34-BB34</f>
        <v>0</v>
      </c>
      <c r="BD34" s="298">
        <f>BD30+BD28</f>
        <v>161.42867203248585</v>
      </c>
      <c r="BE34" s="298">
        <f>BE30+BE28</f>
        <v>226.78502282143924</v>
      </c>
      <c r="BF34" s="232">
        <f>BF30+BF28</f>
        <v>388.21369485392484</v>
      </c>
      <c r="BG34" s="566">
        <f>BD34+BE34-BF34</f>
        <v>0</v>
      </c>
      <c r="BH34" s="298">
        <f>BH30+BH28</f>
        <v>168.65943610628065</v>
      </c>
      <c r="BI34" s="298">
        <f>BI30+BI28</f>
        <v>237.0831538625896</v>
      </c>
      <c r="BJ34" s="232">
        <f>BJ30+BJ28</f>
        <v>405.74258996887022</v>
      </c>
      <c r="BK34" s="489">
        <f>BH34+BI34-BJ34</f>
        <v>0</v>
      </c>
      <c r="BL34" s="298">
        <f>BL30+BL28</f>
        <v>176.22834640274971</v>
      </c>
      <c r="BM34" s="298">
        <f>BM30+BM28</f>
        <v>247.86803129151707</v>
      </c>
      <c r="BN34" s="232">
        <f>BN30+BN28</f>
        <v>424.09637769426672</v>
      </c>
      <c r="BO34" s="489">
        <f>BL34+BM34-BN34</f>
        <v>0</v>
      </c>
      <c r="BP34" s="298">
        <f>BP30+BP28</f>
        <v>184.15202330705634</v>
      </c>
      <c r="BQ34" s="298">
        <f>BQ30+BQ28</f>
        <v>259.16360469963035</v>
      </c>
      <c r="BR34" s="232">
        <f>BR30+BR28</f>
        <v>443.31562800668667</v>
      </c>
      <c r="BS34" s="489">
        <f>BP34+BQ34-BR34</f>
        <v>0</v>
      </c>
      <c r="BT34" s="298">
        <f>BT30+BT28</f>
        <v>192.44792704678557</v>
      </c>
      <c r="BU34" s="298">
        <f>BU30+BU28</f>
        <v>270.99502878421276</v>
      </c>
      <c r="BV34" s="232">
        <f>BV30+BV28</f>
        <v>463.44295583099836</v>
      </c>
      <c r="BW34" s="489">
        <f>BT34+BU34-BV34</f>
        <v>0</v>
      </c>
      <c r="BX34" s="298">
        <f>BX30+BX28</f>
        <v>201.13440083471428</v>
      </c>
      <c r="BY34" s="298">
        <f>BY30+BY28</f>
        <v>283.38872483816408</v>
      </c>
      <c r="BZ34" s="232">
        <f>BZ30+BZ28</f>
        <v>484.52312567287788</v>
      </c>
    </row>
    <row r="35" spans="1:78" s="140" customFormat="1">
      <c r="B35" s="412" t="s">
        <v>399</v>
      </c>
      <c r="C35" s="413"/>
      <c r="D35" s="410">
        <f>+D240+D281+D322+D376+D466 +D435+D410  - D34</f>
        <v>-1.6049999999999542</v>
      </c>
      <c r="E35" s="410">
        <f>+E240+E281+E322+E376+E466 +E435+E410  - E34</f>
        <v>-3.9950000000000259</v>
      </c>
      <c r="F35" s="410">
        <f>+F240+F281+F322+F376+F466 +F435+F410  - F34</f>
        <v>-6.2000000000011823E-2</v>
      </c>
      <c r="G35" s="411"/>
      <c r="H35" s="410">
        <f>+H240+H281+H322+H376+H466 +H435+H410  - H34</f>
        <v>0</v>
      </c>
      <c r="I35" s="410">
        <f>+I240+I281+I322+I376+I466 +I435+I410  - I34</f>
        <v>-2.8390000000000413</v>
      </c>
      <c r="J35" s="410">
        <f>+J240+J281+J322+J376+J466 +J435+J410  - J34</f>
        <v>7.815970093361102E-14</v>
      </c>
      <c r="K35" s="411"/>
      <c r="L35" s="410">
        <f>+L240+L281+L322+L376+L466 +L435+L410  - L34</f>
        <v>0</v>
      </c>
      <c r="M35" s="410">
        <f>+M240+M281+M322+M376+M466 +M435+M410  - M34</f>
        <v>-1.9350000000000307</v>
      </c>
      <c r="N35" s="410">
        <f>+N240+N281+N322+N376+N466 +N435+N410  - N34</f>
        <v>0</v>
      </c>
      <c r="O35" s="411"/>
      <c r="P35" s="410">
        <f>+P240+P281+P322+P376+P466 +P435+P410  - P34</f>
        <v>0</v>
      </c>
      <c r="Q35" s="410">
        <f>+Q240+Q281+Q322+Q376+Q466 +Q435+Q410  - Q34</f>
        <v>-0.34499999999999886</v>
      </c>
      <c r="R35" s="410">
        <f>+R240+R281+R322+R376+R466 +R435+R410  - R34</f>
        <v>-1.6999999999981696E-2</v>
      </c>
      <c r="S35" s="411"/>
      <c r="T35" s="410">
        <f>+T240+T281+T322+T376+T466 +T435+T410  - T34</f>
        <v>-0.19800000000002882</v>
      </c>
      <c r="U35" s="410">
        <f>+U240+U281+U322+U376+U466 +U435+U410  - U34</f>
        <v>0.10199999999998255</v>
      </c>
      <c r="V35" s="410">
        <f>+V240+V281+V322+V376+V466 +V435+V410  - V34</f>
        <v>-9.5999999999975216E-2</v>
      </c>
      <c r="W35" s="413"/>
      <c r="X35" s="410">
        <f>+X240+X281+X322+X376+X466 +X435+X410  - X34</f>
        <v>-1.0000000000005116E-2</v>
      </c>
      <c r="Y35" s="410">
        <f>+Y240+Y281+Y322+Y376+Y466 +Y435+Y410  - Y34</f>
        <v>-6.0000000000073328E-3</v>
      </c>
      <c r="Z35" s="410">
        <f>+Z240+Z281+Z322+Z376+Z466 +Z435+Z410  - Z34</f>
        <v>-1.6000000000076398E-2</v>
      </c>
      <c r="AA35" s="572"/>
      <c r="AB35" s="410">
        <f>+AB240+AB281+AB322+AB376+AB466 +AB435+AB410  - AB34</f>
        <v>0</v>
      </c>
      <c r="AC35" s="410">
        <f>+AC240+AC281+AC322+AC376+AC466 +AC435+AC410  - AC34</f>
        <v>0</v>
      </c>
      <c r="AD35" s="410">
        <f>+AD240+AD281+AD322+AD376+AD466 +AD435+AD410  - AD34</f>
        <v>0</v>
      </c>
      <c r="AE35" s="572"/>
      <c r="AF35" s="410">
        <f>+AF240+AF281+AF322+AF376+AF466 +AF435+AF410  - AF34</f>
        <v>0</v>
      </c>
      <c r="AG35" s="410">
        <f>+AG240+AG281+AG322+AG376+AG466 +AG435+AG410  - AG34</f>
        <v>0</v>
      </c>
      <c r="AH35" s="811">
        <f>+AH240+AH281+AH322+AH376+AH466 +AH435+AH410  - AH34</f>
        <v>0</v>
      </c>
      <c r="AI35" s="572"/>
      <c r="AJ35" s="410">
        <f>+AJ240+AJ281+AJ322+AJ376+AJ466 +AJ435+AJ410  - AJ34</f>
        <v>0</v>
      </c>
      <c r="AK35" s="410">
        <f>+AK240+AK281+AK322+AK376+AK466 +AK435+AK410  - AK34</f>
        <v>-4.0000000000475211E-3</v>
      </c>
      <c r="AL35" s="410">
        <f>+AL240+AL281+AL322+AL376+AL466 +AL435+AL410  - AL34</f>
        <v>-2.6000000000067303E-2</v>
      </c>
      <c r="AM35" s="572"/>
      <c r="AN35" s="410">
        <f>+AN240+AN281+AN322+AN376+AN466 +AN435+AN410  - AN34</f>
        <v>-9.9999999999951683E-2</v>
      </c>
      <c r="AO35" s="410">
        <f>+AO240+AO281+AO322+AO376+AO466 +AO435+AO410  - AO34</f>
        <v>0.100000000000108</v>
      </c>
      <c r="AP35" s="410">
        <f>+AP240+AP281+AP322+AP376+AP466 +AP435+AP410  - AP34</f>
        <v>-2.1999999999763986E-2</v>
      </c>
      <c r="AQ35" s="572"/>
      <c r="AR35" s="410">
        <f>+AR240+AR281+AR322+AR376+AR466 +AR435+AR410  - AR34</f>
        <v>0</v>
      </c>
      <c r="AS35" s="410">
        <f>+AS240+AS281+AS322+AS376+AS466 +AS435+AS410  - AS34</f>
        <v>0</v>
      </c>
      <c r="AT35" s="410">
        <f>+AT240+AT281+AT322+AT376+AT466 +AT435+AT410  - AT34</f>
        <v>0</v>
      </c>
      <c r="AU35" s="572"/>
      <c r="AV35" s="410">
        <f>+AV240+AV281+AV322+AV376+AV466 +AV435+AV410  - AV34</f>
        <v>0</v>
      </c>
      <c r="AW35" s="410">
        <f>+AW240+AW281+AW322+AW376+AW466 +AW435+AW410  - AW34</f>
        <v>0</v>
      </c>
      <c r="AX35" s="410">
        <f>+AX240+AX281+AX322+AX376+AX466 +AX435+AX410  - AX34</f>
        <v>0</v>
      </c>
      <c r="AY35" s="572"/>
      <c r="AZ35" s="410">
        <f>+AZ240+AZ281+AZ322+AZ376+AZ466 +AZ435+AZ410  - AZ34</f>
        <v>0</v>
      </c>
      <c r="BA35" s="410">
        <f>+BA240+BA281+BA322+BA376+BA466 +BA435+BA410  - BA34</f>
        <v>0</v>
      </c>
      <c r="BB35" s="410">
        <f>+BB240+BB281+BB322+BB376+BB466 +BB435+BB410  - BB34</f>
        <v>0</v>
      </c>
      <c r="BC35" s="572"/>
      <c r="BD35" s="410">
        <f>+BD240+BD281+BD322+BD376+BD466 +BD435+BD410  - BD34</f>
        <v>0</v>
      </c>
      <c r="BE35" s="410">
        <f>+BE240+BE281+BE322+BE376+BE466 +BE435+BE410  - BE34</f>
        <v>0</v>
      </c>
      <c r="BF35" s="410">
        <f>+BF240+BF281+BF322+BF376+BF466 +BF435+BF410  - BF34</f>
        <v>0</v>
      </c>
      <c r="BG35" s="572"/>
      <c r="BH35" s="410">
        <f>+BH240+BH281+BH322+BH376+BH466 +BH435+BH410  - BH34</f>
        <v>0</v>
      </c>
      <c r="BI35" s="410">
        <f>+BI240+BI281+BI322+BI376+BI466 +BI435+BI410  - BI34</f>
        <v>0</v>
      </c>
      <c r="BJ35" s="410">
        <f>+BJ240+BJ281+BJ322+BJ376+BJ466 +BJ435+BJ410  - BJ34</f>
        <v>0</v>
      </c>
      <c r="BK35" s="572"/>
      <c r="BL35" s="410">
        <f>+BL240+BL281+BL322+BL376+BL466 +BL435+BL410  - BL34</f>
        <v>0</v>
      </c>
      <c r="BM35" s="410">
        <f>+BM240+BM281+BM322+BM376+BM466 +BM435+BM410  - BM34</f>
        <v>0</v>
      </c>
      <c r="BN35" s="410">
        <f>+BN240+BN281+BN322+BN376+BN466 +BN435+BN410  - BN34</f>
        <v>0</v>
      </c>
      <c r="BO35" s="572"/>
      <c r="BP35" s="410">
        <f>+BP240+BP281+BP322+BP376+BP466 +BP435+BP410  - BP34</f>
        <v>0</v>
      </c>
      <c r="BQ35" s="410">
        <f>+BQ240+BQ281+BQ322+BQ376+BQ466 +BQ435+BQ410  - BQ34</f>
        <v>0</v>
      </c>
      <c r="BR35" s="410">
        <f>+BR240+BR281+BR322+BR376+BR466 +BR435+BR410  - BR34</f>
        <v>0</v>
      </c>
      <c r="BS35" s="572"/>
      <c r="BT35" s="410">
        <f>+BT240+BT281+BT322+BT376+BT466 +BT435+BT410  - BT34</f>
        <v>0</v>
      </c>
      <c r="BU35" s="410">
        <f>+BU240+BU281+BU322+BU376+BU466 +BU435+BU410  - BU34</f>
        <v>0</v>
      </c>
      <c r="BV35" s="410">
        <f>+BV240+BV281+BV322+BV376+BV466 +BV435+BV410  - BV34</f>
        <v>0</v>
      </c>
      <c r="BW35" s="572"/>
      <c r="BX35" s="410">
        <f>+BX240+BX281+BX322+BX376+BX466 +BX435+BX410  - BX34</f>
        <v>0</v>
      </c>
      <c r="BY35" s="410">
        <f>+BY240+BY281+BY322+BY376+BY466 +BY435+BY410  - BY34</f>
        <v>0</v>
      </c>
      <c r="BZ35" s="410">
        <f>+BZ240+BZ281+BZ322+BZ376+BZ466 +BZ435+BZ410  - BZ34</f>
        <v>0</v>
      </c>
    </row>
    <row r="36" spans="1:78">
      <c r="D36" s="136"/>
      <c r="E36" s="136"/>
      <c r="F36" s="136"/>
      <c r="G36" s="136"/>
      <c r="H36" s="136"/>
      <c r="I36" s="136"/>
      <c r="J36" s="262"/>
      <c r="K36" s="262"/>
      <c r="L36" s="262"/>
      <c r="M36" s="262"/>
      <c r="N36" s="262"/>
      <c r="O36" s="136"/>
      <c r="P36" s="136"/>
      <c r="Q36" s="136"/>
      <c r="R36" s="136"/>
      <c r="S36" s="136"/>
      <c r="T36" s="136"/>
      <c r="U36" s="136"/>
      <c r="V36" s="136"/>
      <c r="X36" s="136"/>
      <c r="Y36" s="136"/>
      <c r="Z36" s="136"/>
      <c r="AA36" s="573"/>
      <c r="AB36" s="136"/>
      <c r="AC36" s="136"/>
      <c r="AD36" s="136"/>
      <c r="AE36" s="573"/>
      <c r="AF36" s="136"/>
      <c r="AG36" s="136"/>
      <c r="AH36" s="136"/>
      <c r="AI36" s="573"/>
      <c r="AJ36" s="136"/>
      <c r="AK36" s="136"/>
      <c r="AL36" s="136"/>
      <c r="AM36" s="573"/>
      <c r="AN36" s="136"/>
      <c r="AO36" s="136"/>
      <c r="AP36" s="136"/>
      <c r="AQ36" s="573"/>
      <c r="AU36" s="573"/>
      <c r="AY36" s="573"/>
      <c r="BC36" s="573"/>
      <c r="BG36" s="573"/>
    </row>
    <row r="37" spans="1:78" s="140" customFormat="1">
      <c r="A37" s="149"/>
      <c r="B37" s="148" t="s">
        <v>2</v>
      </c>
      <c r="C37" s="262" t="s">
        <v>39</v>
      </c>
      <c r="D37" s="264">
        <v>-5.2480000000000002</v>
      </c>
      <c r="E37" s="136">
        <f>F37-D37</f>
        <v>-10.971999999999998</v>
      </c>
      <c r="F37" s="264">
        <v>-16.22</v>
      </c>
      <c r="G37" s="232"/>
      <c r="H37" s="264">
        <v>-6.6639999999999997</v>
      </c>
      <c r="I37" s="136">
        <f>J37-H37</f>
        <v>-11.065</v>
      </c>
      <c r="J37" s="264">
        <v>-17.728999999999999</v>
      </c>
      <c r="K37" s="323"/>
      <c r="L37" s="264">
        <v>-7.3479999999999999</v>
      </c>
      <c r="M37" s="262">
        <f>N37-L37</f>
        <v>-12.45</v>
      </c>
      <c r="N37" s="264">
        <v>-19.797999999999998</v>
      </c>
      <c r="O37" s="232"/>
      <c r="P37" s="264">
        <v>-9.4649999999999999</v>
      </c>
      <c r="Q37" s="136">
        <f>R37-P37</f>
        <v>-10.992000000000001</v>
      </c>
      <c r="R37" s="264">
        <v>-20.457000000000001</v>
      </c>
      <c r="S37" s="232"/>
      <c r="T37" s="264">
        <v>-9.4649999999999999</v>
      </c>
      <c r="U37" s="136">
        <f>V37-T37</f>
        <v>-13.619</v>
      </c>
      <c r="V37" s="264">
        <v>-23.084</v>
      </c>
      <c r="X37" s="264">
        <v>-13.74</v>
      </c>
      <c r="Y37" s="136">
        <f>Z37-X37</f>
        <v>-15.357999999999999</v>
      </c>
      <c r="Z37" s="264">
        <v>-29.097999999999999</v>
      </c>
      <c r="AA37" s="574"/>
      <c r="AB37" s="264">
        <v>-13.292999999999999</v>
      </c>
      <c r="AC37" s="136">
        <f>AD37-AB37</f>
        <v>-18.774999999999999</v>
      </c>
      <c r="AD37" s="264">
        <v>-32.067999999999998</v>
      </c>
      <c r="AE37" s="574"/>
      <c r="AF37" s="264">
        <v>-19.29</v>
      </c>
      <c r="AG37" s="136">
        <f>AH37-AF37</f>
        <v>-32.249000000000002</v>
      </c>
      <c r="AH37" s="264">
        <v>-51.539000000000001</v>
      </c>
      <c r="AI37" s="574"/>
      <c r="AJ37" s="264">
        <v>-30.791</v>
      </c>
      <c r="AK37" s="136">
        <f>AL37-AJ37</f>
        <v>-38.221999999999994</v>
      </c>
      <c r="AL37" s="264">
        <f>-69.011-0.002</f>
        <v>-69.012999999999991</v>
      </c>
      <c r="AM37" s="574"/>
      <c r="AN37" s="168">
        <v>-35.000999999999998</v>
      </c>
      <c r="AO37" s="136">
        <f>AP37-AN37</f>
        <v>-48.704000000000001</v>
      </c>
      <c r="AP37" s="912">
        <v>-83.704999999999998</v>
      </c>
      <c r="AQ37" s="574"/>
      <c r="AR37" s="161">
        <f>-AR38*AR34</f>
        <v>-40.265136616325037</v>
      </c>
      <c r="AS37" s="161">
        <f>-AS38*AS34</f>
        <v>-52.562673025950026</v>
      </c>
      <c r="AT37" s="161">
        <f t="shared" ref="AT37" si="119">+AR37+AS37</f>
        <v>-92.827809642275071</v>
      </c>
      <c r="AU37" s="574"/>
      <c r="AV37" s="161">
        <f>-AV38*AV34</f>
        <v>-43.388782776659291</v>
      </c>
      <c r="AW37" s="161">
        <f>-AW38*AW34</f>
        <v>-57.297663630492423</v>
      </c>
      <c r="AX37" s="161">
        <f t="shared" ref="AX37" si="120">+AV37+AW37</f>
        <v>-100.68644640715172</v>
      </c>
      <c r="AY37" s="574"/>
      <c r="AZ37" s="161">
        <f>-AZ38*AZ34</f>
        <v>-47.12867095094002</v>
      </c>
      <c r="BA37" s="161">
        <f>-BA38*BA34</f>
        <v>-61.830988033721241</v>
      </c>
      <c r="BB37" s="161">
        <f t="shared" ref="BB37" si="121">+AZ37+BA37</f>
        <v>-108.95965898466126</v>
      </c>
      <c r="BC37" s="574"/>
      <c r="BD37" s="161">
        <f>-BD38*BD34</f>
        <v>-49.235744969908183</v>
      </c>
      <c r="BE37" s="161">
        <f>-BE38*BE34</f>
        <v>-64.633731504110173</v>
      </c>
      <c r="BF37" s="161">
        <f t="shared" ref="BF37" si="122">+BD37+BE37</f>
        <v>-113.86947647401836</v>
      </c>
      <c r="BG37" s="574"/>
      <c r="BH37" s="161">
        <f>-BH38*BH34</f>
        <v>-51.441128012415597</v>
      </c>
      <c r="BI37" s="161">
        <f>-BI38*BI34</f>
        <v>-67.568698850838032</v>
      </c>
      <c r="BJ37" s="161">
        <f t="shared" ref="BJ37" si="123">+BH37+BI37</f>
        <v>-119.00982686325364</v>
      </c>
      <c r="BL37" s="161">
        <f>-BL38*BL34</f>
        <v>-53.749645652838659</v>
      </c>
      <c r="BM37" s="161">
        <f>-BM38*BM34</f>
        <v>-70.642388918082361</v>
      </c>
      <c r="BN37" s="161">
        <f t="shared" ref="BN37" si="124">+BL37+BM37</f>
        <v>-124.39203457092103</v>
      </c>
      <c r="BP37" s="161">
        <f>-BP38*BP34</f>
        <v>-56.166367108652182</v>
      </c>
      <c r="BQ37" s="161">
        <f>-BQ38*BQ34</f>
        <v>-73.861627339394644</v>
      </c>
      <c r="BR37" s="161">
        <f t="shared" ref="BR37" si="125">+BP37+BQ37</f>
        <v>-130.02799444804683</v>
      </c>
      <c r="BT37" s="161">
        <f>-BT38*BT34</f>
        <v>-58.696617749269599</v>
      </c>
      <c r="BU37" s="161">
        <f>-BU38*BU34</f>
        <v>-77.233583203500629</v>
      </c>
      <c r="BV37" s="161">
        <f t="shared" ref="BV37" si="126">+BT37+BU37</f>
        <v>-135.93020095277024</v>
      </c>
      <c r="BX37" s="161">
        <f>-BX38*BX34</f>
        <v>-61.345992254587856</v>
      </c>
      <c r="BY37" s="161">
        <f>-BY38*BY34</f>
        <v>-80.765786578876757</v>
      </c>
      <c r="BZ37" s="161">
        <f t="shared" ref="BZ37" si="127">+BX37+BY37</f>
        <v>-142.1117788334646</v>
      </c>
    </row>
    <row r="38" spans="1:78" s="140" customFormat="1">
      <c r="A38" s="149"/>
      <c r="B38" s="314" t="s">
        <v>263</v>
      </c>
      <c r="D38" s="342">
        <f>-D37/D34</f>
        <v>0.25313524985529673</v>
      </c>
      <c r="E38" s="342">
        <f>-E37/E34</f>
        <v>0.26232486969827362</v>
      </c>
      <c r="F38" s="342">
        <f>-F37/F34</f>
        <v>0.28446159242371089</v>
      </c>
      <c r="G38" s="232"/>
      <c r="H38" s="342">
        <f>-H37/H34</f>
        <v>0.30970860250034832</v>
      </c>
      <c r="I38" s="342">
        <f>-I37/I34</f>
        <v>0.27574949535225635</v>
      </c>
      <c r="J38" s="342">
        <f>-J37/J34</f>
        <v>0.30148796871014411</v>
      </c>
      <c r="K38" s="323"/>
      <c r="L38" s="342">
        <f>-L37/L34</f>
        <v>0.32035575707372344</v>
      </c>
      <c r="M38" s="342">
        <f>-M37/M34</f>
        <v>0.28173794976238947</v>
      </c>
      <c r="N38" s="342">
        <f>-N37/N34</f>
        <v>0.3036875690268746</v>
      </c>
      <c r="O38" s="232"/>
      <c r="P38" s="342">
        <f>-P37/P34</f>
        <v>0.3252130291368881</v>
      </c>
      <c r="Q38" s="342">
        <f>-Q37/Q34</f>
        <v>0.26287217505679783</v>
      </c>
      <c r="R38" s="342">
        <f>-R37/R34</f>
        <v>0.28979614965080541</v>
      </c>
      <c r="S38" s="232"/>
      <c r="T38" s="332">
        <f>-T37/T34</f>
        <v>0.29223786587625017</v>
      </c>
      <c r="U38" s="332">
        <f>-U37/U34</f>
        <v>0.32682201051090676</v>
      </c>
      <c r="V38" s="332">
        <f>-V37/V34</f>
        <v>0.31169743042709197</v>
      </c>
      <c r="W38" s="310"/>
      <c r="X38" s="332">
        <f>-X37/X34</f>
        <v>0.31365566360772495</v>
      </c>
      <c r="Y38" s="332">
        <f>-Y37/Y34</f>
        <v>0.30312240950538816</v>
      </c>
      <c r="Z38" s="332">
        <f>-Z37/Z34</f>
        <v>0.30800660513167893</v>
      </c>
      <c r="AA38" s="570"/>
      <c r="AB38" s="332">
        <f>-AB37/AB34</f>
        <v>0.30329234068767241</v>
      </c>
      <c r="AC38" s="332">
        <f>-AC37/AC34</f>
        <v>0.3014708243681557</v>
      </c>
      <c r="AD38" s="332">
        <f>-AD37/AD34</f>
        <v>0.30222322749677233</v>
      </c>
      <c r="AE38" s="570"/>
      <c r="AF38" s="332">
        <f>-AF37/AF34</f>
        <v>0.29222402326884928</v>
      </c>
      <c r="AG38" s="332">
        <f>-AG37/AG34</f>
        <v>0.28107377870745626</v>
      </c>
      <c r="AH38" s="332">
        <f>-AH37/AH34</f>
        <v>0.28514600599736639</v>
      </c>
      <c r="AI38" s="570"/>
      <c r="AJ38" s="332">
        <f>-AJ37/AJ34</f>
        <v>0.30455682930930439</v>
      </c>
      <c r="AK38" s="332">
        <f>-AK37/AK34</f>
        <v>0.27515855704094039</v>
      </c>
      <c r="AL38" s="332">
        <f>-AL37/AL34</f>
        <v>0.28751583122250357</v>
      </c>
      <c r="AM38" s="570"/>
      <c r="AN38" s="332">
        <f>-AN37/AN34</f>
        <v>0.30565355595920085</v>
      </c>
      <c r="AO38" s="332">
        <f>-AO37/AO34</f>
        <v>0.28742741135923727</v>
      </c>
      <c r="AP38" s="332">
        <f>-AP37/AP34</f>
        <v>0.29475459712235308</v>
      </c>
      <c r="AQ38" s="570"/>
      <c r="AR38" s="333">
        <v>0.30499999999999999</v>
      </c>
      <c r="AS38" s="333">
        <v>0.28499999999999998</v>
      </c>
      <c r="AT38" s="332">
        <f>-AT37/AT34</f>
        <v>0.29334368645991793</v>
      </c>
      <c r="AU38" s="570"/>
      <c r="AV38" s="333">
        <v>0.30499999999999999</v>
      </c>
      <c r="AW38" s="333">
        <v>0.28499999999999998</v>
      </c>
      <c r="AX38" s="332">
        <f t="shared" ref="AX38" si="128">-AX37/AX34</f>
        <v>0.29328763003896063</v>
      </c>
      <c r="AY38" s="570"/>
      <c r="AZ38" s="333">
        <v>0.30499999999999999</v>
      </c>
      <c r="BA38" s="333">
        <v>0.28499999999999998</v>
      </c>
      <c r="BB38" s="332">
        <f t="shared" ref="BB38" si="129">-BB37/BB34</f>
        <v>0.29331936837115313</v>
      </c>
      <c r="BC38" s="570"/>
      <c r="BD38" s="333">
        <v>0.30499999999999999</v>
      </c>
      <c r="BE38" s="333">
        <v>0.28499999999999998</v>
      </c>
      <c r="BF38" s="332">
        <f t="shared" ref="BF38" si="130">-BF37/BF34</f>
        <v>0.29331648518186515</v>
      </c>
      <c r="BG38" s="570"/>
      <c r="BH38" s="333">
        <v>0.30499999999999999</v>
      </c>
      <c r="BI38" s="333">
        <v>0.28499999999999998</v>
      </c>
      <c r="BJ38" s="332">
        <f t="shared" ref="BJ38" si="131">-BJ37/BJ34</f>
        <v>0.29331361756325464</v>
      </c>
      <c r="BK38" s="570"/>
      <c r="BL38" s="333">
        <v>0.30499999999999999</v>
      </c>
      <c r="BM38" s="333">
        <v>0.28499999999999998</v>
      </c>
      <c r="BN38" s="332">
        <f t="shared" ref="BN38" si="132">-BN37/BN34</f>
        <v>0.29331076876255679</v>
      </c>
      <c r="BO38" s="570"/>
      <c r="BP38" s="333">
        <v>0.30499999999999999</v>
      </c>
      <c r="BQ38" s="333">
        <v>0.28499999999999998</v>
      </c>
      <c r="BR38" s="332">
        <f t="shared" ref="BR38" si="133">-BR37/BR34</f>
        <v>0.29330794186683978</v>
      </c>
      <c r="BS38" s="570"/>
      <c r="BT38" s="333">
        <v>0.30499999999999999</v>
      </c>
      <c r="BU38" s="333">
        <v>0.28499999999999998</v>
      </c>
      <c r="BV38" s="332">
        <f t="shared" ref="BV38" si="134">-BV37/BV34</f>
        <v>0.29330513980740985</v>
      </c>
      <c r="BW38" s="570"/>
      <c r="BX38" s="333">
        <v>0.30499999999999999</v>
      </c>
      <c r="BY38" s="333">
        <v>0.28499999999999998</v>
      </c>
      <c r="BZ38" s="332">
        <f t="shared" ref="BZ38" si="135">-BZ37/BZ34</f>
        <v>0.29330236536410503</v>
      </c>
    </row>
    <row r="39" spans="1:78" s="140" customFormat="1">
      <c r="A39" s="149"/>
      <c r="B39" s="149" t="s">
        <v>165</v>
      </c>
      <c r="C39" s="323" t="s">
        <v>406</v>
      </c>
      <c r="D39" s="232">
        <f>D37+D34</f>
        <v>15.483999999999952</v>
      </c>
      <c r="E39" s="232">
        <f>E37+E34</f>
        <v>30.854000000000024</v>
      </c>
      <c r="F39" s="232">
        <f>F37+F34</f>
        <v>40.800000000000011</v>
      </c>
      <c r="G39" s="232"/>
      <c r="H39" s="232">
        <f>H37+H34</f>
        <v>14.853000000000018</v>
      </c>
      <c r="I39" s="232">
        <f>I37+I34</f>
        <v>29.062000000000033</v>
      </c>
      <c r="J39" s="232">
        <f>J37+J34</f>
        <v>41.075999999999915</v>
      </c>
      <c r="K39" s="232"/>
      <c r="L39" s="232">
        <f>L37+L34</f>
        <v>15.589000000000016</v>
      </c>
      <c r="M39" s="232">
        <f>M37+M34</f>
        <v>31.740000000000027</v>
      </c>
      <c r="N39" s="232">
        <f>N37+N34</f>
        <v>45.393999999999963</v>
      </c>
      <c r="O39" s="232"/>
      <c r="P39" s="232">
        <f>P37+P34</f>
        <v>19.639000000000024</v>
      </c>
      <c r="Q39" s="232">
        <f>Q37+Q34</f>
        <v>30.822999999999997</v>
      </c>
      <c r="R39" s="232">
        <f>R37+R34</f>
        <v>50.133999999999979</v>
      </c>
      <c r="S39" s="232"/>
      <c r="T39" s="232">
        <f>T37+T34</f>
        <v>22.923000000000034</v>
      </c>
      <c r="U39" s="232">
        <f>U37+U34</f>
        <v>28.052000000000014</v>
      </c>
      <c r="V39" s="232">
        <f>V37+V34</f>
        <v>50.97499999999998</v>
      </c>
      <c r="W39" s="310"/>
      <c r="X39" s="232">
        <f>X37+X34</f>
        <v>30.066000000000003</v>
      </c>
      <c r="Y39" s="232">
        <f>Y37+Y34</f>
        <v>35.308000000000014</v>
      </c>
      <c r="Z39" s="232">
        <f>Z37+Z34</f>
        <v>65.37400000000008</v>
      </c>
      <c r="AA39" s="136"/>
      <c r="AB39" s="232">
        <f>AB37+AB34</f>
        <v>30.536000000000016</v>
      </c>
      <c r="AC39" s="232">
        <f>AC37+AC34</f>
        <v>43.502999999999993</v>
      </c>
      <c r="AD39" s="232">
        <f>AD37+AD34</f>
        <v>74.038999999999916</v>
      </c>
      <c r="AE39" s="136"/>
      <c r="AF39" s="232">
        <f>AF37+AF34</f>
        <v>46.720999999999968</v>
      </c>
      <c r="AG39" s="232">
        <f>AG37+AG34</f>
        <v>82.486000000000018</v>
      </c>
      <c r="AH39" s="232">
        <f>AH37+AH34-0.1</f>
        <v>129.10700000000006</v>
      </c>
      <c r="AI39" s="566">
        <f>AF39+AG39-AH39</f>
        <v>9.9999999999937472E-2</v>
      </c>
      <c r="AJ39" s="232">
        <f>AJ37+AJ34</f>
        <v>70.310000000000059</v>
      </c>
      <c r="AK39" s="232">
        <f>AK37+AK34</f>
        <v>100.68700000000003</v>
      </c>
      <c r="AL39" s="140">
        <f>AL37+AL34</f>
        <v>171.01900000000006</v>
      </c>
      <c r="AM39" s="566">
        <f>AJ39+AK39-AL39</f>
        <v>-2.199999999999136E-2</v>
      </c>
      <c r="AN39" s="232">
        <f>AN37+AN34</f>
        <v>79.510999999999967</v>
      </c>
      <c r="AO39" s="232">
        <f>AO37+AO34</f>
        <v>120.74399999999986</v>
      </c>
      <c r="AP39" s="140">
        <f>AP37+AP34</f>
        <v>200.27699999999976</v>
      </c>
      <c r="AQ39" s="566">
        <f>AN39+AO39-AP39</f>
        <v>-2.1999999999934516E-2</v>
      </c>
      <c r="AR39" s="232">
        <f>AR37+AR34</f>
        <v>91.751704748675081</v>
      </c>
      <c r="AS39" s="232">
        <f>AS37+AS34</f>
        <v>131.86775864405007</v>
      </c>
      <c r="AT39" s="232">
        <f>AT37+AT34</f>
        <v>223.6194633927249</v>
      </c>
      <c r="AU39" s="566">
        <f>AR39+AS39-AT39</f>
        <v>2.5579538487363607E-13</v>
      </c>
      <c r="AV39" s="232">
        <f>AV37+AV34</f>
        <v>98.86952140910887</v>
      </c>
      <c r="AW39" s="232">
        <f>AW37+AW34</f>
        <v>143.74677016070908</v>
      </c>
      <c r="AX39" s="232">
        <f>AX37+AX34</f>
        <v>242.61629156981792</v>
      </c>
      <c r="AY39" s="566">
        <f>AV39+AW39-AX39</f>
        <v>0</v>
      </c>
      <c r="AZ39" s="232">
        <f>AZ37+AZ34</f>
        <v>107.39156167509283</v>
      </c>
      <c r="BA39" s="232">
        <f>BA37+BA34</f>
        <v>155.11984717231823</v>
      </c>
      <c r="BB39" s="232">
        <f>BB37+BB34</f>
        <v>262.51140884741119</v>
      </c>
      <c r="BC39" s="566">
        <f>AZ39+BA39-BB39</f>
        <v>0</v>
      </c>
      <c r="BD39" s="232">
        <f>BD37+BD34</f>
        <v>112.19292706257767</v>
      </c>
      <c r="BE39" s="232">
        <f>BE37+BE34</f>
        <v>162.15129131732908</v>
      </c>
      <c r="BF39" s="232">
        <f>BF37+BF34</f>
        <v>274.34421837990647</v>
      </c>
      <c r="BG39" s="566">
        <f>BD39+BE39-BF39</f>
        <v>0</v>
      </c>
      <c r="BH39" s="232">
        <f>BH37+BH34</f>
        <v>117.21830809386506</v>
      </c>
      <c r="BI39" s="232">
        <f>BI37+BI34</f>
        <v>169.51445501175158</v>
      </c>
      <c r="BJ39" s="232">
        <f>BJ37+BJ34</f>
        <v>286.73276310561658</v>
      </c>
      <c r="BK39" s="489">
        <f>BH39+BI39-BJ39</f>
        <v>0</v>
      </c>
      <c r="BL39" s="232">
        <f>BL37+BL34</f>
        <v>122.47870074991104</v>
      </c>
      <c r="BM39" s="232">
        <f>BM37+BM34</f>
        <v>177.22564237343471</v>
      </c>
      <c r="BN39" s="232">
        <f>BN37+BN34</f>
        <v>299.70434312334567</v>
      </c>
      <c r="BO39" s="489">
        <f>BL39+BM39-BN39</f>
        <v>0</v>
      </c>
      <c r="BP39" s="232">
        <f>BP37+BP34</f>
        <v>127.98565619840416</v>
      </c>
      <c r="BQ39" s="232">
        <f>BQ37+BQ34</f>
        <v>185.3019773602357</v>
      </c>
      <c r="BR39" s="232">
        <f>BR37+BR34</f>
        <v>313.28763355863987</v>
      </c>
      <c r="BS39" s="489">
        <f>BP39+BQ39-BR39</f>
        <v>0</v>
      </c>
      <c r="BT39" s="232">
        <f>BT37+BT34</f>
        <v>133.75130929751597</v>
      </c>
      <c r="BU39" s="232">
        <f>BU37+BU34</f>
        <v>193.76144558071212</v>
      </c>
      <c r="BV39" s="232">
        <f>BV37+BV34</f>
        <v>327.51275487822812</v>
      </c>
      <c r="BW39" s="489">
        <f>BT39+BU39-BV39</f>
        <v>0</v>
      </c>
      <c r="BX39" s="232">
        <f>BX37+BX34</f>
        <v>139.78840858012643</v>
      </c>
      <c r="BY39" s="232">
        <f>BY37+BY34</f>
        <v>202.62293825928731</v>
      </c>
      <c r="BZ39" s="232">
        <f>BZ37+BZ34</f>
        <v>342.41134683941328</v>
      </c>
    </row>
    <row r="40" spans="1:78" s="140" customFormat="1">
      <c r="A40" s="149"/>
      <c r="B40" s="578" t="s">
        <v>688</v>
      </c>
      <c r="D40" s="232"/>
      <c r="E40" s="232"/>
      <c r="F40" s="232"/>
      <c r="G40" s="232"/>
      <c r="H40" s="232"/>
      <c r="I40" s="232"/>
      <c r="J40" s="232"/>
      <c r="K40" s="232"/>
      <c r="L40" s="232"/>
      <c r="M40" s="232"/>
      <c r="N40" s="232"/>
      <c r="O40" s="232"/>
      <c r="P40" s="232"/>
      <c r="Q40" s="232"/>
      <c r="R40" s="232"/>
      <c r="S40" s="232"/>
      <c r="T40" s="232"/>
      <c r="U40" s="232"/>
      <c r="V40" s="232"/>
      <c r="W40" s="310"/>
      <c r="X40" s="232"/>
      <c r="Y40" s="232"/>
      <c r="Z40" s="232"/>
      <c r="AA40" s="567"/>
      <c r="AB40" s="835">
        <f>+AB39/AD39</f>
        <v>0.41243128621402303</v>
      </c>
      <c r="AC40" s="835">
        <f>+AC39/AD39</f>
        <v>0.58756871378597819</v>
      </c>
      <c r="AD40" s="835">
        <f>+AB40+AC40</f>
        <v>1.0000000000000013</v>
      </c>
      <c r="AE40" s="567"/>
      <c r="AF40" s="835">
        <f>+AF39/AH39</f>
        <v>0.36187813209198533</v>
      </c>
      <c r="AG40" s="835">
        <f>+AG39/AH39</f>
        <v>0.63889641924914975</v>
      </c>
      <c r="AH40" s="835">
        <f>+AF40+AG40</f>
        <v>1.000774551341135</v>
      </c>
      <c r="AI40" s="567"/>
      <c r="AJ40" s="835">
        <f>+AJ39/AL39</f>
        <v>0.4111239102088074</v>
      </c>
      <c r="AK40" s="835">
        <f t="shared" ref="AK40" si="136">+AK39/AL39</f>
        <v>0.58874744911384114</v>
      </c>
      <c r="AL40" s="835">
        <f t="shared" ref="AL40" si="137">+AJ40+AK40</f>
        <v>0.99987135932264848</v>
      </c>
      <c r="AM40" s="567"/>
      <c r="AN40" s="835">
        <f>+AN39/AP39</f>
        <v>0.39700514787020008</v>
      </c>
      <c r="AO40" s="835">
        <f t="shared" ref="AO40" si="138">+AO39/AP39</f>
        <v>0.60288500426908731</v>
      </c>
      <c r="AP40" s="835">
        <f t="shared" ref="AP40" si="139">+AN40+AO40</f>
        <v>0.99989015213928734</v>
      </c>
      <c r="AQ40" s="567"/>
      <c r="AR40" s="835">
        <f t="shared" ref="AR40" si="140">+AR39/AT39</f>
        <v>0.41030285716918535</v>
      </c>
      <c r="AS40" s="835">
        <f t="shared" ref="AS40" si="141">+AS39/AT39</f>
        <v>0.58969714283081576</v>
      </c>
      <c r="AT40" s="835">
        <f t="shared" ref="AT40" si="142">+AR40+AS40</f>
        <v>1.0000000000000011</v>
      </c>
      <c r="AU40" s="567"/>
      <c r="AV40" s="835">
        <f t="shared" ref="AV40" si="143">+AV39/AX39</f>
        <v>0.40751394215691855</v>
      </c>
      <c r="AW40" s="835">
        <f t="shared" ref="AW40" si="144">+AW39/AX39</f>
        <v>0.5924860578430815</v>
      </c>
      <c r="AX40" s="835">
        <f t="shared" ref="AX40" si="145">+AV40+AW40</f>
        <v>1</v>
      </c>
      <c r="AY40" s="567"/>
      <c r="AZ40" s="835">
        <f t="shared" ref="AZ40" si="146">+AZ39/BB39</f>
        <v>0.40909293103339306</v>
      </c>
      <c r="BA40" s="835">
        <f t="shared" ref="BA40" si="147">+BA39/BB39</f>
        <v>0.5909070689666065</v>
      </c>
      <c r="BB40" s="835">
        <f t="shared" ref="BB40" si="148">+AZ40+BA40</f>
        <v>0.99999999999999956</v>
      </c>
      <c r="BC40" s="567"/>
      <c r="BD40" s="835">
        <f t="shared" ref="BD40" si="149">+BD39/BF39</f>
        <v>0.40894948588716062</v>
      </c>
      <c r="BE40" s="835">
        <f t="shared" ref="BE40" si="150">+BE39/BF39</f>
        <v>0.59105051411284037</v>
      </c>
      <c r="BF40" s="835">
        <f t="shared" ref="BF40" si="151">+BD40+BE40</f>
        <v>1.0000000000000009</v>
      </c>
      <c r="BG40" s="567"/>
      <c r="BH40" s="835">
        <f t="shared" ref="BH40" si="152">+BH39/BJ39</f>
        <v>0.40880681657815393</v>
      </c>
      <c r="BI40" s="835">
        <f t="shared" ref="BI40" si="153">+BI39/BJ39</f>
        <v>0.59119318342184624</v>
      </c>
      <c r="BJ40" s="835">
        <f t="shared" ref="BJ40" si="154">+BH40+BI40</f>
        <v>1.0000000000000002</v>
      </c>
      <c r="BK40" s="567"/>
      <c r="BL40" s="835">
        <f t="shared" ref="BL40" si="155">+BL39/BN39</f>
        <v>0.40866508464144602</v>
      </c>
      <c r="BM40" s="835">
        <f t="shared" ref="BM40" si="156">+BM39/BN39</f>
        <v>0.5913349153585542</v>
      </c>
      <c r="BN40" s="835">
        <f t="shared" ref="BN40" si="157">+BL40+BM40</f>
        <v>1.0000000000000002</v>
      </c>
      <c r="BO40" s="567"/>
      <c r="BP40" s="835">
        <f t="shared" ref="BP40" si="158">+BP39/BR39</f>
        <v>0.408524443638623</v>
      </c>
      <c r="BQ40" s="835">
        <f t="shared" ref="BQ40" si="159">+BQ39/BR39</f>
        <v>0.59147555636137694</v>
      </c>
      <c r="BR40" s="835">
        <f t="shared" ref="BR40" si="160">+BP40+BQ40</f>
        <v>1</v>
      </c>
      <c r="BS40" s="567"/>
      <c r="BT40" s="835">
        <f t="shared" ref="BT40" si="161">+BT39/BV39</f>
        <v>0.40838503937730847</v>
      </c>
      <c r="BU40" s="835">
        <f t="shared" ref="BU40" si="162">+BU39/BV39</f>
        <v>0.59161496062269148</v>
      </c>
      <c r="BV40" s="835">
        <f t="shared" ref="BV40" si="163">+BT40+BU40</f>
        <v>1</v>
      </c>
      <c r="BW40" s="567"/>
      <c r="BX40" s="835">
        <f t="shared" ref="BX40" si="164">+BX39/BZ39</f>
        <v>0.40824701012517989</v>
      </c>
      <c r="BY40" s="835">
        <f t="shared" ref="BY40" si="165">+BY39/BZ39</f>
        <v>0.5917529898748215</v>
      </c>
      <c r="BZ40" s="835">
        <f t="shared" ref="BZ40" si="166">+BX40+BY40</f>
        <v>1.0000000000000013</v>
      </c>
    </row>
    <row r="41" spans="1:78" s="140" customFormat="1">
      <c r="A41" s="149"/>
      <c r="B41" s="149"/>
      <c r="D41" s="232"/>
      <c r="E41" s="232"/>
      <c r="F41" s="232"/>
      <c r="G41" s="232"/>
      <c r="H41" s="232"/>
      <c r="I41" s="232"/>
      <c r="J41" s="232"/>
      <c r="K41" s="232"/>
      <c r="L41" s="232"/>
      <c r="M41" s="232"/>
      <c r="N41" s="232"/>
      <c r="O41" s="232"/>
      <c r="P41" s="232"/>
      <c r="Q41" s="232"/>
      <c r="R41" s="232"/>
      <c r="S41" s="232"/>
      <c r="T41" s="232"/>
      <c r="U41" s="232"/>
      <c r="V41" s="232"/>
      <c r="W41" s="136"/>
      <c r="X41" s="232"/>
      <c r="Y41" s="232"/>
      <c r="Z41" s="232"/>
      <c r="AA41" s="570"/>
      <c r="AB41" s="232"/>
      <c r="AC41" s="232"/>
      <c r="AD41" s="232"/>
      <c r="AE41" s="570"/>
      <c r="AF41" s="232"/>
      <c r="AG41" s="232"/>
      <c r="AH41" s="232"/>
      <c r="AI41" s="570"/>
      <c r="AJ41" s="232"/>
      <c r="AK41" s="232"/>
      <c r="AL41" s="232"/>
      <c r="AM41" s="570"/>
      <c r="AN41" s="232"/>
      <c r="AO41" s="232"/>
      <c r="AP41" s="232"/>
      <c r="AQ41" s="570"/>
      <c r="AT41" s="232"/>
      <c r="AU41" s="570"/>
      <c r="AX41" s="232"/>
      <c r="AY41" s="570"/>
      <c r="BB41" s="232"/>
      <c r="BC41" s="570"/>
      <c r="BF41" s="232"/>
      <c r="BG41" s="570"/>
      <c r="BJ41" s="232"/>
      <c r="BK41" s="136"/>
      <c r="BN41" s="232"/>
      <c r="BO41" s="136"/>
      <c r="BR41" s="232"/>
      <c r="BS41" s="136"/>
      <c r="BV41" s="232"/>
      <c r="BW41" s="136"/>
      <c r="BZ41" s="232"/>
    </row>
    <row r="42" spans="1:78" s="135" customFormat="1">
      <c r="A42" s="134"/>
      <c r="B42" s="132" t="s">
        <v>630</v>
      </c>
      <c r="C42" s="262" t="s">
        <v>406</v>
      </c>
      <c r="D42" s="136">
        <f>+D211+D267+D293+D346</f>
        <v>141.761</v>
      </c>
      <c r="E42" s="136">
        <f>+E211+E267+E293+E346</f>
        <v>155.79500000000002</v>
      </c>
      <c r="F42" s="136">
        <f>+F211+F267+F293+F346</f>
        <v>297.55600000000004</v>
      </c>
      <c r="G42" s="232"/>
      <c r="H42" s="136">
        <f>+H211+H267+H293+H346</f>
        <v>138.22499999999999</v>
      </c>
      <c r="I42" s="136">
        <f>+I211+I267+I293+I346</f>
        <v>172.29300000000001</v>
      </c>
      <c r="J42" s="136">
        <f>+J211+J267+J293+J346</f>
        <v>310.51800000000003</v>
      </c>
      <c r="K42" s="232"/>
      <c r="L42" s="136">
        <f>+L211+L267+L293+L346</f>
        <v>150.82400000000001</v>
      </c>
      <c r="M42" s="136">
        <f>+M211+M267+M293+M346</f>
        <v>220.976</v>
      </c>
      <c r="N42" s="136">
        <f>+N211+N267+N293+N346</f>
        <v>371.8</v>
      </c>
      <c r="O42" s="232"/>
      <c r="P42" s="136">
        <f>+P211+P267+P293+P346</f>
        <v>212.8</v>
      </c>
      <c r="Q42" s="136">
        <f>+Q211+Q267+Q293+Q346</f>
        <v>224</v>
      </c>
      <c r="R42" s="136">
        <f>+R211+R267+R293+R346</f>
        <v>436.8</v>
      </c>
      <c r="S42" s="232"/>
      <c r="T42" s="136">
        <f>+T211+T267+T293+T346</f>
        <v>216.50000000000003</v>
      </c>
      <c r="U42" s="136">
        <f>+U211+U267+U293+U346</f>
        <v>255.29999999999998</v>
      </c>
      <c r="V42" s="136">
        <f>+V211+V267+V293+V346</f>
        <v>471.8</v>
      </c>
      <c r="W42" s="232"/>
      <c r="X42" s="136">
        <f>+X211+X267+X293+X346</f>
        <v>257.5</v>
      </c>
      <c r="Y42" s="136">
        <f>+Y211+Y267+Y293+Y346</f>
        <v>305.09999999999997</v>
      </c>
      <c r="Z42" s="136">
        <f>+Z211+Z267+Z293+Z346</f>
        <v>562.59999999999991</v>
      </c>
      <c r="AA42" s="232"/>
      <c r="AB42" s="136">
        <f>+AB211+AB267+AB293+AB346</f>
        <v>295.00000000000006</v>
      </c>
      <c r="AC42" s="136">
        <f>+AC211+AC267+AC293+AC346</f>
        <v>334.98</v>
      </c>
      <c r="AD42" s="136">
        <f>+AD211+AD267+AD293+AD346</f>
        <v>629.98</v>
      </c>
      <c r="AE42" s="232"/>
      <c r="AF42" s="136">
        <f>+AF211+AF267+AF293+AF346</f>
        <v>338.70000000000005</v>
      </c>
      <c r="AG42" s="136">
        <f>+AG211+AG267+AG293+AG346</f>
        <v>392.149</v>
      </c>
      <c r="AH42" s="136">
        <f>+AH211+AH267+AH293+AH346</f>
        <v>730.84900000000005</v>
      </c>
      <c r="AI42" s="232"/>
      <c r="AJ42" s="136">
        <f>+AJ211+AJ267+AJ293+AJ346</f>
        <v>386.20000000000005</v>
      </c>
      <c r="AK42" s="136">
        <f>+AK211+AK267+AK293+AK346</f>
        <v>433.61099999999999</v>
      </c>
      <c r="AL42" s="136">
        <f>+AL211+AL267+AL293+AL346</f>
        <v>819.81099999999992</v>
      </c>
      <c r="AM42" s="232"/>
      <c r="AN42" s="136">
        <f>+AN211+AN267+AN293+AN346</f>
        <v>442.4</v>
      </c>
      <c r="AO42" s="136">
        <f>+AO211+AO267+AO293+AO346</f>
        <v>475.30000000000007</v>
      </c>
      <c r="AP42" s="136">
        <f>+AP211+AP267+AP293+AP346</f>
        <v>917.69999999999993</v>
      </c>
      <c r="AQ42" s="232"/>
      <c r="AR42" s="136">
        <f>+AR211+AR267+AR293+AR346</f>
        <v>476.75400000000002</v>
      </c>
      <c r="AS42" s="136">
        <f>+AS211+AS267+AS293+AS346</f>
        <v>506.85300000000007</v>
      </c>
      <c r="AT42" s="136">
        <f>+AT211+AT267+AT293+AT346</f>
        <v>983.60700000000008</v>
      </c>
      <c r="AU42" s="232"/>
      <c r="AV42" s="136">
        <f>+AV211+AV267+AV293+AV346</f>
        <v>500.6138259224943</v>
      </c>
      <c r="AW42" s="136">
        <f>+AW211+AW267+AW293+AW346</f>
        <v>533.23264475492374</v>
      </c>
      <c r="AX42" s="136">
        <f>+AX211+AX267+AX293+AX346</f>
        <v>1033.846470677418</v>
      </c>
      <c r="AY42" s="232"/>
      <c r="AZ42" s="136">
        <f>+AZ211+AZ267+AZ293+AZ346</f>
        <v>524.0253447086136</v>
      </c>
      <c r="BA42" s="136">
        <f>+BA211+BA267+BA293+BA346</f>
        <v>559.05750732305501</v>
      </c>
      <c r="BB42" s="136">
        <f>+BB211+BB267+BB293+BB346</f>
        <v>1083.0828520316686</v>
      </c>
      <c r="BC42" s="232"/>
      <c r="BD42" s="136">
        <f>+BD211+BD267+BD293+BD346</f>
        <v>544.04472167235235</v>
      </c>
      <c r="BE42" s="136">
        <f>+BE211+BE267+BE293+BE346</f>
        <v>581.1023844218696</v>
      </c>
      <c r="BF42" s="136">
        <f>+BF211+BF267+BF293+BF346</f>
        <v>1125.147106094222</v>
      </c>
      <c r="BG42" s="232"/>
      <c r="BH42" s="136">
        <f>+BH211+BH267+BH293+BH346</f>
        <v>564.96182457173063</v>
      </c>
      <c r="BI42" s="136">
        <f>+BI211+BI267+BI293+BI346</f>
        <v>604.14999108929942</v>
      </c>
      <c r="BJ42" s="136">
        <f>+BJ211+BJ267+BJ293+BJ346</f>
        <v>1169.1118156610301</v>
      </c>
      <c r="BK42" s="232"/>
      <c r="BL42" s="136">
        <f>+BL211+BL267+BL293+BL346</f>
        <v>586.8208251705945</v>
      </c>
      <c r="BM42" s="136">
        <f>+BM211+BM267+BM293+BM346</f>
        <v>628.24981137400937</v>
      </c>
      <c r="BN42" s="136">
        <f>+BN211+BN267+BN293+BN346</f>
        <v>1215.070636544604</v>
      </c>
      <c r="BO42" s="232"/>
      <c r="BP42" s="136">
        <f>+BP211+BP267+BP293+BP346</f>
        <v>609.66817561511311</v>
      </c>
      <c r="BQ42" s="136">
        <f>+BQ211+BQ267+BQ293+BQ346</f>
        <v>653.45387951446912</v>
      </c>
      <c r="BR42" s="136">
        <f>+BR211+BR267+BR293+BR346</f>
        <v>1263.1220551295823</v>
      </c>
      <c r="BS42" s="232"/>
      <c r="BT42" s="136">
        <f>+BT211+BT267+BT293+BT346</f>
        <v>633.55272925647387</v>
      </c>
      <c r="BU42" s="136">
        <f>+BU211+BU267+BU293+BU346</f>
        <v>679.81691466093253</v>
      </c>
      <c r="BV42" s="136">
        <f>+BV211+BV267+BV293+BV346</f>
        <v>1313.3696439174062</v>
      </c>
      <c r="BW42" s="232"/>
      <c r="BX42" s="136">
        <f>+BX211+BX267+BX293+BX346</f>
        <v>658.52586798095319</v>
      </c>
      <c r="BY42" s="136">
        <f>+BY211+BY267+BY293+BY346</f>
        <v>707.39646283335412</v>
      </c>
      <c r="BZ42" s="136">
        <f>+BZ211+BZ267+BZ293+BZ346</f>
        <v>1365.9223308143073</v>
      </c>
    </row>
    <row r="43" spans="1:78" s="135" customFormat="1">
      <c r="A43" s="134"/>
      <c r="B43" s="132"/>
      <c r="C43" s="262"/>
      <c r="D43" s="136"/>
      <c r="E43" s="136"/>
      <c r="F43" s="136"/>
      <c r="G43" s="232"/>
      <c r="H43" s="136"/>
      <c r="I43" s="136"/>
      <c r="J43" s="136"/>
      <c r="K43" s="232"/>
      <c r="L43" s="136"/>
      <c r="M43" s="136"/>
      <c r="N43" s="136"/>
      <c r="O43" s="232"/>
      <c r="P43" s="136"/>
      <c r="Q43" s="136"/>
      <c r="R43" s="136"/>
      <c r="S43" s="232"/>
      <c r="T43" s="136"/>
      <c r="U43" s="136"/>
      <c r="V43" s="136"/>
      <c r="W43" s="232"/>
      <c r="X43" s="136"/>
      <c r="Y43" s="136"/>
      <c r="Z43" s="136"/>
      <c r="AA43" s="232"/>
      <c r="AB43" s="136"/>
      <c r="AC43" s="136"/>
      <c r="AD43" s="136"/>
      <c r="AE43" s="232"/>
      <c r="AF43" s="136"/>
      <c r="AG43" s="136"/>
      <c r="AH43" s="136"/>
      <c r="AI43" s="232"/>
      <c r="AJ43" s="136"/>
      <c r="AK43" s="136"/>
      <c r="AL43" s="136"/>
      <c r="AM43" s="232"/>
      <c r="AN43" s="136"/>
      <c r="AO43" s="136"/>
      <c r="AP43" s="136"/>
      <c r="AQ43" s="232"/>
      <c r="AR43" s="136"/>
      <c r="AS43" s="136"/>
      <c r="AT43" s="136"/>
      <c r="AU43" s="232"/>
      <c r="AV43" s="136"/>
      <c r="AW43" s="136"/>
      <c r="AX43" s="136"/>
      <c r="AY43" s="232"/>
      <c r="AZ43" s="136"/>
      <c r="BA43" s="136"/>
      <c r="BB43" s="136"/>
      <c r="BC43" s="232"/>
      <c r="BD43" s="136"/>
      <c r="BE43" s="136"/>
      <c r="BF43" s="136"/>
      <c r="BG43" s="232"/>
      <c r="BH43" s="136"/>
      <c r="BI43" s="136"/>
      <c r="BJ43" s="136"/>
      <c r="BK43" s="232"/>
      <c r="BL43" s="136"/>
      <c r="BM43" s="136"/>
      <c r="BN43" s="136"/>
      <c r="BO43" s="232"/>
      <c r="BP43" s="136"/>
      <c r="BQ43" s="136"/>
      <c r="BR43" s="136"/>
      <c r="BS43" s="232"/>
      <c r="BT43" s="136"/>
      <c r="BU43" s="136"/>
      <c r="BV43" s="136"/>
      <c r="BW43" s="232"/>
      <c r="BX43" s="136"/>
      <c r="BY43" s="136"/>
      <c r="BZ43" s="136"/>
    </row>
    <row r="44" spans="1:78" s="135" customFormat="1">
      <c r="A44" s="134"/>
      <c r="B44" s="132" t="s">
        <v>666</v>
      </c>
      <c r="C44" s="262" t="s">
        <v>406</v>
      </c>
      <c r="D44" s="136">
        <f>+D214+D295+D349+D419</f>
        <v>4.0679999999999996</v>
      </c>
      <c r="E44" s="136">
        <f>+E214+E295+E349+E419</f>
        <v>3.3960000000000004</v>
      </c>
      <c r="F44" s="136">
        <f>+F214+F295+F349+F419</f>
        <v>7.4640000000000004</v>
      </c>
      <c r="G44" s="232"/>
      <c r="H44" s="136">
        <f>+H214+H295+H349+H419</f>
        <v>3.9630000000000001</v>
      </c>
      <c r="I44" s="136">
        <f>+I214+I295+I349+I419</f>
        <v>3.0880000000000001</v>
      </c>
      <c r="J44" s="136">
        <f>+J214+J295+J349+J419</f>
        <v>7.0510000000000002</v>
      </c>
      <c r="K44" s="232"/>
      <c r="L44" s="136">
        <f>+L214+L295+L349+L419</f>
        <v>3.6429999999999998</v>
      </c>
      <c r="M44" s="136">
        <f>+M214+M295+M349+M419</f>
        <v>3.9570000000000007</v>
      </c>
      <c r="N44" s="136">
        <f>+N214+N295+N349+N419</f>
        <v>7.6</v>
      </c>
      <c r="O44" s="232"/>
      <c r="P44" s="136">
        <f>+P214+P295+P349+P419</f>
        <v>3.4</v>
      </c>
      <c r="Q44" s="136">
        <f>+Q214+Q295+Q349+Q419</f>
        <v>5.2</v>
      </c>
      <c r="R44" s="136">
        <f>+R214+R295+R349+R419</f>
        <v>8.6</v>
      </c>
      <c r="S44" s="232"/>
      <c r="T44" s="136">
        <f>+T214+T295+T349+T419</f>
        <v>3.6999999999999997</v>
      </c>
      <c r="U44" s="136">
        <f>+U214+U295+U349+U419</f>
        <v>2.5000000000000004</v>
      </c>
      <c r="V44" s="136">
        <f>+V214+V295+V349+V419</f>
        <v>6.2</v>
      </c>
      <c r="W44" s="232"/>
      <c r="X44" s="136">
        <f>+X214+X295+X349+X419</f>
        <v>1.6</v>
      </c>
      <c r="Y44" s="136">
        <f>+Y214+Y295+Y349+Y419</f>
        <v>1.1000000000000001</v>
      </c>
      <c r="Z44" s="136">
        <f>+Z214+Z295+Z349+Z419</f>
        <v>2.7</v>
      </c>
      <c r="AA44" s="232"/>
      <c r="AB44" s="136">
        <f>+AB214+AB295+AB349+AB419</f>
        <v>1.2000000000000002</v>
      </c>
      <c r="AC44" s="136">
        <f>+AC214+AC295+AC349+AC419</f>
        <v>1.25</v>
      </c>
      <c r="AD44" s="136">
        <f>+AD214+AD295+AD349+AD419</f>
        <v>2.4500000000000002</v>
      </c>
      <c r="AE44" s="232"/>
      <c r="AF44" s="136">
        <f>+AF214+AF295+AF349+AF419</f>
        <v>10.3</v>
      </c>
      <c r="AG44" s="136">
        <f>+AG214+AG295+AG349+AG419</f>
        <v>19.939999999999998</v>
      </c>
      <c r="AH44" s="136">
        <f>+AH214+AH295+AH349+AH419</f>
        <v>30.240000000000002</v>
      </c>
      <c r="AI44" s="232"/>
      <c r="AJ44" s="136">
        <f>+AJ214+AJ295+AJ349+AJ419</f>
        <v>27.65</v>
      </c>
      <c r="AK44" s="136">
        <f>+AK214+AK295+AK349+AK419</f>
        <v>28.25</v>
      </c>
      <c r="AL44" s="136">
        <f>+AL214+AL295+AL349+AL419</f>
        <v>55.9</v>
      </c>
      <c r="AM44" s="232"/>
      <c r="AN44" s="136">
        <f>+AN214+AN295+AN349+AN419</f>
        <v>32.400000000000006</v>
      </c>
      <c r="AO44" s="136">
        <f>+AO214+AO295+AO349+AO419</f>
        <v>28</v>
      </c>
      <c r="AP44" s="136">
        <f>+AP214+AP295+AP349+AP419</f>
        <v>60.4</v>
      </c>
      <c r="AQ44" s="232"/>
      <c r="AR44" s="136">
        <f>+AR214+AR295+AR349+AR419</f>
        <v>32.400000000000006</v>
      </c>
      <c r="AS44" s="136">
        <f>+AS214+AS295+AS349+AS419</f>
        <v>28.200000000000003</v>
      </c>
      <c r="AT44" s="136">
        <f>+AT214+AT295+AT349+AT419</f>
        <v>60.6</v>
      </c>
      <c r="AU44" s="232"/>
      <c r="AV44" s="136">
        <f>+AV214+AV295+AV349+AV419</f>
        <v>32.400000000000006</v>
      </c>
      <c r="AW44" s="136">
        <f>+AW214+AW295+AW349+AW419</f>
        <v>28.200000000000003</v>
      </c>
      <c r="AX44" s="136">
        <f>+AX214+AX295+AX349+AX419</f>
        <v>60.6</v>
      </c>
      <c r="AY44" s="232"/>
      <c r="AZ44" s="136">
        <f>+AZ214+AZ295+AZ349+AZ419</f>
        <v>32.400000000000006</v>
      </c>
      <c r="BA44" s="136">
        <f>+BA214+BA295+BA349+BA419</f>
        <v>28.200000000000003</v>
      </c>
      <c r="BB44" s="136">
        <f>+BB214+BB295+BB349+BB419</f>
        <v>60.6</v>
      </c>
      <c r="BC44" s="232"/>
      <c r="BD44" s="136">
        <f>+BD214+BD295+BD349+BD419</f>
        <v>32.400000000000006</v>
      </c>
      <c r="BE44" s="136">
        <f>+BE214+BE295+BE349+BE419</f>
        <v>28.200000000000003</v>
      </c>
      <c r="BF44" s="136">
        <f>+BF214+BF295+BF349+BF419</f>
        <v>60.6</v>
      </c>
      <c r="BG44" s="232"/>
      <c r="BH44" s="136">
        <f>+BH214+BH295+BH349+BH419</f>
        <v>32.400000000000006</v>
      </c>
      <c r="BI44" s="136">
        <f>+BI214+BI295+BI349+BI419</f>
        <v>28.200000000000003</v>
      </c>
      <c r="BJ44" s="136">
        <f>+BJ214+BJ295+BJ349+BJ419</f>
        <v>60.6</v>
      </c>
      <c r="BK44" s="232"/>
      <c r="BL44" s="136">
        <f>+BL214+BL295+BL349+BL419</f>
        <v>32.400000000000006</v>
      </c>
      <c r="BM44" s="136">
        <f>+BM214+BM295+BM349+BM419</f>
        <v>28.200000000000003</v>
      </c>
      <c r="BN44" s="136">
        <f>+BN214+BN295+BN349+BN419</f>
        <v>60.6</v>
      </c>
      <c r="BO44" s="232"/>
      <c r="BP44" s="136">
        <f>+BP214+BP295+BP349+BP419</f>
        <v>32.400000000000006</v>
      </c>
      <c r="BQ44" s="136">
        <f>+BQ214+BQ295+BQ349+BQ419</f>
        <v>28.200000000000003</v>
      </c>
      <c r="BR44" s="136">
        <f>+BR214+BR295+BR349+BR419</f>
        <v>60.6</v>
      </c>
      <c r="BS44" s="232"/>
      <c r="BT44" s="136">
        <f>+BT214+BT295+BT349+BT419</f>
        <v>32.400000000000006</v>
      </c>
      <c r="BU44" s="136">
        <f>+BU214+BU295+BU349+BU419</f>
        <v>28.200000000000003</v>
      </c>
      <c r="BV44" s="136">
        <f>+BV214+BV295+BV349+BV419</f>
        <v>60.6</v>
      </c>
      <c r="BW44" s="232"/>
      <c r="BX44" s="136">
        <f>+BX214+BX295+BX349+BX419</f>
        <v>32.400000000000006</v>
      </c>
      <c r="BY44" s="136">
        <f>+BY214+BY295+BY349+BY419</f>
        <v>28.200000000000003</v>
      </c>
      <c r="BZ44" s="136">
        <f>+BZ214+BZ295+BZ349+BZ419</f>
        <v>60.6</v>
      </c>
    </row>
    <row r="45" spans="1:78" s="135" customFormat="1">
      <c r="A45" s="134"/>
      <c r="B45" s="132" t="s">
        <v>668</v>
      </c>
      <c r="C45" s="262" t="s">
        <v>406</v>
      </c>
      <c r="D45" s="136"/>
      <c r="E45" s="136"/>
      <c r="F45" s="136"/>
      <c r="G45" s="232"/>
      <c r="H45" s="136">
        <f>+AVERAGE(SUM(BS!E13:E14),SUM(BS!H13:H14))</f>
        <v>152.78550000000001</v>
      </c>
      <c r="I45" s="136">
        <f>+AVERAGE(SUM(BS!H13:H14),SUM(BS!I13:I14))</f>
        <v>150.22149999999999</v>
      </c>
      <c r="J45" s="136">
        <f>+AVERAGE(SUM(BS!F13:F14),SUM(BS!J13:J14))</f>
        <v>155.88200000000001</v>
      </c>
      <c r="K45" s="232"/>
      <c r="L45" s="136">
        <f>+AVERAGE(SUM(BS!I13:I14),SUM(BS!L13:L14))</f>
        <v>156.20949999999999</v>
      </c>
      <c r="M45" s="136">
        <f>+AVERAGE(SUM(BS!L13:L14),SUM(BS!M13:M14))</f>
        <v>158.87899999999999</v>
      </c>
      <c r="N45" s="136">
        <f>+AVERAGE(SUM(BS!J13:J14),SUM(BS!N13:N14))</f>
        <v>155.98750000000001</v>
      </c>
      <c r="O45" s="232"/>
      <c r="P45" s="136">
        <f>+AVERAGE(SUM(BS!M13:M14),SUM(BS!P13:P14))</f>
        <v>172.04249999999999</v>
      </c>
      <c r="Q45" s="136">
        <f>+AVERAGE(SUM(BS!P13:P14),SUM(BS!Q13:Q14))</f>
        <v>202.71250000000001</v>
      </c>
      <c r="R45" s="136">
        <f>+AVERAGE(SUM(BS!N13:N14),SUM(BS!R13:R14))</f>
        <v>189.327</v>
      </c>
      <c r="S45" s="232"/>
      <c r="T45" s="136">
        <f>+AVERAGE(SUM(BS!Q13:Q14),SUM(BS!T13:T14))</f>
        <v>202.387</v>
      </c>
      <c r="U45" s="136">
        <f>+AVERAGE(SUM(BS!T13:T14),SUM(BS!U13:U14))</f>
        <v>213.964</v>
      </c>
      <c r="V45" s="136">
        <f>+AVERAGE(SUM(BS!R13:R14),SUM(BS!V13:V14))</f>
        <v>231.57400000000001</v>
      </c>
      <c r="W45" s="232"/>
      <c r="X45" s="136">
        <f>+AVERAGE(SUM(BS!U13:U14),SUM(BS!X13:X14))</f>
        <v>234.65049999999999</v>
      </c>
      <c r="Y45" s="136">
        <f>+AVERAGE(SUM(BS!X13:X14),SUM(BS!Y13:Y14))</f>
        <v>253.98500000000001</v>
      </c>
      <c r="Z45" s="136">
        <f>+AVERAGE(SUM(BS!V13:V14),SUM(BS!Z13:Z14))</f>
        <v>262.4855</v>
      </c>
      <c r="AA45" s="232"/>
      <c r="AB45" s="136">
        <f>+AVERAGE(SUM(BS!Y13:Y14),SUM(BS!AB13:AB14))</f>
        <v>277.18600000000004</v>
      </c>
      <c r="AC45" s="136">
        <f>+AVERAGE(SUM(BS!AB13:AB14),SUM(BS!AC13:AC14))</f>
        <v>432.50600000000003</v>
      </c>
      <c r="AD45" s="136">
        <f>+AVERAGE(SUM(BS!Z13:Z14),SUM(BS!AD13:AD14))</f>
        <v>437.14</v>
      </c>
      <c r="AE45" s="232"/>
      <c r="AF45" s="136">
        <f>+AVERAGE(SUM(BS!AC13:AC14),SUM(BS!AF13:AF14))</f>
        <v>809.91899999999998</v>
      </c>
      <c r="AG45" s="136">
        <f>+AVERAGE(SUM(BS!AF13:AF14),SUM(BS!AG13:AG14))</f>
        <v>1112.0495000000001</v>
      </c>
      <c r="AH45" s="136">
        <f>+AVERAGE(SUM(BS!AD13:AD14),SUM(BS!AH13:AH14))</f>
        <v>894.59050000000002</v>
      </c>
      <c r="AI45" s="232"/>
      <c r="AJ45" s="136">
        <f>+AVERAGE(SUM(BS!AG13:AG14),SUM(BS!AJ13:AJ14))</f>
        <v>1144.924</v>
      </c>
      <c r="AK45" s="136">
        <f>+AVERAGE(SUM(BS!AJ13:AJ14),SUM(BS!AK13:AK14))</f>
        <v>1189.7215000000001</v>
      </c>
      <c r="AL45" s="136">
        <f>+AVERAGE(SUM(BS!AH13:AH14),SUM(BS!AL13:AL14))</f>
        <v>1241.5185000000001</v>
      </c>
      <c r="AM45" s="232"/>
      <c r="AN45" s="136">
        <f>+AVERAGE(SUM(BS!AK13:AK14),SUM(BS!AN13:AN14))</f>
        <v>1263.2294999999999</v>
      </c>
      <c r="AO45" s="136">
        <f>+AVERAGE(SUM(BS!AN13:AN14),SUM(BS!AO13:AO14))</f>
        <v>1291.3905</v>
      </c>
      <c r="AP45" s="136">
        <f>+AVERAGE(SUM(BS!AL13:AL14),SUM(BS!AP13:AP14))</f>
        <v>1314.4770000000001</v>
      </c>
      <c r="AQ45" s="232"/>
      <c r="AR45" s="136">
        <f>+AVERAGE(SUM(BS!AO13:AO14),SUM(BS!AR13:AR14))</f>
        <v>1317.8442559768655</v>
      </c>
      <c r="AS45" s="136">
        <f>+AVERAGE(SUM(BS!AR13:AR14),SUM(BS!AS13:AS14))</f>
        <v>1435.882227120833</v>
      </c>
      <c r="AT45" s="136">
        <f>+AVERAGE(SUM(BS!AP13:AP14),SUM(BS!AT13:AT14))</f>
        <v>1460.6759711439677</v>
      </c>
      <c r="AU45" s="232"/>
      <c r="AV45" s="136">
        <f>+AVERAGE(SUM(BS!AS13:AS14),SUM(BS!AV13:AV14))</f>
        <v>1511.5279809279953</v>
      </c>
      <c r="AW45" s="136">
        <f>+AVERAGE(SUM(BS!AV13:AV14),SUM(BS!AW13:AW14))</f>
        <v>1599.4517604301243</v>
      </c>
      <c r="AX45" s="136">
        <f>+AVERAGE(SUM(BS!AT13:AT14),SUM(BS!AX13:AX14))</f>
        <v>1666.6377217900645</v>
      </c>
      <c r="AY45" s="232"/>
      <c r="AZ45" s="136">
        <f>+AVERAGE(SUM(BS!AW13:AW14),SUM(BS!AZ13:AZ14))</f>
        <v>1665.4149957094412</v>
      </c>
      <c r="BA45" s="136">
        <f>+AVERAGE(SUM(BS!AZ13:AZ14),SUM(BS!BA13:BA14))</f>
        <v>1732.6382009131555</v>
      </c>
      <c r="BB45" s="136">
        <f>+AVERAGE(SUM(BS!AX13:AX14),SUM(BS!BB13:BB14))</f>
        <v>1821.7847064959078</v>
      </c>
      <c r="BC45" s="232"/>
      <c r="BD45" s="136">
        <f>+AVERAGE(SUM(BS!BA13:BA14),SUM(BS!BD13:BD14))</f>
        <v>1794.206840610761</v>
      </c>
      <c r="BE45" s="136">
        <f>+AVERAGE(SUM(BS!BD13:BD14),SUM(BS!BE13:BE14))</f>
        <v>1872.0532856096734</v>
      </c>
      <c r="BF45" s="136">
        <f>+AVERAGE(SUM(BS!BB13:BB14),SUM(BS!BF13:BF14))</f>
        <v>1966.8543566985345</v>
      </c>
      <c r="BG45" s="232"/>
      <c r="BH45" s="136">
        <f>+AVERAGE(SUM(BS!BE13:BE14),SUM(BS!BH13:BH14))</f>
        <v>1940.4076866484559</v>
      </c>
      <c r="BI45" s="136">
        <f>+AVERAGE(SUM(BS!BH13:BH14),SUM(BS!BI13:BI14))</f>
        <v>2017.6053035967414</v>
      </c>
      <c r="BJ45" s="136">
        <f>+AVERAGE(SUM(BS!BF13:BF14),SUM(BS!BJ13:BJ14))</f>
        <v>2121.8984186457324</v>
      </c>
      <c r="BK45" s="232"/>
      <c r="BL45" s="136">
        <f>+AVERAGE(SUM(BS!BI13:BI14),SUM(BS!BL13:BL14))</f>
        <v>2089.1656802688663</v>
      </c>
      <c r="BM45" s="136">
        <f>+AVERAGE(SUM(BS!BL13:BL14),SUM(BS!BM13:BM14))</f>
        <v>2169.9245267328924</v>
      </c>
      <c r="BN45" s="136">
        <f>+AVERAGE(SUM(BS!BJ13:BJ14),SUM(BS!BN13:BN14))</f>
        <v>2279.8548820580445</v>
      </c>
      <c r="BO45" s="232"/>
      <c r="BP45" s="136">
        <f>+AVERAGE(SUM(BS!BM13:BM14),SUM(BS!BP13:BP14))</f>
        <v>2258.5873218735628</v>
      </c>
      <c r="BQ45" s="136">
        <f>+AVERAGE(SUM(BS!BP13:BP14),SUM(BS!BQ13:BQ14))</f>
        <v>2349.0164741199806</v>
      </c>
      <c r="BR45" s="136">
        <f>+AVERAGE(SUM(BS!BN13:BN14),SUM(BS!BR13:BR14))</f>
        <v>2451.0428807684884</v>
      </c>
      <c r="BS45" s="232"/>
      <c r="BT45" s="136">
        <f>+AVERAGE(SUM(BS!BQ13:BQ14),SUM(BS!BT13:BT14))</f>
        <v>2423.5364880504599</v>
      </c>
      <c r="BU45" s="136">
        <f>+AVERAGE(SUM(BS!BT13:BT14),SUM(BS!BU13:BU14))</f>
        <v>2516.9139403476966</v>
      </c>
      <c r="BV45" s="136">
        <f>+AVERAGE(SUM(BS!BR13:BR14),SUM(BS!BV13:BV14))</f>
        <v>2634.8494853121429</v>
      </c>
      <c r="BW45" s="232"/>
      <c r="BX45" s="136">
        <f>+AVERAGE(SUM(BS!BU13:BU14),SUM(BS!BX13:BX14))</f>
        <v>2599.2150097664608</v>
      </c>
      <c r="BY45" s="136">
        <f>+AVERAGE(SUM(BS!BX13:BX14),SUM(BS!BY13:BY14))</f>
        <v>2691.9277887184826</v>
      </c>
      <c r="BZ45" s="136">
        <f>+AVERAGE(SUM(BS!BV13:BV14),SUM(BS!BZ13:BZ14))</f>
        <v>2820.9397165614014</v>
      </c>
    </row>
    <row r="46" spans="1:78" s="135" customFormat="1">
      <c r="A46" s="134"/>
      <c r="B46" s="578" t="s">
        <v>667</v>
      </c>
      <c r="C46" s="161" t="s">
        <v>39</v>
      </c>
      <c r="D46" s="136"/>
      <c r="E46" s="136"/>
      <c r="F46" s="136"/>
      <c r="G46" s="232"/>
      <c r="H46" s="332">
        <f>+H44/H45/H4</f>
        <v>5.1453743120683682E-2</v>
      </c>
      <c r="I46" s="332">
        <f>+I44/I45/I4</f>
        <v>4.1453336043389195E-2</v>
      </c>
      <c r="J46" s="332">
        <f>+J44/J45</f>
        <v>4.5232932602866267E-2</v>
      </c>
      <c r="K46" s="232"/>
      <c r="L46" s="332">
        <f>+L44/L45/L4</f>
        <v>4.6262252045295348E-2</v>
      </c>
      <c r="M46" s="332">
        <f>+M44/M45/M4</f>
        <v>5.022429418210788E-2</v>
      </c>
      <c r="N46" s="332">
        <f>+N44/N45</f>
        <v>4.8721852712557093E-2</v>
      </c>
      <c r="O46" s="232"/>
      <c r="P46" s="332">
        <f>+P44/P45/P4</f>
        <v>3.92029017097014E-2</v>
      </c>
      <c r="Q46" s="332">
        <f>+Q44/Q45/Q4</f>
        <v>5.1729359784442833E-2</v>
      </c>
      <c r="R46" s="332">
        <f>+R44/R45</f>
        <v>4.542405467788535E-2</v>
      </c>
      <c r="S46" s="232"/>
      <c r="T46" s="332">
        <f>+T44/T45/T4</f>
        <v>3.6364897986015166E-2</v>
      </c>
      <c r="U46" s="332">
        <f>+U44/U45/U4</f>
        <v>2.3496815013144868E-2</v>
      </c>
      <c r="V46" s="332">
        <f>+V44/V45</f>
        <v>2.6773299247756656E-2</v>
      </c>
      <c r="W46" s="232"/>
      <c r="X46" s="332">
        <f>+X44/X45/X4</f>
        <v>1.3526129471184851E-2</v>
      </c>
      <c r="Y46" s="332">
        <f>+Y44/Y45/Y4</f>
        <v>8.733712794845739E-3</v>
      </c>
      <c r="Z46" s="332">
        <f>+Z44/Z45</f>
        <v>1.0286282480365583E-2</v>
      </c>
      <c r="AA46" s="232"/>
      <c r="AB46" s="332">
        <f>+AB44/AB45</f>
        <v>4.3292229766294116E-3</v>
      </c>
      <c r="AC46" s="332">
        <f>+AC44/AC45</f>
        <v>2.8901333160696037E-3</v>
      </c>
      <c r="AD46" s="332">
        <f>+AD44/AD45</f>
        <v>5.6046117948483328E-3</v>
      </c>
      <c r="AE46" s="232"/>
      <c r="AF46" s="332">
        <f>(AF44/AF4)/AF45</f>
        <v>2.5227294602782876E-2</v>
      </c>
      <c r="AG46" s="332">
        <f>(AG44/AG4)/AG45</f>
        <v>3.6158909506788191E-2</v>
      </c>
      <c r="AH46" s="332">
        <f>+AH44/AH45</f>
        <v>3.3803175866499814E-2</v>
      </c>
      <c r="AI46" s="232"/>
      <c r="AJ46" s="332">
        <f>(AJ44/AJ4)/AJ45</f>
        <v>4.8037648369445594E-2</v>
      </c>
      <c r="AK46" s="332">
        <f>(AK44/AK4)/AK45</f>
        <v>4.7751040525399899E-2</v>
      </c>
      <c r="AL46" s="332">
        <f>+AL44/AL45</f>
        <v>4.502550707057526E-2</v>
      </c>
      <c r="AM46" s="232"/>
      <c r="AN46" s="332">
        <f>(AN44/AN4)/AN45</f>
        <v>5.0878909280091068E-2</v>
      </c>
      <c r="AO46" s="332">
        <f>(AO44/AO4)/AO45</f>
        <v>4.3723481315520014E-2</v>
      </c>
      <c r="AP46" s="332">
        <f>+AP44/AP45</f>
        <v>4.5949834040458673E-2</v>
      </c>
      <c r="AQ46" s="232"/>
      <c r="AR46" s="332">
        <f>(AR44/AR4)/AR45</f>
        <v>4.8770360259902425E-2</v>
      </c>
      <c r="AS46" s="332">
        <f>(AS44/AS4)/AS45</f>
        <v>3.9604503935496936E-2</v>
      </c>
      <c r="AT46" s="332">
        <f t="shared" ref="AT46" si="167">+AT44/AT45</f>
        <v>4.148764078903789E-2</v>
      </c>
      <c r="AU46" s="232"/>
      <c r="AV46" s="332">
        <f>(AV44/AV4)/AV45</f>
        <v>4.2521038274776414E-2</v>
      </c>
      <c r="AW46" s="332">
        <f>(AW44/AW4)/AW45</f>
        <v>3.5554309746499861E-2</v>
      </c>
      <c r="AX46" s="332">
        <f t="shared" ref="AX46" si="168">+AX44/AX45</f>
        <v>3.636063147239469E-2</v>
      </c>
      <c r="AY46" s="232"/>
      <c r="AZ46" s="332">
        <f>(AZ44/AZ4)/AZ45</f>
        <v>3.86977577678786E-2</v>
      </c>
      <c r="BA46" s="332">
        <f>(BA44/BA4)/BA45</f>
        <v>3.2730370414320892E-2</v>
      </c>
      <c r="BB46" s="332">
        <f t="shared" ref="BB46" si="169">+BB44/BB45</f>
        <v>3.3264084270726163E-2</v>
      </c>
      <c r="BC46" s="232"/>
      <c r="BD46" s="332">
        <f>(BD44/BD4)/BD45</f>
        <v>3.5821811440957516E-2</v>
      </c>
      <c r="BE46" s="332">
        <f>(BE44/BE4)/BE45</f>
        <v>3.0377021718373295E-2</v>
      </c>
      <c r="BF46" s="332">
        <f t="shared" ref="BF46" si="170">+BF44/BF45</f>
        <v>3.0810618891843215E-2</v>
      </c>
      <c r="BG46" s="232"/>
      <c r="BH46" s="332">
        <f>(BH44/BH4)/BH45</f>
        <v>3.3122801755876015E-2</v>
      </c>
      <c r="BI46" s="332">
        <f>(BI44/BI4)/BI45</f>
        <v>2.8185593690470998E-2</v>
      </c>
      <c r="BJ46" s="332">
        <f t="shared" ref="BJ46" si="171">+BJ44/BJ45</f>
        <v>2.8559331336264898E-2</v>
      </c>
      <c r="BK46" s="232"/>
      <c r="BL46" s="332">
        <f>(BL44/BL4)/BL45</f>
        <v>3.0764309282623917E-2</v>
      </c>
      <c r="BM46" s="332">
        <f>(BM44/BM4)/BM45</f>
        <v>2.6207088133400891E-2</v>
      </c>
      <c r="BN46" s="332">
        <f t="shared" ref="BN46" si="172">+BN44/BN45</f>
        <v>2.6580639178795391E-2</v>
      </c>
      <c r="BO46" s="232"/>
      <c r="BP46" s="332">
        <f>(BP44/BP4)/BP45</f>
        <v>2.8534573564105204E-2</v>
      </c>
      <c r="BQ46" s="332">
        <f>(BQ44/BQ4)/BQ45</f>
        <v>2.4141972069878958E-2</v>
      </c>
      <c r="BR46" s="332">
        <f t="shared" ref="BR46" si="173">+BR44/BR45</f>
        <v>2.4724169648553746E-2</v>
      </c>
      <c r="BS46" s="232"/>
      <c r="BT46" s="332">
        <f>(BT44/BT4)/BT45</f>
        <v>2.6519814926383153E-2</v>
      </c>
      <c r="BU46" s="332">
        <f>(BU44/BU4)/BU45</f>
        <v>2.2594099227350319E-2</v>
      </c>
      <c r="BV46" s="332">
        <f t="shared" ref="BV46" si="174">+BV44/BV45</f>
        <v>2.29994162238914E-2</v>
      </c>
      <c r="BW46" s="232"/>
      <c r="BX46" s="332">
        <f>(BX44/BX4)/BX45</f>
        <v>2.4727365334893787E-2</v>
      </c>
      <c r="BY46" s="332">
        <f>(BY44/BY4)/BY45</f>
        <v>2.1125159282964791E-2</v>
      </c>
      <c r="BZ46" s="332">
        <f t="shared" ref="BZ46" si="175">+BZ44/BZ45</f>
        <v>2.148220312693129E-2</v>
      </c>
    </row>
    <row r="47" spans="1:78" s="135" customFormat="1">
      <c r="A47" s="134"/>
      <c r="B47" s="132"/>
      <c r="D47" s="136"/>
      <c r="E47" s="136"/>
      <c r="F47" s="136"/>
      <c r="G47" s="232"/>
      <c r="H47" s="136"/>
      <c r="I47" s="136"/>
      <c r="J47" s="136"/>
      <c r="K47" s="232"/>
      <c r="L47" s="136"/>
      <c r="M47" s="136"/>
      <c r="N47" s="136"/>
      <c r="O47" s="232"/>
      <c r="P47" s="136"/>
      <c r="Q47" s="136"/>
      <c r="R47" s="136"/>
      <c r="S47" s="232"/>
      <c r="T47" s="136"/>
      <c r="U47" s="136"/>
      <c r="V47" s="136"/>
      <c r="W47" s="232"/>
      <c r="X47" s="136"/>
      <c r="Y47" s="136"/>
      <c r="Z47" s="136"/>
      <c r="AA47" s="232"/>
      <c r="AB47" s="136"/>
      <c r="AC47" s="136"/>
      <c r="AD47" s="136"/>
      <c r="AE47" s="232"/>
      <c r="AF47" s="136"/>
      <c r="AG47" s="136"/>
      <c r="AH47" s="136"/>
      <c r="AI47" s="232"/>
      <c r="AJ47" s="136"/>
      <c r="AK47" s="136"/>
      <c r="AL47" s="136"/>
      <c r="AM47" s="232"/>
      <c r="AN47" s="136"/>
      <c r="AO47" s="136"/>
      <c r="AP47" s="136"/>
      <c r="AQ47" s="232"/>
      <c r="AR47" s="136"/>
      <c r="AS47" s="136"/>
      <c r="AT47" s="136"/>
      <c r="AU47" s="232"/>
      <c r="AV47" s="136"/>
      <c r="AW47" s="136"/>
      <c r="AX47" s="136"/>
      <c r="AY47" s="232"/>
      <c r="AZ47" s="136"/>
      <c r="BA47" s="136"/>
      <c r="BB47" s="136"/>
      <c r="BC47" s="232"/>
      <c r="BD47" s="136"/>
      <c r="BE47" s="136"/>
      <c r="BF47" s="136"/>
      <c r="BG47" s="232"/>
      <c r="BH47" s="136"/>
      <c r="BI47" s="136"/>
      <c r="BJ47" s="136"/>
      <c r="BK47" s="232"/>
      <c r="BL47" s="136"/>
      <c r="BM47" s="136"/>
      <c r="BN47" s="136"/>
      <c r="BO47" s="232"/>
      <c r="BP47" s="136"/>
      <c r="BQ47" s="136"/>
      <c r="BR47" s="136"/>
      <c r="BS47" s="232"/>
      <c r="BT47" s="136"/>
      <c r="BU47" s="136"/>
      <c r="BV47" s="136"/>
      <c r="BW47" s="232"/>
      <c r="BX47" s="136"/>
      <c r="BY47" s="136"/>
      <c r="BZ47" s="136"/>
    </row>
    <row r="48" spans="1:78" s="227" customFormat="1" ht="15.6">
      <c r="A48" s="224"/>
      <c r="B48" s="576" t="s">
        <v>632</v>
      </c>
      <c r="C48" s="2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6"/>
      <c r="AD48" s="226"/>
      <c r="AE48" s="226"/>
      <c r="AF48" s="226"/>
      <c r="AG48" s="226"/>
      <c r="AH48" s="226"/>
      <c r="AI48" s="226"/>
      <c r="AJ48" s="226"/>
      <c r="AK48" s="226"/>
      <c r="AL48" s="226"/>
      <c r="AM48" s="226"/>
      <c r="AN48" s="226"/>
      <c r="AO48" s="226"/>
      <c r="AP48" s="226"/>
      <c r="AQ48" s="226"/>
      <c r="AR48" s="226"/>
      <c r="AS48" s="226"/>
      <c r="AT48" s="226"/>
      <c r="AU48" s="226"/>
      <c r="AV48" s="226"/>
      <c r="AW48" s="226"/>
      <c r="AX48" s="226"/>
      <c r="AY48" s="226"/>
      <c r="AZ48" s="226"/>
      <c r="BA48" s="226"/>
      <c r="BB48" s="226"/>
      <c r="BC48" s="226"/>
      <c r="BD48" s="226"/>
      <c r="BE48" s="226"/>
      <c r="BF48" s="226"/>
      <c r="BG48" s="226"/>
      <c r="BH48" s="226"/>
      <c r="BI48" s="226"/>
      <c r="BJ48" s="226"/>
      <c r="BK48" s="226"/>
      <c r="BL48" s="226"/>
      <c r="BM48" s="226"/>
      <c r="BN48" s="226"/>
      <c r="BO48" s="226"/>
      <c r="BP48" s="226"/>
      <c r="BQ48" s="226"/>
      <c r="BR48" s="226"/>
      <c r="BT48" s="226"/>
      <c r="BU48" s="226"/>
      <c r="BV48" s="226"/>
      <c r="BX48" s="226"/>
      <c r="BY48" s="226"/>
      <c r="BZ48" s="226"/>
    </row>
    <row r="49" spans="1:78" s="135" customFormat="1">
      <c r="A49" s="134"/>
      <c r="B49" s="386"/>
      <c r="D49" s="136"/>
      <c r="E49" s="136"/>
      <c r="F49" s="136"/>
      <c r="G49" s="232"/>
      <c r="H49" s="310"/>
      <c r="I49" s="310"/>
      <c r="J49" s="310"/>
      <c r="K49" s="232"/>
      <c r="L49" s="310"/>
      <c r="M49" s="310"/>
      <c r="N49" s="310"/>
      <c r="O49" s="232"/>
      <c r="P49" s="310"/>
      <c r="Q49" s="310"/>
      <c r="R49" s="310"/>
      <c r="S49" s="232"/>
      <c r="T49" s="310"/>
      <c r="U49" s="310"/>
      <c r="V49" s="310"/>
      <c r="W49" s="232"/>
      <c r="X49" s="310"/>
      <c r="Y49" s="310"/>
      <c r="Z49" s="310"/>
      <c r="AA49" s="232"/>
      <c r="AB49" s="310"/>
      <c r="AC49" s="310"/>
      <c r="AD49" s="310"/>
      <c r="AE49" s="232"/>
      <c r="AF49" s="310"/>
      <c r="AG49" s="310"/>
      <c r="AH49" s="310"/>
      <c r="AI49" s="232"/>
      <c r="AJ49" s="310"/>
      <c r="AK49" s="310"/>
      <c r="AL49" s="310"/>
      <c r="AM49" s="232"/>
      <c r="AN49" s="136"/>
      <c r="AO49" s="136"/>
      <c r="AP49" s="136"/>
      <c r="AQ49" s="232"/>
      <c r="AR49" s="136"/>
      <c r="AS49" s="136"/>
      <c r="AT49" s="136"/>
      <c r="AU49" s="232"/>
      <c r="AV49" s="136"/>
      <c r="AW49" s="136"/>
      <c r="AX49" s="136"/>
      <c r="AY49" s="232"/>
      <c r="AZ49" s="136"/>
      <c r="BA49" s="136"/>
      <c r="BB49" s="136"/>
      <c r="BC49" s="232"/>
      <c r="BD49" s="136"/>
      <c r="BE49" s="136"/>
      <c r="BF49" s="136"/>
      <c r="BG49" s="232"/>
      <c r="BH49" s="136"/>
      <c r="BI49" s="136"/>
      <c r="BJ49" s="136"/>
      <c r="BK49" s="232"/>
      <c r="BL49" s="136"/>
      <c r="BM49" s="136"/>
      <c r="BN49" s="136"/>
      <c r="BO49" s="232"/>
      <c r="BP49" s="136"/>
      <c r="BQ49" s="136"/>
      <c r="BR49" s="136"/>
      <c r="BS49" s="232"/>
      <c r="BT49" s="136"/>
      <c r="BU49" s="136"/>
      <c r="BV49" s="136"/>
      <c r="BW49" s="232"/>
      <c r="BX49" s="136"/>
      <c r="BY49" s="136"/>
      <c r="BZ49" s="136"/>
    </row>
    <row r="50" spans="1:78" s="135" customFormat="1">
      <c r="A50" s="134"/>
      <c r="B50" s="142" t="s">
        <v>636</v>
      </c>
      <c r="D50" s="136"/>
      <c r="E50" s="136"/>
      <c r="F50" s="136"/>
      <c r="G50" s="232"/>
      <c r="H50" s="136"/>
      <c r="I50" s="136"/>
      <c r="J50" s="136"/>
      <c r="K50" s="232"/>
      <c r="L50" s="136"/>
      <c r="M50" s="136"/>
      <c r="N50" s="136"/>
      <c r="O50" s="232"/>
      <c r="P50" s="136"/>
      <c r="Q50" s="136"/>
      <c r="R50" s="136"/>
      <c r="S50" s="232"/>
      <c r="T50" s="136"/>
      <c r="U50" s="136"/>
      <c r="V50" s="136"/>
      <c r="W50" s="232"/>
      <c r="X50" s="136"/>
      <c r="Y50" s="136"/>
      <c r="Z50" s="136"/>
      <c r="AA50" s="232"/>
      <c r="AB50" s="136"/>
      <c r="AC50" s="136"/>
      <c r="AD50" s="718" t="s">
        <v>634</v>
      </c>
      <c r="AE50" s="232"/>
      <c r="AF50" s="718"/>
      <c r="AG50" s="136"/>
      <c r="AH50" s="718" t="s">
        <v>633</v>
      </c>
      <c r="AI50" s="232"/>
      <c r="AJ50" s="136"/>
      <c r="AK50" s="136"/>
      <c r="AL50" s="718" t="s">
        <v>633</v>
      </c>
      <c r="AM50" s="232"/>
      <c r="AN50" s="136"/>
      <c r="AO50" s="136"/>
      <c r="AP50" s="136"/>
      <c r="AQ50" s="232"/>
      <c r="AR50" s="136"/>
      <c r="AS50" s="136"/>
      <c r="AT50" s="136"/>
      <c r="AU50" s="232"/>
      <c r="AX50" s="136"/>
      <c r="AY50" s="232"/>
      <c r="AZ50" s="136"/>
      <c r="BA50" s="136"/>
      <c r="BB50" s="136"/>
      <c r="BC50" s="232"/>
      <c r="BD50" s="136"/>
      <c r="BE50" s="136"/>
      <c r="BF50" s="136"/>
      <c r="BG50" s="232"/>
      <c r="BH50" s="136"/>
      <c r="BI50" s="136"/>
      <c r="BJ50" s="136"/>
      <c r="BK50" s="232"/>
      <c r="BL50" s="136"/>
      <c r="BM50" s="136"/>
      <c r="BN50" s="136"/>
      <c r="BO50" s="232"/>
      <c r="BP50" s="136"/>
      <c r="BQ50" s="136"/>
      <c r="BR50" s="136"/>
      <c r="BS50" s="232"/>
      <c r="BT50" s="136"/>
      <c r="BU50" s="136"/>
      <c r="BV50" s="136"/>
      <c r="BW50" s="232"/>
      <c r="BX50" s="136"/>
      <c r="BY50" s="136"/>
      <c r="BZ50" s="136"/>
    </row>
    <row r="51" spans="1:78" s="135" customFormat="1">
      <c r="A51" s="134"/>
      <c r="B51" s="386" t="s">
        <v>361</v>
      </c>
      <c r="C51" s="262" t="s">
        <v>406</v>
      </c>
      <c r="D51" s="136"/>
      <c r="E51" s="136"/>
      <c r="F51" s="136"/>
      <c r="G51" s="232"/>
      <c r="H51" s="652">
        <f>+H248+H329+H384+(H281-D281)+(H435-D435)+(H466-D466)+(H410-D410)+H253+H334+H389</f>
        <v>1.4447200000000007</v>
      </c>
      <c r="I51" s="652">
        <f>+I248+I329+I384+(I281-E281)+(I435-E435)+(I466-E466)+(I410-E410)+I253+I334+I389</f>
        <v>-0.51273999999999864</v>
      </c>
      <c r="J51" s="232">
        <f>+I51+H51</f>
        <v>0.93198000000000203</v>
      </c>
      <c r="K51" s="232"/>
      <c r="L51" s="652">
        <f>+L248+L329+L384+(L281-H281)+(L435-H435)+(L466-H466)+(L410-H410)+L253+L334+L389</f>
        <v>1.6773850000000006</v>
      </c>
      <c r="M51" s="652">
        <f>+M248+M329+M384+(M281-I281)+(M435-I435)+(M466-I466)+(M410-I410)+M253+M334+M389</f>
        <v>8.5082100000000001</v>
      </c>
      <c r="N51" s="232">
        <f>+M51+L51</f>
        <v>10.185595000000001</v>
      </c>
      <c r="O51" s="232"/>
      <c r="P51" s="652">
        <f>+P248+P329+P384+(P281-L281)+(P435-L435)+(P466-L466)+(P410-L410)+P253+P334+P389</f>
        <v>3.6560999999999986</v>
      </c>
      <c r="Q51" s="652">
        <f>+Q248+Q329+Q384+(Q281-M281)+(Q435-M435)+(Q466-M466)+(Q410-M410)+Q253+Q334+Q389</f>
        <v>-3.9740999999999982</v>
      </c>
      <c r="R51" s="232">
        <f>+Q51+P51</f>
        <v>-0.31799999999999962</v>
      </c>
      <c r="S51" s="232"/>
      <c r="T51" s="652">
        <f>+T248+T329+T384+(T281-P281)+(T435-P435)+(T466-P466)+(T410-P410)+T253+T334+T389</f>
        <v>0.25599999999999984</v>
      </c>
      <c r="U51" s="652">
        <f>+U248+U329+U384+(U281-Q281)+(U435-Q435)+(U466-Q466)+(U410-Q410)+U253+U334+U389</f>
        <v>-2.7470000000000003</v>
      </c>
      <c r="V51" s="232">
        <f>+U51+T51</f>
        <v>-2.4910000000000005</v>
      </c>
      <c r="W51" s="232"/>
      <c r="X51" s="652">
        <f>+X248+X329+X384+(X281-T281)+(X435-T435)+(X466-T466)+(X410-T410)+X253+X334+X389</f>
        <v>10.006000000000002</v>
      </c>
      <c r="Y51" s="652">
        <f>+Y248+Y329+Y384+(Y281-U281)+(Y435-U435)+(Y466-U466)+(Y410-U410)+Y253+Y334+Y389</f>
        <v>6.2769999999999966</v>
      </c>
      <c r="Z51" s="232">
        <f>+Y51+X51</f>
        <v>16.282999999999998</v>
      </c>
      <c r="AA51" s="232"/>
      <c r="AB51" s="718">
        <f>+AB248+AB329+AB384+(AB281-X281)+(AB435-X435)+(AB466-X466)+(AB410-X410)*0 +AB253+AB334+AB389</f>
        <v>0.63499999999999979</v>
      </c>
      <c r="AC51" s="718">
        <f>+AC248+AC329+AC384+(AC281-Y281)+(AC435-Y435)+(AC466-Y466)+(AC410-Y410)*0 +AC253+AC334+AC389</f>
        <v>9.9159999999999968</v>
      </c>
      <c r="AD51" s="232">
        <f>+AC51+AB51</f>
        <v>10.550999999999997</v>
      </c>
      <c r="AE51" s="232"/>
      <c r="AF51" s="652">
        <f>+AF55-AF53-AB34</f>
        <v>-6.2189000000000476</v>
      </c>
      <c r="AG51" s="718">
        <f>+AG248+AG329+AG384+(AG281-AC281)+(AG435-AC435)+(AG466-AC466)+(AG410-AC410)*0 +AG253+AG334+AG389</f>
        <v>46.678000000000004</v>
      </c>
      <c r="AH51" s="232">
        <f>+AG51+AF51</f>
        <v>40.459099999999957</v>
      </c>
      <c r="AI51" s="232"/>
      <c r="AJ51" s="652">
        <f>+AJ55-AJ53-AF34</f>
        <v>10.965000000000089</v>
      </c>
      <c r="AK51" s="718">
        <f>+AK248+AK329+AK384+(AK281-AG281)+(AK435-AG435)+(AK466-AG466)+(AK410-AG410)*0 +AK253+AK334+AK389</f>
        <v>20.729499999999998</v>
      </c>
      <c r="AL51" s="232">
        <f>+AK51+AJ51</f>
        <v>31.694500000000087</v>
      </c>
      <c r="AM51" s="232"/>
      <c r="AN51" s="652">
        <f>+AN55-AN53-AJ34</f>
        <v>9.4109999999999019</v>
      </c>
      <c r="AO51" s="718">
        <f>+AO248+AO329+AO384+(AO281-AK281)+(AO435-AK435)+(AO466-AK466)+(AO410-AK410)*0 +AO253+AO334+AO389</f>
        <v>22.136899999999994</v>
      </c>
      <c r="AP51" s="232">
        <f>+AO51+AN51</f>
        <v>31.547899999999895</v>
      </c>
      <c r="AQ51" s="232"/>
      <c r="AR51" s="652">
        <f>+AR55-AR53-AN34</f>
        <v>18.841065764477506</v>
      </c>
      <c r="AS51" s="652">
        <f>+AS55-AS53-AO34</f>
        <v>16.311124220746763</v>
      </c>
      <c r="AT51" s="232">
        <f t="shared" ref="AT51" si="176">+AS51+AR51</f>
        <v>35.152189985224268</v>
      </c>
      <c r="AU51" s="232"/>
      <c r="AV51" s="652">
        <f>+AV55-AV53-AR34</f>
        <v>11.597460662476891</v>
      </c>
      <c r="AW51" s="652">
        <f>+AW55-AW53-AS34</f>
        <v>17.971521412804776</v>
      </c>
      <c r="AX51" s="232">
        <f t="shared" ref="AX51" si="177">+AW51+AV51</f>
        <v>29.568982075281667</v>
      </c>
      <c r="AY51" s="232"/>
      <c r="AZ51" s="652">
        <f>+AZ55-AZ53-AV34</f>
        <v>13.647184898756848</v>
      </c>
      <c r="BA51" s="652">
        <f>+BA55-BA53-AW34</f>
        <v>17.293181718450768</v>
      </c>
      <c r="BB51" s="232">
        <f t="shared" ref="BB51" si="178">+BA51+AZ51</f>
        <v>30.940366617207616</v>
      </c>
      <c r="BC51" s="232"/>
      <c r="BD51" s="652">
        <f>+BD55-BD53-AZ34</f>
        <v>8.3224231152442201</v>
      </c>
      <c r="BE51" s="652">
        <f>+BE55-BE53-BA34</f>
        <v>11.249729376704721</v>
      </c>
      <c r="BF51" s="232">
        <f t="shared" ref="BF51" si="179">+BE51+BD51</f>
        <v>19.572152491948941</v>
      </c>
      <c r="BG51" s="232"/>
      <c r="BH51" s="652">
        <f>+BH55-BH53-BD34</f>
        <v>8.6740459236606853</v>
      </c>
      <c r="BI51" s="652">
        <f>+BI55-BI53-BE34</f>
        <v>11.743002892769624</v>
      </c>
      <c r="BJ51" s="232">
        <f t="shared" ref="BJ51" si="180">+BI51+BH51</f>
        <v>20.417048816430309</v>
      </c>
      <c r="BK51" s="232"/>
      <c r="BL51" s="652">
        <f>+BL55-BL53-BH34</f>
        <v>9.0420721226043952</v>
      </c>
      <c r="BM51" s="652">
        <f>+BM55-BM53-BI34</f>
        <v>12.259658969247909</v>
      </c>
      <c r="BN51" s="232">
        <f t="shared" ref="BN51" si="181">+BM51+BL51</f>
        <v>21.301731091852304</v>
      </c>
      <c r="BO51" s="232"/>
      <c r="BP51" s="652">
        <f>+BP55-BP53-BL34</f>
        <v>9.4273117150794405</v>
      </c>
      <c r="BQ51" s="652">
        <f>+BQ55-BQ53-BM34</f>
        <v>12.800855433900836</v>
      </c>
      <c r="BR51" s="232">
        <f t="shared" ref="BR51" si="182">+BQ51+BP51</f>
        <v>22.228167148980276</v>
      </c>
      <c r="BS51" s="232"/>
      <c r="BT51" s="652">
        <f>+BT55-BT53-BP34</f>
        <v>9.8306159507469033</v>
      </c>
      <c r="BU51" s="652">
        <f>+BU55-BU53-BQ34</f>
        <v>13.367808828720683</v>
      </c>
      <c r="BV51" s="232">
        <f t="shared" ref="BV51" si="183">+BU51+BT51</f>
        <v>23.198424779467587</v>
      </c>
      <c r="BW51" s="232"/>
      <c r="BX51" s="652">
        <f>+BX55-BX53-BT34</f>
        <v>10.252879461479665</v>
      </c>
      <c r="BY51" s="652">
        <f>+BY55-BY53-BU34</f>
        <v>13.961797428359375</v>
      </c>
      <c r="BZ51" s="232">
        <f t="shared" ref="BZ51" si="184">+BY51+BX51</f>
        <v>24.214676889839041</v>
      </c>
    </row>
    <row r="52" spans="1:78" s="135" customFormat="1">
      <c r="A52" s="134"/>
      <c r="B52" s="314" t="s">
        <v>366</v>
      </c>
      <c r="C52" s="135" t="s">
        <v>39</v>
      </c>
      <c r="D52" s="136"/>
      <c r="E52" s="136"/>
      <c r="F52" s="136"/>
      <c r="G52" s="232"/>
      <c r="H52" s="173">
        <f>+H51/D$34</f>
        <v>6.9685510322207406E-2</v>
      </c>
      <c r="I52" s="173">
        <f>+I51/E$34</f>
        <v>-1.2258882035097746E-2</v>
      </c>
      <c r="J52" s="173">
        <f>+J51/F$34</f>
        <v>1.6344791301297824E-2</v>
      </c>
      <c r="K52" s="232"/>
      <c r="L52" s="173">
        <f>+L51/H$34</f>
        <v>7.7956267137612084E-2</v>
      </c>
      <c r="M52" s="173">
        <f>+M51/I$34</f>
        <v>0.21203204824681621</v>
      </c>
      <c r="N52" s="173">
        <f>+N51/J$34</f>
        <v>0.17320967604795537</v>
      </c>
      <c r="O52" s="232"/>
      <c r="P52" s="173">
        <f>+P51/L$34</f>
        <v>0.15939748005406096</v>
      </c>
      <c r="Q52" s="173">
        <f>+Q51/M$34</f>
        <v>-8.9932111337406556E-2</v>
      </c>
      <c r="R52" s="173">
        <f>+R51/N$34</f>
        <v>-4.8778991287274477E-3</v>
      </c>
      <c r="S52" s="232"/>
      <c r="T52" s="173">
        <f>+T51/P$34</f>
        <v>8.7960417811984472E-3</v>
      </c>
      <c r="U52" s="173">
        <f>+U51/Q$34</f>
        <v>-6.5694128901112051E-2</v>
      </c>
      <c r="V52" s="173">
        <f>+V51/R$34</f>
        <v>-3.5287784561771347E-2</v>
      </c>
      <c r="W52" s="232"/>
      <c r="X52" s="173">
        <f>+X51/T$34</f>
        <v>0.30894158330245747</v>
      </c>
      <c r="Y52" s="173">
        <f>+Y51/U$34</f>
        <v>0.15063233423723921</v>
      </c>
      <c r="Z52" s="173">
        <f>+Z51/V$34</f>
        <v>0.21986524257686441</v>
      </c>
      <c r="AA52" s="232"/>
      <c r="AB52" s="173">
        <f>+AB51/X$34</f>
        <v>1.4495731178377385E-2</v>
      </c>
      <c r="AC52" s="173">
        <f>+AC51/Y$34</f>
        <v>0.19571310148817736</v>
      </c>
      <c r="AD52" s="173">
        <f>+AD51/Z$34</f>
        <v>0.11168388517232607</v>
      </c>
      <c r="AE52" s="232"/>
      <c r="AF52" s="173">
        <f>+AF51/AB$34</f>
        <v>-0.1418900727828617</v>
      </c>
      <c r="AG52" s="173">
        <f>+AG51/AC$34</f>
        <v>0.74951026044510116</v>
      </c>
      <c r="AH52" s="173">
        <f>+AH51/AD$34</f>
        <v>0.3813047207064566</v>
      </c>
      <c r="AI52" s="232"/>
      <c r="AJ52" s="173">
        <f>+AJ51/AF$34</f>
        <v>0.16610867885655564</v>
      </c>
      <c r="AK52" s="173">
        <f>+AK51/AG$34</f>
        <v>0.18067285483941251</v>
      </c>
      <c r="AL52" s="173">
        <f t="shared" ref="AL52" si="185">+AL51/AH$34</f>
        <v>0.17535381142597944</v>
      </c>
      <c r="AM52" s="232"/>
      <c r="AN52" s="173">
        <f t="shared" ref="AN52" si="186">+AN51/AJ$34</f>
        <v>9.3085132689092062E-2</v>
      </c>
      <c r="AO52" s="173">
        <f>+AO51/AK$34</f>
        <v>0.15936260429489804</v>
      </c>
      <c r="AP52" s="173">
        <f t="shared" ref="AP52" si="187">+AP51/AL$34</f>
        <v>0.13143205905879171</v>
      </c>
      <c r="AQ52" s="232"/>
      <c r="AR52" s="173">
        <f t="shared" ref="AR52:AT52" si="188">+AR51/AN$34</f>
        <v>0.16453354901213421</v>
      </c>
      <c r="AS52" s="173">
        <f t="shared" si="188"/>
        <v>9.6260352560943632E-2</v>
      </c>
      <c r="AT52" s="173">
        <f t="shared" si="188"/>
        <v>0.12378316226107394</v>
      </c>
      <c r="AU52" s="232"/>
      <c r="AV52" s="173">
        <f t="shared" ref="AV52" si="189">+AV51/AR$34</f>
        <v>8.7848342246064165E-2</v>
      </c>
      <c r="AW52" s="173">
        <f t="shared" ref="AW52" si="190">+AW51/AS$34</f>
        <v>9.7443362519267301E-2</v>
      </c>
      <c r="AX52" s="173">
        <f t="shared" ref="AX52" si="191">+AX51/AT$34</f>
        <v>9.3440470482459348E-2</v>
      </c>
      <c r="AY52" s="232"/>
      <c r="AZ52" s="173">
        <f t="shared" ref="AZ52" si="192">+AZ51/AV$34</f>
        <v>9.5932430636426369E-2</v>
      </c>
      <c r="BA52" s="173">
        <f t="shared" ref="BA52" si="193">+BA51/AW$34</f>
        <v>8.6016714774659858E-2</v>
      </c>
      <c r="BB52" s="173">
        <f t="shared" ref="BB52" si="194">+BB51/AX$34</f>
        <v>9.0125604006348586E-2</v>
      </c>
      <c r="BC52" s="232"/>
      <c r="BD52" s="173">
        <f t="shared" ref="BD52" si="195">+BD51/AZ$34</f>
        <v>5.3859763047250916E-2</v>
      </c>
      <c r="BE52" s="173">
        <f t="shared" ref="BE52" si="196">+BE51/BA$34</f>
        <v>5.1853819166083358E-2</v>
      </c>
      <c r="BF52" s="173">
        <f t="shared" ref="BF52" si="197">+BF51/BB$34</f>
        <v>5.2688228470048025E-2</v>
      </c>
      <c r="BG52" s="232"/>
      <c r="BH52" s="173">
        <f t="shared" ref="BH52" si="198">+BH51/BD$34</f>
        <v>5.3732994358741445E-2</v>
      </c>
      <c r="BI52" s="173">
        <f t="shared" ref="BI52" si="199">+BI51/BE$34</f>
        <v>5.1780328112829385E-2</v>
      </c>
      <c r="BJ52" s="173">
        <f t="shared" ref="BJ52" si="200">+BJ51/BF$34</f>
        <v>5.2592294107792197E-2</v>
      </c>
      <c r="BK52" s="232"/>
      <c r="BL52" s="173">
        <f t="shared" ref="BL52" si="201">+BL51/BH$34</f>
        <v>5.3611421521097331E-2</v>
      </c>
      <c r="BM52" s="173">
        <f t="shared" ref="BM52" si="202">+BM51/BI$34</f>
        <v>5.1710375745859412E-2</v>
      </c>
      <c r="BN52" s="173">
        <f t="shared" ref="BN52" si="203">+BN51/BJ$34</f>
        <v>5.2500604123137867E-2</v>
      </c>
      <c r="BO52" s="232"/>
      <c r="BP52" s="173">
        <f t="shared" ref="BP52" si="204">+BP51/BL$34</f>
        <v>5.349486565307944E-2</v>
      </c>
      <c r="BQ52" s="173">
        <f t="shared" ref="BQ52" si="205">+BQ51/BM$34</f>
        <v>5.164383388693549E-2</v>
      </c>
      <c r="BR52" s="173">
        <f t="shared" ref="BR52" si="206">+BR51/BN$34</f>
        <v>5.2413008735963967E-2</v>
      </c>
      <c r="BS52" s="232"/>
      <c r="BT52" s="173">
        <f t="shared" ref="BT52" si="207">+BT51/BP$34</f>
        <v>5.3383154712100381E-2</v>
      </c>
      <c r="BU52" s="173">
        <f t="shared" ref="BU52" si="208">+BU51/BQ$34</f>
        <v>5.1580579164323341E-2</v>
      </c>
      <c r="BV52" s="173">
        <f t="shared" ref="BV52" si="209">+BV51/BR$34</f>
        <v>5.2329363807399269E-2</v>
      </c>
      <c r="BW52" s="232"/>
      <c r="BX52" s="173">
        <f t="shared" ref="BX52" si="210">+BX51/BT$34</f>
        <v>5.3276123150898434E-2</v>
      </c>
      <c r="BY52" s="173">
        <f t="shared" ref="BY52" si="211">+BY51/BU$34</f>
        <v>5.1520492796481666E-2</v>
      </c>
      <c r="BZ52" s="173">
        <f t="shared" ref="BZ52" si="212">+BZ51/BV$34</f>
        <v>5.2249530573659851E-2</v>
      </c>
    </row>
    <row r="53" spans="1:78" s="135" customFormat="1">
      <c r="A53" s="134"/>
      <c r="B53" s="386" t="s">
        <v>362</v>
      </c>
      <c r="C53" s="262" t="s">
        <v>406</v>
      </c>
      <c r="D53" s="136"/>
      <c r="E53" s="136"/>
      <c r="F53" s="136"/>
      <c r="G53" s="232"/>
      <c r="H53" s="232">
        <f>+H250+H331+H386</f>
        <v>0.94528000000000101</v>
      </c>
      <c r="I53" s="232">
        <f>+I250+I331+I386</f>
        <v>-3.026000000000173E-2</v>
      </c>
      <c r="J53" s="232">
        <f>+I53+H53</f>
        <v>0.91501999999999928</v>
      </c>
      <c r="K53" s="232"/>
      <c r="L53" s="232">
        <f>+L250+L331+L386</f>
        <v>-0.25738500000000086</v>
      </c>
      <c r="M53" s="232">
        <f>+M250+M331+M386</f>
        <v>-3.5412099999999964</v>
      </c>
      <c r="N53" s="232">
        <f>+M53+L53</f>
        <v>-3.7985949999999971</v>
      </c>
      <c r="O53" s="232"/>
      <c r="P53" s="232">
        <f>+P250+P331+P386</f>
        <v>0.51990000000000136</v>
      </c>
      <c r="Q53" s="232">
        <f>+Q250+Q331+Q386</f>
        <v>5.1800999999999977</v>
      </c>
      <c r="R53" s="232">
        <f>+Q53+P53</f>
        <v>5.6999999999999993</v>
      </c>
      <c r="S53" s="232"/>
      <c r="T53" s="232">
        <f>+T250+T331+T386</f>
        <v>1.5</v>
      </c>
      <c r="U53" s="232">
        <f>+U250+U331+U386</f>
        <v>4.3</v>
      </c>
      <c r="V53" s="232">
        <f>+U53+T53</f>
        <v>5.8</v>
      </c>
      <c r="W53" s="232"/>
      <c r="X53" s="232">
        <f>+X250+X331+X386</f>
        <v>5.9</v>
      </c>
      <c r="Y53" s="232">
        <f>+Y250+Y331+Y386</f>
        <v>-1.7000000000000006</v>
      </c>
      <c r="Z53" s="232">
        <f>+Y53+X53</f>
        <v>4.1999999999999993</v>
      </c>
      <c r="AA53" s="232"/>
      <c r="AB53" s="232">
        <f>+AB250+AB331+AB386+(AB410-X410)</f>
        <v>1.1219999999999999</v>
      </c>
      <c r="AC53" s="232">
        <f>+AC250+AC331+AC386+(AC410-Y410)</f>
        <v>-0.14199999999999924</v>
      </c>
      <c r="AD53" s="232">
        <f>+AC53+AB53</f>
        <v>0.98000000000000065</v>
      </c>
      <c r="AE53" s="232"/>
      <c r="AF53" s="652">
        <f>+AF250+AF331+AF386 + (AF435-AB435)*1</f>
        <v>28.4009</v>
      </c>
      <c r="AG53" s="232">
        <f>+AG250+AG331+AG386+(AG410-AC410)</f>
        <v>7.9741000000000017</v>
      </c>
      <c r="AH53" s="232">
        <f>+AG53+AF53</f>
        <v>36.375</v>
      </c>
      <c r="AI53" s="232"/>
      <c r="AJ53" s="652">
        <f>+AJ250+AJ331+AJ386 + (AJ435-AF435)*1</f>
        <v>24.125</v>
      </c>
      <c r="AK53" s="232">
        <f>+AK250+AK331+AK386+(AK410-AG410)</f>
        <v>3.6</v>
      </c>
      <c r="AL53" s="232">
        <f>+AK53+AJ53</f>
        <v>27.725000000000001</v>
      </c>
      <c r="AM53" s="232"/>
      <c r="AN53" s="652">
        <f>+AN250+AN331+AN386 + (AN435-AJ435)*1</f>
        <v>3.9999999999999964</v>
      </c>
      <c r="AO53" s="232">
        <f>+AO250+AO331+AO386+(AO410-AK410)</f>
        <v>8.3999999999999986</v>
      </c>
      <c r="AP53" s="232">
        <f>+AO53+AN53</f>
        <v>12.399999999999995</v>
      </c>
      <c r="AQ53" s="232"/>
      <c r="AR53" s="232">
        <f>+AR250+AR331+AR386</f>
        <v>-1.3362243994773375</v>
      </c>
      <c r="AS53" s="232">
        <f>+AS250+AS331+AS386</f>
        <v>-1.3286925507465375</v>
      </c>
      <c r="AT53" s="232">
        <f t="shared" ref="AT53" si="213">+AS53+AR53</f>
        <v>-2.664916950223875</v>
      </c>
      <c r="AU53" s="232"/>
      <c r="AV53" s="232">
        <f>+AV250+AV331+AV386</f>
        <v>-1.355997841708855</v>
      </c>
      <c r="AW53" s="232">
        <f>+AW250+AW331+AW386</f>
        <v>-1.3575192916033796</v>
      </c>
      <c r="AX53" s="232">
        <f t="shared" ref="AX53" si="214">+AW53+AV53</f>
        <v>-2.7135171333122345</v>
      </c>
      <c r="AY53" s="232"/>
      <c r="AZ53" s="232">
        <f>+AZ250+AZ331+AZ386</f>
        <v>-1.3852564584921565</v>
      </c>
      <c r="BA53" s="232">
        <f>+BA250+BA331+BA386</f>
        <v>-1.3867803036127837</v>
      </c>
      <c r="BB53" s="232">
        <f t="shared" ref="BB53" si="215">+BA53+AZ53</f>
        <v>-2.77203676210494</v>
      </c>
      <c r="BC53" s="232"/>
      <c r="BD53" s="232">
        <f>+BD250+BD331+BD386</f>
        <v>-1.4139837087912233</v>
      </c>
      <c r="BE53" s="232">
        <f>+BE250+BE331+BE386</f>
        <v>-1.4155417613049492</v>
      </c>
      <c r="BF53" s="232">
        <f t="shared" ref="BF53" si="216">+BE53+BD53</f>
        <v>-2.8295254700961725</v>
      </c>
      <c r="BG53" s="232"/>
      <c r="BH53" s="232">
        <f>+BH250+BH331+BH386</f>
        <v>-1.443281849865887</v>
      </c>
      <c r="BI53" s="232">
        <f>+BI250+BI331+BI386</f>
        <v>-1.4448718516192798</v>
      </c>
      <c r="BJ53" s="232">
        <f t="shared" ref="BJ53" si="217">+BI53+BH53</f>
        <v>-2.8881537014851668</v>
      </c>
      <c r="BK53" s="232"/>
      <c r="BL53" s="232">
        <f>+BL250+BL331+BL386</f>
        <v>-1.4731618261353399</v>
      </c>
      <c r="BM53" s="232">
        <f>+BM250+BM331+BM386</f>
        <v>-1.4747815403204423</v>
      </c>
      <c r="BN53" s="232">
        <f t="shared" ref="BN53" si="218">+BM53+BL53</f>
        <v>-2.9479433664557821</v>
      </c>
      <c r="BO53" s="232"/>
      <c r="BP53" s="232">
        <f>+BP250+BP331+BP386</f>
        <v>-1.5036348107728195</v>
      </c>
      <c r="BQ53" s="232">
        <f>+BQ250+BQ331+BQ386</f>
        <v>-1.5052820257875681</v>
      </c>
      <c r="BR53" s="232">
        <f t="shared" ref="BR53" si="219">+BQ53+BP53</f>
        <v>-3.0089168365603873</v>
      </c>
      <c r="BS53" s="232"/>
      <c r="BT53" s="232">
        <f>+BT250+BT331+BT386</f>
        <v>-1.5347122110176907</v>
      </c>
      <c r="BU53" s="232">
        <f>+BU250+BU331+BU386</f>
        <v>-1.5363847441382747</v>
      </c>
      <c r="BV53" s="232">
        <f t="shared" ref="BV53" si="220">+BU53+BT53</f>
        <v>-3.0710969551559657</v>
      </c>
      <c r="BW53" s="232"/>
      <c r="BX53" s="232">
        <f>+BX250+BX331+BX386</f>
        <v>-1.5664056735509602</v>
      </c>
      <c r="BY53" s="232">
        <f>+BY250+BY331+BY386</f>
        <v>-1.5681013744080552</v>
      </c>
      <c r="BZ53" s="232">
        <f t="shared" ref="BZ53" si="221">+BY53+BX53</f>
        <v>-3.1345070479590156</v>
      </c>
    </row>
    <row r="54" spans="1:78" s="135" customFormat="1">
      <c r="A54" s="134"/>
      <c r="B54" s="314" t="s">
        <v>638</v>
      </c>
      <c r="C54" s="135" t="s">
        <v>39</v>
      </c>
      <c r="D54" s="136"/>
      <c r="E54" s="136"/>
      <c r="F54" s="136"/>
      <c r="G54" s="232"/>
      <c r="H54" s="173">
        <f>+H53/D$34</f>
        <v>4.5595215126374836E-2</v>
      </c>
      <c r="I54" s="173">
        <f>+I53/E$34</f>
        <v>-7.2347343757475527E-4</v>
      </c>
      <c r="J54" s="173">
        <f>+J53/F$34</f>
        <v>1.6047351806383711E-2</v>
      </c>
      <c r="K54" s="232"/>
      <c r="L54" s="173">
        <f>+L53/H$34</f>
        <v>-1.1961937073012067E-2</v>
      </c>
      <c r="M54" s="173">
        <f>+M53/I$34</f>
        <v>-8.8250056071971339E-2</v>
      </c>
      <c r="N54" s="173">
        <f>+N53/J$34</f>
        <v>-6.4596462885809072E-2</v>
      </c>
      <c r="O54" s="232"/>
      <c r="P54" s="173">
        <f>+P53/L$34</f>
        <v>2.2666434145703494E-2</v>
      </c>
      <c r="Q54" s="173">
        <f>+Q53/M$34</f>
        <v>0.11722335369993199</v>
      </c>
      <c r="R54" s="173">
        <f>+R53/N$34</f>
        <v>8.7434040986624162E-2</v>
      </c>
      <c r="S54" s="232"/>
      <c r="T54" s="173">
        <f>+T53/P$34</f>
        <v>5.1539307311709685E-2</v>
      </c>
      <c r="U54" s="173">
        <f>+U53/Q$34</f>
        <v>0.10283391127585795</v>
      </c>
      <c r="V54" s="173">
        <f>+V53/R$34</f>
        <v>8.2163448598263258E-2</v>
      </c>
      <c r="W54" s="232"/>
      <c r="X54" s="173">
        <f>+X53/T$34</f>
        <v>0.18216623440780519</v>
      </c>
      <c r="Y54" s="173">
        <f>+Y53/U$34</f>
        <v>-4.0795757241246913E-2</v>
      </c>
      <c r="Z54" s="173">
        <f>+Z53/V$34</f>
        <v>5.6711540798552507E-2</v>
      </c>
      <c r="AA54" s="232"/>
      <c r="AB54" s="173">
        <f>+AB53/X$34</f>
        <v>2.5612929735652646E-2</v>
      </c>
      <c r="AC54" s="173">
        <f>+AC53/Y$34</f>
        <v>-2.8026684561638813E-3</v>
      </c>
      <c r="AD54" s="173">
        <f>+AD53/Z$34</f>
        <v>1.0373443983402487E-2</v>
      </c>
      <c r="AE54" s="232"/>
      <c r="AF54" s="173">
        <f>+AF53/AB$34</f>
        <v>0.64799333774441559</v>
      </c>
      <c r="AG54" s="173">
        <f>+AG53/AC$34</f>
        <v>0.12804039949902057</v>
      </c>
      <c r="AH54" s="173">
        <f>+AH53/AD$34</f>
        <v>0.342814328932116</v>
      </c>
      <c r="AI54" s="232"/>
      <c r="AJ54" s="173">
        <f>+AJ53/AF$34</f>
        <v>0.36546939146505902</v>
      </c>
      <c r="AK54" s="173">
        <f>+AK53/AG$34</f>
        <v>3.1376650542554577E-2</v>
      </c>
      <c r="AL54" s="173">
        <f t="shared" ref="AL54" si="222">+AL53/AH$34</f>
        <v>0.15339205293616454</v>
      </c>
      <c r="AM54" s="232"/>
      <c r="AN54" s="173">
        <f t="shared" ref="AN54" si="223">+AN53/AJ$34</f>
        <v>3.9564396000039505E-2</v>
      </c>
      <c r="AO54" s="173">
        <f>+AO53/AK$34</f>
        <v>6.047124376390297E-2</v>
      </c>
      <c r="AP54" s="173">
        <f t="shared" ref="AP54" si="224">+AP53/AL$34</f>
        <v>5.1659778696173816E-2</v>
      </c>
      <c r="AQ54" s="232"/>
      <c r="AR54" s="173">
        <f t="shared" ref="AR54" si="225">+AR53/AN$34</f>
        <v>-1.1668859154301192E-2</v>
      </c>
      <c r="AS54" s="173">
        <f t="shared" ref="AS54" si="226">+AS53/AO$34</f>
        <v>-7.8412996951662955E-3</v>
      </c>
      <c r="AT54" s="173">
        <f t="shared" ref="AT54" si="227">+AT53/AP$34</f>
        <v>-9.3841051553404005E-3</v>
      </c>
      <c r="AU54" s="232"/>
      <c r="AV54" s="173">
        <f t="shared" ref="AV54" si="228">+AV53/AR$34</f>
        <v>-1.0271400434129404E-2</v>
      </c>
      <c r="AW54" s="173">
        <f t="shared" ref="AW54" si="229">+AW53/AS$34</f>
        <v>-7.360603558269483E-3</v>
      </c>
      <c r="AX54" s="173">
        <f t="shared" ref="AX54" si="230">+AX53/AT$34</f>
        <v>-8.5749423823036439E-3</v>
      </c>
      <c r="AY54" s="232"/>
      <c r="AZ54" s="173">
        <f t="shared" ref="AZ54" si="231">+AZ53/AV$34</f>
        <v>-9.7376140283748757E-3</v>
      </c>
      <c r="BA54" s="173">
        <f t="shared" ref="BA54" si="232">+BA53/AW$34</f>
        <v>-6.8978796252228032E-3</v>
      </c>
      <c r="BB54" s="173">
        <f t="shared" ref="BB54" si="233">+BB53/AX$34</f>
        <v>-8.0746130323344559E-3</v>
      </c>
      <c r="BC54" s="232"/>
      <c r="BD54" s="173">
        <f t="shared" ref="BD54" si="234">+BD53/AZ$34</f>
        <v>-9.1507997675186123E-3</v>
      </c>
      <c r="BE54" s="173">
        <f t="shared" ref="BE54" si="235">+BE53/BA$34</f>
        <v>-6.5247122001655397E-3</v>
      </c>
      <c r="BF54" s="173">
        <f t="shared" ref="BF54" si="236">+BF53/BB$34</f>
        <v>-7.6170816925513309E-3</v>
      </c>
      <c r="BG54" s="232"/>
      <c r="BH54" s="173">
        <f t="shared" ref="BH54" si="237">+BH53/BD$34</f>
        <v>-8.9406784537968669E-3</v>
      </c>
      <c r="BI54" s="173">
        <f t="shared" ref="BI54" si="238">+BI53/BE$34</f>
        <v>-6.3711079049382797E-3</v>
      </c>
      <c r="BJ54" s="173">
        <f t="shared" ref="BJ54" si="239">+BJ53/BF$34</f>
        <v>-7.439597674605238E-3</v>
      </c>
      <c r="BK54" s="232"/>
      <c r="BL54" s="173">
        <f t="shared" ref="BL54" si="240">+BL53/BH$34</f>
        <v>-8.7345354647517491E-3</v>
      </c>
      <c r="BM54" s="173">
        <f t="shared" ref="BM54" si="241">+BM53/BI$34</f>
        <v>-6.2205243868790738E-3</v>
      </c>
      <c r="BN54" s="173">
        <f t="shared" ref="BN54" si="242">+BN53/BJ$34</f>
        <v>-7.2655507194400205E-3</v>
      </c>
      <c r="BO54" s="232"/>
      <c r="BP54" s="173">
        <f t="shared" ref="BP54" si="243">+BP53/BL$34</f>
        <v>-8.5323095941468707E-3</v>
      </c>
      <c r="BQ54" s="173">
        <f t="shared" ref="BQ54" si="244">+BQ53/BM$34</f>
        <v>-6.0729171807444946E-3</v>
      </c>
      <c r="BR54" s="173">
        <f t="shared" ref="BR54" si="245">+BR53/BN$34</f>
        <v>-7.0948892629531749E-3</v>
      </c>
      <c r="BS54" s="232"/>
      <c r="BT54" s="173">
        <f t="shared" ref="BT54" si="246">+BT53/BP$34</f>
        <v>-8.3339416176747682E-3</v>
      </c>
      <c r="BU54" s="173">
        <f t="shared" ref="BU54" si="247">+BU53/BQ$34</f>
        <v>-5.9282426863869987E-3</v>
      </c>
      <c r="BV54" s="173">
        <f t="shared" ref="BV54" si="248">+BV53/BR$34</f>
        <v>-6.9275630298998693E-3</v>
      </c>
      <c r="BW54" s="232"/>
      <c r="BX54" s="173">
        <f t="shared" ref="BX54" si="249">+BX53/BT$34</f>
        <v>-8.1393741028457783E-3</v>
      </c>
      <c r="BY54" s="173">
        <f t="shared" ref="BY54" si="250">+BY53/BU$34</f>
        <v>-5.7864580816967643E-3</v>
      </c>
      <c r="BZ54" s="173">
        <f t="shared" ref="BZ54" si="251">+BZ53/BV$34</f>
        <v>-6.7635229072336191E-3</v>
      </c>
    </row>
    <row r="55" spans="1:78" s="135" customFormat="1">
      <c r="A55" s="134"/>
      <c r="B55" s="386" t="s">
        <v>639</v>
      </c>
      <c r="C55" s="262" t="s">
        <v>406</v>
      </c>
      <c r="D55" s="718"/>
      <c r="E55" s="718"/>
      <c r="F55" s="718"/>
      <c r="G55" s="718"/>
      <c r="H55" s="232">
        <f>+D34+H51+H53</f>
        <v>23.121999999999954</v>
      </c>
      <c r="I55" s="232">
        <f>+E34+I51+I53</f>
        <v>41.283000000000023</v>
      </c>
      <c r="J55" s="232">
        <f>+F34+J51+J53</f>
        <v>58.867000000000012</v>
      </c>
      <c r="K55" s="718"/>
      <c r="L55" s="232">
        <f>+H34+L51+L53</f>
        <v>22.937000000000019</v>
      </c>
      <c r="M55" s="232">
        <f>+I34+M51+M53</f>
        <v>45.09400000000003</v>
      </c>
      <c r="N55" s="232">
        <f>+J34+N51+N53</f>
        <v>65.191999999999922</v>
      </c>
      <c r="O55" s="718"/>
      <c r="P55" s="232">
        <f>+L34+P51+P53</f>
        <v>27.113000000000014</v>
      </c>
      <c r="Q55" s="232">
        <f>+M34+Q51+Q53</f>
        <v>45.396000000000022</v>
      </c>
      <c r="R55" s="232">
        <f>+N34+R51+R53</f>
        <v>70.57399999999997</v>
      </c>
      <c r="S55" s="718"/>
      <c r="T55" s="232">
        <f>+P34+T51+T53</f>
        <v>30.860000000000024</v>
      </c>
      <c r="U55" s="232">
        <f>+Q34+U51+U53</f>
        <v>43.367999999999995</v>
      </c>
      <c r="V55" s="232">
        <f>+R34+V51+V53</f>
        <v>73.899999999999977</v>
      </c>
      <c r="W55" s="718"/>
      <c r="X55" s="232">
        <f>+T34+X51+X53</f>
        <v>48.294000000000032</v>
      </c>
      <c r="Y55" s="232">
        <f>+U34+Y51+Y53</f>
        <v>46.248000000000005</v>
      </c>
      <c r="Z55" s="232">
        <f>+V34+Z51+Z53</f>
        <v>94.541999999999987</v>
      </c>
      <c r="AA55" s="718"/>
      <c r="AB55" s="232">
        <f>+X34+AB51+AB53</f>
        <v>45.563000000000002</v>
      </c>
      <c r="AC55" s="232">
        <f>+Y34+AC51+AC53</f>
        <v>60.440000000000012</v>
      </c>
      <c r="AD55" s="652">
        <f>+Z34+AD51+AD53</f>
        <v>106.00300000000009</v>
      </c>
      <c r="AE55" s="718"/>
      <c r="AF55" s="232">
        <f>+AF34</f>
        <v>66.010999999999967</v>
      </c>
      <c r="AG55" s="232">
        <f>+AC34+AG51+AG53</f>
        <v>116.9301</v>
      </c>
      <c r="AH55" s="652">
        <f>+AD34+AH51+AH53</f>
        <v>182.94109999999986</v>
      </c>
      <c r="AI55" s="232"/>
      <c r="AJ55" s="232">
        <f>+AJ34</f>
        <v>101.10100000000006</v>
      </c>
      <c r="AK55" s="232">
        <f>+AG34+AK51+AK53</f>
        <v>139.06450000000001</v>
      </c>
      <c r="AL55" s="652">
        <f>+AH34+AL51+AL53</f>
        <v>240.16550000000012</v>
      </c>
      <c r="AM55" s="232"/>
      <c r="AN55" s="232">
        <f>+AN34</f>
        <v>114.51199999999996</v>
      </c>
      <c r="AO55" s="232">
        <f>+AK34+AO51+AO53</f>
        <v>169.44590000000002</v>
      </c>
      <c r="AP55" s="652">
        <f>+AL34+AP51+AP53</f>
        <v>283.97989999999993</v>
      </c>
      <c r="AQ55" s="232"/>
      <c r="AR55" s="232">
        <f>+AR34</f>
        <v>132.01684136500012</v>
      </c>
      <c r="AS55" s="232">
        <f>+AS34</f>
        <v>184.4304316700001</v>
      </c>
      <c r="AT55" s="652">
        <f>+AP34+AT51+AT53</f>
        <v>316.46927303500013</v>
      </c>
      <c r="AU55" s="232"/>
      <c r="AV55" s="232">
        <f>+AV34</f>
        <v>142.25830418576817</v>
      </c>
      <c r="AW55" s="232">
        <f>+AW34</f>
        <v>201.0444337912015</v>
      </c>
      <c r="AX55" s="652">
        <f>+AT34+AX51+AX53</f>
        <v>343.30273797696941</v>
      </c>
      <c r="AY55" s="232"/>
      <c r="AZ55" s="232">
        <f>+AZ34</f>
        <v>154.52023262603285</v>
      </c>
      <c r="BA55" s="232">
        <f>+BA34</f>
        <v>216.95083520603947</v>
      </c>
      <c r="BB55" s="652">
        <f>+AX34+BB51+BB53</f>
        <v>371.47106783207226</v>
      </c>
      <c r="BC55" s="232"/>
      <c r="BD55" s="232">
        <f>+BD34</f>
        <v>161.42867203248585</v>
      </c>
      <c r="BE55" s="232">
        <f>+BE34</f>
        <v>226.78502282143924</v>
      </c>
      <c r="BF55" s="652">
        <f>+BB34+BF51+BF53</f>
        <v>388.21369485392518</v>
      </c>
      <c r="BG55" s="232"/>
      <c r="BH55" s="232">
        <f>+BH34</f>
        <v>168.65943610628065</v>
      </c>
      <c r="BI55" s="232">
        <f>+BI34</f>
        <v>237.0831538625896</v>
      </c>
      <c r="BJ55" s="652">
        <f>+BF34+BJ51+BJ53</f>
        <v>405.74258996886999</v>
      </c>
      <c r="BK55" s="232"/>
      <c r="BL55" s="232">
        <f>+BL34</f>
        <v>176.22834640274971</v>
      </c>
      <c r="BM55" s="232">
        <f>+BM34</f>
        <v>247.86803129151707</v>
      </c>
      <c r="BN55" s="652">
        <f>+BJ34+BN51+BN53</f>
        <v>424.09637769426672</v>
      </c>
      <c r="BO55" s="232"/>
      <c r="BP55" s="232">
        <f>+BP34</f>
        <v>184.15202330705634</v>
      </c>
      <c r="BQ55" s="232">
        <f>+BQ34</f>
        <v>259.16360469963035</v>
      </c>
      <c r="BR55" s="652">
        <f>+BN34+BR51+BR53</f>
        <v>443.31562800668661</v>
      </c>
      <c r="BS55" s="232"/>
      <c r="BT55" s="232">
        <f>+BT34</f>
        <v>192.44792704678557</v>
      </c>
      <c r="BU55" s="232">
        <f>+BU34</f>
        <v>270.99502878421276</v>
      </c>
      <c r="BV55" s="652">
        <f>+BR34+BV51+BV53</f>
        <v>463.4429558309983</v>
      </c>
      <c r="BW55" s="232"/>
      <c r="BX55" s="232">
        <f>+BX34</f>
        <v>201.13440083471428</v>
      </c>
      <c r="BY55" s="232">
        <f>+BY34</f>
        <v>283.38872483816408</v>
      </c>
      <c r="BZ55" s="652">
        <f>+BV34+BZ51+BZ53</f>
        <v>484.52312567287839</v>
      </c>
    </row>
    <row r="56" spans="1:78" s="135" customFormat="1" hidden="1" outlineLevel="1">
      <c r="A56" s="134"/>
      <c r="B56" s="386"/>
      <c r="D56" s="136"/>
      <c r="E56" s="136"/>
      <c r="F56" s="136"/>
      <c r="G56" s="232"/>
      <c r="H56" s="489">
        <f>+H55-H34</f>
        <v>1.6049999999999365</v>
      </c>
      <c r="I56" s="489">
        <f>+I55-I34</f>
        <v>1.1559999999999917</v>
      </c>
      <c r="J56" s="489">
        <f>+J55-J34</f>
        <v>6.2000000000097089E-2</v>
      </c>
      <c r="K56" s="232"/>
      <c r="L56" s="489">
        <f>+L55-L34</f>
        <v>0</v>
      </c>
      <c r="M56" s="489">
        <f>+M55-M34</f>
        <v>0.90400000000000347</v>
      </c>
      <c r="N56" s="489">
        <f>+N55-N34</f>
        <v>0</v>
      </c>
      <c r="O56" s="232"/>
      <c r="P56" s="489">
        <f>+P55-P34</f>
        <v>-1.9910000000000103</v>
      </c>
      <c r="Q56" s="489">
        <f>+Q55-Q34</f>
        <v>3.5810000000000244</v>
      </c>
      <c r="R56" s="489">
        <f>+R55-R34</f>
        <v>-1.7000000000010118E-2</v>
      </c>
      <c r="S56" s="232"/>
      <c r="T56" s="489">
        <f>+T55-T34</f>
        <v>-1.5280000000000094</v>
      </c>
      <c r="U56" s="489">
        <f>+U55-U34</f>
        <v>1.6969999999999814</v>
      </c>
      <c r="V56" s="489">
        <f>+V55-V34</f>
        <v>-0.15900000000000603</v>
      </c>
      <c r="W56" s="232"/>
      <c r="X56" s="489">
        <f>+X55-X34</f>
        <v>4.488000000000028</v>
      </c>
      <c r="Y56" s="489">
        <f>+Y55-Y34</f>
        <v>-4.4180000000000064</v>
      </c>
      <c r="Z56" s="489">
        <f>+Z55-Z34</f>
        <v>6.9999999999907914E-2</v>
      </c>
      <c r="AA56" s="232"/>
      <c r="AB56" s="489">
        <f>+AB55-AB34</f>
        <v>1.7339999999999876</v>
      </c>
      <c r="AC56" s="489">
        <f>+AC55-AC34</f>
        <v>-1.8379999999999797</v>
      </c>
      <c r="AD56" s="489">
        <f>+AD55-AD34</f>
        <v>-0.10399999999982867</v>
      </c>
      <c r="AE56" s="232"/>
      <c r="AF56" s="489">
        <f>+AF55-AF34</f>
        <v>0</v>
      </c>
      <c r="AG56" s="489">
        <f>+AG55-AG34</f>
        <v>2.1950999999999681</v>
      </c>
      <c r="AH56" s="489">
        <f>+AH55-AH34</f>
        <v>2.195099999999826</v>
      </c>
      <c r="AI56" s="232"/>
      <c r="AJ56" s="489">
        <f>+AJ55-AJ34</f>
        <v>0</v>
      </c>
      <c r="AK56" s="489">
        <f>+AK55-AK34</f>
        <v>0.15549999999998931</v>
      </c>
      <c r="AL56" s="489">
        <f>+AL55-AL34</f>
        <v>0.13350000000008322</v>
      </c>
      <c r="AM56" s="232"/>
      <c r="AN56" s="489">
        <f>+AN55-AN34</f>
        <v>0</v>
      </c>
      <c r="AO56" s="489">
        <f>+AO55-AO34</f>
        <v>-2.0999999998423391E-3</v>
      </c>
      <c r="AP56" s="489">
        <f>+AP55-AP34</f>
        <v>-2.0999999998139174E-3</v>
      </c>
      <c r="AQ56" s="232"/>
      <c r="AR56" s="489">
        <f>+AR55-AR34</f>
        <v>0</v>
      </c>
      <c r="AS56" s="489">
        <f>+AS55-AS34</f>
        <v>0</v>
      </c>
      <c r="AT56" s="489">
        <f>+AT55-AT34</f>
        <v>2.200000000016189E-2</v>
      </c>
      <c r="AU56" s="232"/>
      <c r="AV56" s="489">
        <f>+AV55-AV34</f>
        <v>0</v>
      </c>
      <c r="AW56" s="489">
        <f>+AW55-AW34</f>
        <v>0</v>
      </c>
      <c r="AX56" s="489">
        <f>+AX55-AX34</f>
        <v>0</v>
      </c>
      <c r="AY56" s="232"/>
      <c r="AZ56" s="489">
        <f>+AZ55-AZ34</f>
        <v>0</v>
      </c>
      <c r="BA56" s="489">
        <f>+BA55-BA34</f>
        <v>0</v>
      </c>
      <c r="BB56" s="489">
        <f>+BB55-BB34</f>
        <v>0</v>
      </c>
      <c r="BC56" s="232"/>
      <c r="BD56" s="489">
        <f>+BD55-BD34</f>
        <v>0</v>
      </c>
      <c r="BE56" s="489">
        <f>+BE55-BE34</f>
        <v>0</v>
      </c>
      <c r="BF56" s="489">
        <f>+BF55-BF34</f>
        <v>0</v>
      </c>
      <c r="BG56" s="232"/>
      <c r="BH56" s="489">
        <f>+BH55-BH34</f>
        <v>0</v>
      </c>
      <c r="BI56" s="489">
        <f>+BI55-BI34</f>
        <v>0</v>
      </c>
      <c r="BJ56" s="489">
        <f>+BJ55-BJ34</f>
        <v>0</v>
      </c>
      <c r="BK56" s="232"/>
      <c r="BL56" s="489">
        <f>+BL55-BL34</f>
        <v>0</v>
      </c>
      <c r="BM56" s="489">
        <f>+BM55-BM34</f>
        <v>0</v>
      </c>
      <c r="BN56" s="489">
        <f>+BN55-BN34</f>
        <v>0</v>
      </c>
      <c r="BO56" s="232"/>
      <c r="BP56" s="489">
        <f>+BP55-BP34</f>
        <v>0</v>
      </c>
      <c r="BQ56" s="489">
        <f>+BQ55-BQ34</f>
        <v>0</v>
      </c>
      <c r="BR56" s="489">
        <f>+BR55-BR34</f>
        <v>0</v>
      </c>
      <c r="BS56" s="232"/>
      <c r="BT56" s="489">
        <f>+BT55-BT34</f>
        <v>0</v>
      </c>
      <c r="BU56" s="489">
        <f>+BU55-BU34</f>
        <v>0</v>
      </c>
      <c r="BV56" s="489">
        <f>+BV55-BV34</f>
        <v>0</v>
      </c>
      <c r="BW56" s="232"/>
      <c r="BX56" s="489">
        <f>+BX55-BX34</f>
        <v>0</v>
      </c>
      <c r="BY56" s="489">
        <f>+BY55-BY34</f>
        <v>0</v>
      </c>
      <c r="BZ56" s="489">
        <f>+BZ55-BZ34</f>
        <v>5.1159076974727213E-13</v>
      </c>
    </row>
    <row r="57" spans="1:78" s="135" customFormat="1" collapsed="1">
      <c r="A57" s="134"/>
      <c r="B57" s="386"/>
      <c r="D57" s="136"/>
      <c r="E57" s="136"/>
      <c r="F57" s="136"/>
      <c r="G57" s="232"/>
      <c r="H57" s="310"/>
      <c r="I57" s="310"/>
      <c r="J57" s="310"/>
      <c r="K57" s="232"/>
      <c r="L57" s="310"/>
      <c r="M57" s="310"/>
      <c r="N57" s="310"/>
      <c r="O57" s="232"/>
      <c r="P57" s="310"/>
      <c r="Q57" s="310"/>
      <c r="R57" s="310"/>
      <c r="S57" s="232"/>
      <c r="T57" s="310"/>
      <c r="U57" s="310"/>
      <c r="V57" s="310"/>
      <c r="W57" s="232"/>
      <c r="X57" s="310"/>
      <c r="Y57" s="310"/>
      <c r="Z57" s="310"/>
      <c r="AA57" s="232"/>
      <c r="AB57" s="310"/>
      <c r="AC57" s="310"/>
      <c r="AD57" s="310"/>
      <c r="AE57" s="232"/>
      <c r="AF57" s="310"/>
      <c r="AG57" s="310"/>
      <c r="AH57" s="310"/>
      <c r="AI57" s="232"/>
      <c r="AJ57" s="310"/>
      <c r="AK57" s="310"/>
      <c r="AL57" s="310"/>
      <c r="AM57" s="232"/>
      <c r="AN57" s="310"/>
      <c r="AO57" s="310"/>
      <c r="AP57" s="310"/>
      <c r="AQ57" s="232"/>
      <c r="AR57" s="136"/>
      <c r="AS57" s="136"/>
      <c r="AT57" s="136"/>
      <c r="AU57" s="232"/>
      <c r="AV57" s="136"/>
      <c r="AW57" s="136"/>
      <c r="AX57" s="136"/>
      <c r="AY57" s="232"/>
      <c r="AZ57" s="136"/>
      <c r="BA57" s="136"/>
      <c r="BB57" s="136"/>
      <c r="BC57" s="232"/>
      <c r="BD57" s="136"/>
      <c r="BE57" s="136"/>
      <c r="BF57" s="136"/>
      <c r="BG57" s="232"/>
      <c r="BH57" s="136"/>
      <c r="BI57" s="136"/>
      <c r="BJ57" s="136"/>
      <c r="BK57" s="232"/>
      <c r="BL57" s="136"/>
      <c r="BM57" s="136"/>
      <c r="BN57" s="136"/>
      <c r="BO57" s="232"/>
      <c r="BP57" s="136"/>
      <c r="BQ57" s="136"/>
      <c r="BR57" s="136"/>
      <c r="BS57" s="232"/>
      <c r="BT57" s="136"/>
      <c r="BU57" s="136"/>
      <c r="BV57" s="136"/>
      <c r="BW57" s="232"/>
      <c r="BX57" s="136"/>
      <c r="BY57" s="136"/>
      <c r="BZ57" s="136"/>
    </row>
    <row r="58" spans="1:78" s="135" customFormat="1">
      <c r="A58" s="134"/>
      <c r="B58" s="724" t="s">
        <v>641</v>
      </c>
      <c r="D58" s="136"/>
      <c r="E58" s="136"/>
      <c r="F58" s="136"/>
      <c r="G58" s="232"/>
      <c r="H58" s="310"/>
      <c r="I58" s="310"/>
      <c r="J58" s="310"/>
      <c r="K58" s="232"/>
      <c r="L58" s="310"/>
      <c r="M58" s="310"/>
      <c r="N58" s="310"/>
      <c r="O58" s="232"/>
      <c r="P58" s="310"/>
      <c r="Q58" s="310"/>
      <c r="R58" s="310"/>
      <c r="S58" s="232"/>
      <c r="T58" s="310"/>
      <c r="U58" s="310"/>
      <c r="V58" s="310"/>
      <c r="W58" s="232"/>
      <c r="X58" s="310"/>
      <c r="Y58" s="310"/>
      <c r="Z58" s="310"/>
      <c r="AA58" s="232"/>
      <c r="AB58" s="310"/>
      <c r="AC58" s="310"/>
      <c r="AD58" s="310"/>
      <c r="AE58" s="232"/>
      <c r="AF58" s="310"/>
      <c r="AG58" s="310"/>
      <c r="AH58" s="310"/>
      <c r="AI58" s="232"/>
      <c r="AJ58" s="310"/>
      <c r="AK58" s="310"/>
      <c r="AL58" s="310"/>
      <c r="AM58" s="232"/>
      <c r="AN58" s="310"/>
      <c r="AO58" s="310"/>
      <c r="AP58" s="310"/>
      <c r="AQ58" s="232"/>
      <c r="AR58" s="310"/>
      <c r="AS58" s="310"/>
      <c r="AT58" s="718"/>
      <c r="AU58" s="232"/>
      <c r="AV58" s="310"/>
      <c r="AW58" s="310"/>
      <c r="AX58" s="718"/>
      <c r="AY58" s="232"/>
      <c r="AZ58" s="310"/>
      <c r="BA58" s="310"/>
      <c r="BB58" s="718"/>
      <c r="BC58" s="232"/>
      <c r="BD58" s="310"/>
      <c r="BE58" s="310"/>
      <c r="BF58" s="718"/>
      <c r="BG58" s="232"/>
      <c r="BH58" s="310"/>
      <c r="BI58" s="310"/>
      <c r="BJ58" s="718"/>
      <c r="BK58" s="232"/>
      <c r="BL58" s="310"/>
      <c r="BM58" s="310"/>
      <c r="BN58" s="718"/>
      <c r="BO58" s="232"/>
      <c r="BP58" s="310"/>
      <c r="BQ58" s="310"/>
      <c r="BR58" s="718"/>
      <c r="BS58" s="232"/>
      <c r="BT58" s="310"/>
      <c r="BU58" s="310"/>
      <c r="BV58" s="718"/>
      <c r="BW58" s="232"/>
      <c r="BX58" s="310"/>
      <c r="BY58" s="310"/>
      <c r="BZ58" s="718"/>
    </row>
    <row r="59" spans="1:78" s="135" customFormat="1">
      <c r="A59" s="134"/>
      <c r="B59" s="386" t="s">
        <v>635</v>
      </c>
      <c r="D59" s="136"/>
      <c r="E59" s="136"/>
      <c r="F59" s="136"/>
      <c r="G59" s="232"/>
      <c r="H59" s="310"/>
      <c r="I59" s="310"/>
      <c r="J59" s="310"/>
      <c r="K59" s="232"/>
      <c r="L59" s="310"/>
      <c r="M59" s="310"/>
      <c r="N59" s="310"/>
      <c r="O59" s="232"/>
      <c r="P59" s="310"/>
      <c r="Q59" s="310"/>
      <c r="R59" s="310"/>
      <c r="S59" s="232"/>
      <c r="T59" s="310"/>
      <c r="U59" s="310"/>
      <c r="V59" s="310"/>
      <c r="W59" s="232"/>
      <c r="X59" s="310"/>
      <c r="Y59" s="310"/>
      <c r="Z59" s="310"/>
      <c r="AA59" s="232"/>
      <c r="AB59" s="310"/>
      <c r="AC59" s="310"/>
      <c r="AD59" s="310"/>
      <c r="AE59" s="232"/>
      <c r="AF59" s="310"/>
      <c r="AG59" s="310"/>
      <c r="AH59" s="310"/>
      <c r="AI59" s="232"/>
      <c r="AJ59" s="310"/>
      <c r="AK59" s="310"/>
      <c r="AL59" s="310"/>
      <c r="AM59" s="232"/>
      <c r="AN59" s="310"/>
      <c r="AO59" s="310"/>
      <c r="AP59" s="310"/>
      <c r="AQ59" s="232"/>
      <c r="AR59" s="652">
        <f>+AR63-AR61-AN13</f>
        <v>34.302240000000211</v>
      </c>
      <c r="AS59" s="652">
        <f>+AS63-AS61-AO13</f>
        <v>31.678050000000098</v>
      </c>
      <c r="AT59" s="232">
        <f t="shared" ref="AT59" si="252">+AS59+AR59</f>
        <v>65.980290000000309</v>
      </c>
      <c r="AU59" s="232"/>
      <c r="AV59" s="652">
        <f>+AV63-AV61-AR13</f>
        <v>28.511073663784941</v>
      </c>
      <c r="AW59" s="652">
        <f>+AW63-AW61-AS13</f>
        <v>31.478982275268777</v>
      </c>
      <c r="AX59" s="232">
        <f t="shared" ref="AX59" si="253">+AW59+AV59</f>
        <v>59.990055939053718</v>
      </c>
      <c r="AY59" s="232"/>
      <c r="AZ59" s="652">
        <f>+AZ63-AZ61-AV13</f>
        <v>28.875309152708382</v>
      </c>
      <c r="BA59" s="652">
        <f>+BA63-BA61-AW13</f>
        <v>30.972977890259813</v>
      </c>
      <c r="BB59" s="232">
        <f t="shared" ref="BB59" si="254">+BA59+AZ59</f>
        <v>59.848287042968195</v>
      </c>
      <c r="BC59" s="232"/>
      <c r="BD59" s="652">
        <f>+BD63-BD61-AZ13</f>
        <v>25.522031660143398</v>
      </c>
      <c r="BE59" s="652">
        <f>+BE63-BE61-BA13</f>
        <v>27.22870303702598</v>
      </c>
      <c r="BF59" s="232">
        <f t="shared" ref="BF59" si="255">+BE59+BD59</f>
        <v>52.750734697169378</v>
      </c>
      <c r="BG59" s="232"/>
      <c r="BH59" s="652">
        <f>+BH63-BH61-BD13</f>
        <v>26.53008862996694</v>
      </c>
      <c r="BI59" s="652">
        <f>+BI63-BI61-BE13</f>
        <v>28.335391233765336</v>
      </c>
      <c r="BJ59" s="232">
        <f t="shared" ref="BJ59" si="256">+BI59+BH59</f>
        <v>54.865479863732276</v>
      </c>
      <c r="BK59" s="232"/>
      <c r="BL59" s="652">
        <f>+BL63-BL61-BH13</f>
        <v>27.584532385064563</v>
      </c>
      <c r="BM59" s="652">
        <f>+BM63-BM61-BI13</f>
        <v>29.493651178487426</v>
      </c>
      <c r="BN59" s="232">
        <f t="shared" ref="BN59" si="257">+BM59+BL59</f>
        <v>57.078183563551988</v>
      </c>
      <c r="BO59" s="232"/>
      <c r="BP59" s="652">
        <f>+BP63-BP61-BL13</f>
        <v>28.687687862100006</v>
      </c>
      <c r="BQ59" s="652">
        <f>+BQ63-BQ61-BM13</f>
        <v>30.706075072704493</v>
      </c>
      <c r="BR59" s="232">
        <f t="shared" ref="BR59" si="258">+BQ59+BP59</f>
        <v>59.393762934804499</v>
      </c>
      <c r="BS59" s="232"/>
      <c r="BT59" s="652">
        <f>+BT63-BT61-BP13</f>
        <v>29.842001719194741</v>
      </c>
      <c r="BU59" s="652">
        <f>+BU63-BU61-BQ13</f>
        <v>31.975390687932077</v>
      </c>
      <c r="BV59" s="232">
        <f t="shared" ref="BV59" si="259">+BU59+BT59</f>
        <v>61.817392407126817</v>
      </c>
      <c r="BW59" s="232"/>
      <c r="BX59" s="652">
        <f>+BX63-BX61-BT13</f>
        <v>31.050048861508117</v>
      </c>
      <c r="BY59" s="652">
        <f>+BY63-BY61-BU13</f>
        <v>33.304468618822739</v>
      </c>
      <c r="BZ59" s="232">
        <f t="shared" ref="BZ59" si="260">+BY59+BX59</f>
        <v>64.354517480330856</v>
      </c>
    </row>
    <row r="60" spans="1:78" s="135" customFormat="1">
      <c r="A60" s="134"/>
      <c r="B60" s="314" t="s">
        <v>366</v>
      </c>
      <c r="D60" s="136"/>
      <c r="E60" s="136"/>
      <c r="F60" s="136"/>
      <c r="G60" s="232"/>
      <c r="H60" s="310"/>
      <c r="I60" s="310"/>
      <c r="J60" s="310"/>
      <c r="K60" s="232"/>
      <c r="L60" s="310"/>
      <c r="M60" s="310"/>
      <c r="N60" s="310"/>
      <c r="O60" s="232"/>
      <c r="P60" s="310"/>
      <c r="Q60" s="310"/>
      <c r="R60" s="310"/>
      <c r="S60" s="232"/>
      <c r="T60" s="310"/>
      <c r="U60" s="310"/>
      <c r="V60" s="310"/>
      <c r="W60" s="232"/>
      <c r="X60" s="310"/>
      <c r="Y60" s="310"/>
      <c r="Z60" s="310"/>
      <c r="AA60" s="232"/>
      <c r="AB60" s="310"/>
      <c r="AC60" s="310"/>
      <c r="AD60" s="310"/>
      <c r="AE60" s="232"/>
      <c r="AF60" s="310"/>
      <c r="AG60" s="310"/>
      <c r="AH60" s="310"/>
      <c r="AI60" s="232"/>
      <c r="AJ60" s="310"/>
      <c r="AK60" s="310"/>
      <c r="AL60" s="310"/>
      <c r="AM60" s="232"/>
      <c r="AN60" s="310"/>
      <c r="AO60" s="310"/>
      <c r="AP60" s="310"/>
      <c r="AQ60" s="232"/>
      <c r="AR60" s="173">
        <f t="shared" ref="AR60:AT60" si="261">+AR59/AN$13</f>
        <v>4.8035087129678161E-2</v>
      </c>
      <c r="AS60" s="173">
        <f t="shared" si="261"/>
        <v>4.0122413825859654E-2</v>
      </c>
      <c r="AT60" s="173">
        <f t="shared" si="261"/>
        <v>4.3879647394865426E-2</v>
      </c>
      <c r="AU60" s="232"/>
      <c r="AV60" s="173">
        <f t="shared" ref="AV60:AX60" si="262">+AV59/AR$13</f>
        <v>3.7256145172612581E-2</v>
      </c>
      <c r="AW60" s="173">
        <f t="shared" si="262"/>
        <v>3.8189916528060058E-2</v>
      </c>
      <c r="AX60" s="173">
        <f t="shared" si="262"/>
        <v>3.7740361365226266E-2</v>
      </c>
      <c r="AY60" s="232"/>
      <c r="AZ60" s="173">
        <f t="shared" ref="AZ60:BB60" si="263">+AZ59/AV$13</f>
        <v>3.6150614037174608E-2</v>
      </c>
      <c r="BA60" s="173">
        <f t="shared" si="263"/>
        <v>3.5883069865046704E-2</v>
      </c>
      <c r="BB60" s="173">
        <f t="shared" si="263"/>
        <v>3.6011657095048347E-2</v>
      </c>
      <c r="BC60" s="232"/>
      <c r="BD60" s="173">
        <f t="shared" ref="BD60:BF60" si="264">+BD59/AZ$13</f>
        <v>3.0635933362482305E-2</v>
      </c>
      <c r="BE60" s="173">
        <f t="shared" si="264"/>
        <v>3.0182374845128909E-2</v>
      </c>
      <c r="BF60" s="173">
        <f t="shared" si="264"/>
        <v>3.0400127948180259E-2</v>
      </c>
      <c r="BG60" s="232"/>
      <c r="BH60" s="173">
        <f t="shared" ref="BH60:BJ60" si="265">+BH59/BD$13</f>
        <v>3.0688951268517797E-2</v>
      </c>
      <c r="BI60" s="173">
        <f t="shared" si="265"/>
        <v>3.0210728820942681E-2</v>
      </c>
      <c r="BJ60" s="173">
        <f t="shared" si="265"/>
        <v>3.0440097156686132E-2</v>
      </c>
      <c r="BK60" s="232"/>
      <c r="BL60" s="173">
        <f t="shared" ref="BL60:BN60" si="266">+BL59/BH$13</f>
        <v>3.0739593411573875E-2</v>
      </c>
      <c r="BM60" s="173">
        <f t="shared" si="266"/>
        <v>3.0237410057702564E-2</v>
      </c>
      <c r="BN60" s="173">
        <f t="shared" si="266"/>
        <v>3.0478038349197996E-2</v>
      </c>
      <c r="BO60" s="232"/>
      <c r="BP60" s="173">
        <f t="shared" ref="BP60:BR60" si="267">+BP59/BL$13</f>
        <v>3.0787960285306878E-2</v>
      </c>
      <c r="BQ60" s="173">
        <f t="shared" si="267"/>
        <v>3.0262519584750073E-2</v>
      </c>
      <c r="BR60" s="173">
        <f t="shared" si="267"/>
        <v>3.0514053996756441E-2</v>
      </c>
      <c r="BS60" s="232"/>
      <c r="BT60" s="173">
        <f t="shared" ref="BT60" si="268">+BT59/BP$13</f>
        <v>3.0834152689732268E-2</v>
      </c>
      <c r="BU60" s="173">
        <f t="shared" ref="BU60" si="269">+BU59/BQ$13</f>
        <v>3.028615706690431E-2</v>
      </c>
      <c r="BV60" s="173">
        <f t="shared" ref="BV60" si="270">+BV59/BR$13</f>
        <v>3.0548245961407365E-2</v>
      </c>
      <c r="BW60" s="232"/>
      <c r="BX60" s="173">
        <f t="shared" ref="BX60" si="271">+BX59/BT$13</f>
        <v>3.0878271469895361E-2</v>
      </c>
      <c r="BY60" s="173">
        <f t="shared" ref="BY60" si="272">+BY59/BU$13</f>
        <v>3.0308420632540269E-2</v>
      </c>
      <c r="BZ60" s="173">
        <f t="shared" ref="BZ60" si="273">+BZ59/BV$13</f>
        <v>3.058071527630506E-2</v>
      </c>
    </row>
    <row r="61" spans="1:78" s="135" customFormat="1">
      <c r="A61" s="134"/>
      <c r="B61" s="386" t="s">
        <v>637</v>
      </c>
      <c r="D61" s="136"/>
      <c r="E61" s="136"/>
      <c r="F61" s="136"/>
      <c r="G61" s="232"/>
      <c r="H61" s="310"/>
      <c r="I61" s="310"/>
      <c r="J61" s="310"/>
      <c r="K61" s="232"/>
      <c r="L61" s="310"/>
      <c r="M61" s="310"/>
      <c r="N61" s="310"/>
      <c r="O61" s="232"/>
      <c r="P61" s="310"/>
      <c r="Q61" s="310"/>
      <c r="R61" s="310"/>
      <c r="S61" s="232"/>
      <c r="T61" s="298"/>
      <c r="U61" s="310"/>
      <c r="V61" s="310"/>
      <c r="W61" s="232"/>
      <c r="X61" s="310"/>
      <c r="Y61" s="310"/>
      <c r="Z61" s="310"/>
      <c r="AA61" s="232"/>
      <c r="AB61" s="310"/>
      <c r="AC61" s="310"/>
      <c r="AD61" s="310"/>
      <c r="AE61" s="232"/>
      <c r="AF61" s="310"/>
      <c r="AG61" s="310"/>
      <c r="AH61" s="310"/>
      <c r="AI61" s="232"/>
      <c r="AJ61" s="310"/>
      <c r="AK61" s="310"/>
      <c r="AL61" s="310"/>
      <c r="AM61" s="232"/>
      <c r="AN61" s="310"/>
      <c r="AO61" s="310"/>
      <c r="AP61" s="310"/>
      <c r="AQ61" s="232"/>
      <c r="AR61" s="298">
        <f>+AR219 + AR300+AR354 + (AR421-AN421)*1</f>
        <v>16.861463008709329</v>
      </c>
      <c r="AS61" s="298">
        <f>+AS219 + AS300+AS354 + (AS421-AO421)*1</f>
        <v>3.0616574909047287</v>
      </c>
      <c r="AT61" s="232">
        <f t="shared" ref="AT61" si="274">+AS61+AR61</f>
        <v>19.923120499614058</v>
      </c>
      <c r="AU61" s="232"/>
      <c r="AV61" s="298">
        <f>+AV219 + AV300+AV354 + (AV421-AR421)*1</f>
        <v>4.9673945698297182</v>
      </c>
      <c r="AW61" s="298">
        <f>+AW219 + AW300+AW354 + (AW421-AS421)*1</f>
        <v>7.4104153883366743</v>
      </c>
      <c r="AX61" s="232">
        <f t="shared" ref="AX61" si="275">+AW61+AV61</f>
        <v>12.377809958166392</v>
      </c>
      <c r="AY61" s="232"/>
      <c r="AZ61" s="298">
        <f>+AZ219 + AZ300+AZ354 + (AZ421-AV421)*1</f>
        <v>5.4495677247174195</v>
      </c>
      <c r="BA61" s="298">
        <f>+BA219 + BA300+BA354 + (BA421-AW421)*1</f>
        <v>8.0021017192274044</v>
      </c>
      <c r="BB61" s="232">
        <f t="shared" ref="BB61" si="276">+BA61+AZ61</f>
        <v>13.451669443944823</v>
      </c>
      <c r="BC61" s="232"/>
      <c r="BD61" s="298">
        <f>+BD219 + BD300+BD354 + (BD421-AZ421)*1</f>
        <v>5.8863102792117763</v>
      </c>
      <c r="BE61" s="298">
        <f>+BE219 + BE300+BE354 + (BE421-BA421)*1</f>
        <v>8.5568938786119624</v>
      </c>
      <c r="BF61" s="232">
        <f t="shared" ref="BF61" si="277">+BE61+BD61</f>
        <v>14.44320415782374</v>
      </c>
      <c r="BG61" s="232"/>
      <c r="BH61" s="298">
        <f>+BH219 + BH300+BH354 + (BH421-BD421)*1</f>
        <v>6.3481752447959243</v>
      </c>
      <c r="BI61" s="298">
        <f>+BI219 + BI300+BI354 + (BI421-BE421)*1</f>
        <v>9.142519387434211</v>
      </c>
      <c r="BJ61" s="232">
        <f t="shared" ref="BJ61" si="278">+BI61+BH61</f>
        <v>15.490694632230134</v>
      </c>
      <c r="BK61" s="232"/>
      <c r="BL61" s="298">
        <f>+BL219 + BL300+BL354 + (BL421-BH421)*1</f>
        <v>6.8364844476919222</v>
      </c>
      <c r="BM61" s="298">
        <f>+BM219 + BM300+BM354 + (BM421-BI421)*1</f>
        <v>9.7605817879953509</v>
      </c>
      <c r="BN61" s="232">
        <f t="shared" ref="BN61" si="279">+BM61+BL61</f>
        <v>16.597066235687272</v>
      </c>
      <c r="BO61" s="232"/>
      <c r="BP61" s="298">
        <f>+BP219 + BP300+BP354 + (BP421-BL421)*1</f>
        <v>7.3526271195457396</v>
      </c>
      <c r="BQ61" s="298">
        <f>+BQ219 + BQ300+BQ354 + (BQ421-BM421)*1</f>
        <v>10.412766037208385</v>
      </c>
      <c r="BR61" s="232">
        <f t="shared" ref="BR61" si="280">+BQ61+BP61</f>
        <v>17.765393156754126</v>
      </c>
      <c r="BS61" s="232"/>
      <c r="BT61" s="298">
        <f>+BT219 + BT300+BT354 + (BT421-BP421)*1</f>
        <v>7.8980632939816919</v>
      </c>
      <c r="BU61" s="298">
        <f>+BU219 + BU300+BU354 + (BU421-BQ421)*1</f>
        <v>11.100842602078384</v>
      </c>
      <c r="BV61" s="232">
        <f t="shared" ref="BV61" si="281">+BU61+BT61</f>
        <v>18.998905896060077</v>
      </c>
      <c r="BW61" s="232"/>
      <c r="BX61" s="298">
        <f>+BX219 + BX300+BX354 + (BX421-BT421)*1</f>
        <v>8.4743273735085634</v>
      </c>
      <c r="BY61" s="298">
        <f>+BY219 + BY300+BY354 + (BY421-BU421)*1</f>
        <v>11.826671760451973</v>
      </c>
      <c r="BZ61" s="232">
        <f t="shared" ref="BZ61" si="282">+BY61+BX61</f>
        <v>20.300999133960538</v>
      </c>
    </row>
    <row r="62" spans="1:78" s="135" customFormat="1">
      <c r="A62" s="134"/>
      <c r="B62" s="314" t="s">
        <v>638</v>
      </c>
      <c r="D62" s="136"/>
      <c r="E62" s="136"/>
      <c r="F62" s="136"/>
      <c r="G62" s="232"/>
      <c r="H62" s="310"/>
      <c r="I62" s="310"/>
      <c r="J62" s="310"/>
      <c r="K62" s="232"/>
      <c r="L62" s="310"/>
      <c r="M62" s="310"/>
      <c r="N62" s="310"/>
      <c r="O62" s="232"/>
      <c r="P62" s="310"/>
      <c r="Q62" s="310"/>
      <c r="R62" s="310"/>
      <c r="S62" s="232"/>
      <c r="T62" s="310"/>
      <c r="U62" s="310"/>
      <c r="V62" s="310"/>
      <c r="W62" s="232"/>
      <c r="X62" s="310"/>
      <c r="Y62" s="310"/>
      <c r="Z62" s="310"/>
      <c r="AA62" s="232"/>
      <c r="AB62" s="310"/>
      <c r="AC62" s="310"/>
      <c r="AD62" s="310"/>
      <c r="AE62" s="232"/>
      <c r="AF62" s="310"/>
      <c r="AG62" s="310"/>
      <c r="AH62" s="310"/>
      <c r="AI62" s="232"/>
      <c r="AJ62" s="310"/>
      <c r="AK62" s="310"/>
      <c r="AL62" s="310"/>
      <c r="AM62" s="232"/>
      <c r="AN62" s="310"/>
      <c r="AO62" s="310"/>
      <c r="AP62" s="310"/>
      <c r="AQ62" s="232"/>
      <c r="AR62" s="173">
        <f t="shared" ref="AR62:AT62" si="283">+AR61/AN$13</f>
        <v>2.3611922858600282E-2</v>
      </c>
      <c r="AS62" s="173">
        <f t="shared" si="283"/>
        <v>3.8777983128103614E-3</v>
      </c>
      <c r="AT62" s="173">
        <f t="shared" si="283"/>
        <v>1.3249706882592905E-2</v>
      </c>
      <c r="AU62" s="232"/>
      <c r="AV62" s="173">
        <f t="shared" ref="AV62:AX62" si="284">+AV61/AR$13</f>
        <v>6.4910208365213592E-3</v>
      </c>
      <c r="AW62" s="173">
        <f t="shared" si="284"/>
        <v>8.9902253714589948E-3</v>
      </c>
      <c r="AX62" s="173">
        <f t="shared" si="284"/>
        <v>7.7870075868221381E-3</v>
      </c>
      <c r="AY62" s="232"/>
      <c r="AZ62" s="173">
        <f t="shared" ref="AZ62:BB62" si="285">+AZ61/AV$13</f>
        <v>6.8226185369594551E-3</v>
      </c>
      <c r="BA62" s="173">
        <f t="shared" si="285"/>
        <v>9.270660899175125E-3</v>
      </c>
      <c r="BB62" s="173">
        <f t="shared" si="285"/>
        <v>8.0940814065988652E-3</v>
      </c>
      <c r="BC62" s="232"/>
      <c r="BD62" s="173">
        <f t="shared" ref="BD62:BF62" si="286">+BD61/AZ$13</f>
        <v>7.065762313368017E-3</v>
      </c>
      <c r="BE62" s="173">
        <f t="shared" si="286"/>
        <v>9.485114961335455E-3</v>
      </c>
      <c r="BF62" s="173">
        <f t="shared" si="286"/>
        <v>8.3235855746875819E-3</v>
      </c>
      <c r="BG62" s="232"/>
      <c r="BH62" s="173">
        <f t="shared" ref="BH62:BJ62" si="287">+BH61/BD$13</f>
        <v>7.3433166186823986E-3</v>
      </c>
      <c r="BI62" s="173">
        <f t="shared" si="287"/>
        <v>9.7476040360739702E-3</v>
      </c>
      <c r="BJ62" s="173">
        <f t="shared" si="287"/>
        <v>8.5944431872424492E-3</v>
      </c>
      <c r="BK62" s="232"/>
      <c r="BL62" s="173">
        <f t="shared" ref="BL62:BN62" si="288">+BL61/BH$13</f>
        <v>7.6184272168551394E-3</v>
      </c>
      <c r="BM62" s="173">
        <f t="shared" si="288"/>
        <v>1.0006720162901684E-2</v>
      </c>
      <c r="BN62" s="173">
        <f t="shared" si="288"/>
        <v>8.862335653205166E-3</v>
      </c>
      <c r="BO62" s="232"/>
      <c r="BP62" s="173">
        <f t="shared" ref="BP62:BR62" si="289">+BP61/BL$13</f>
        <v>7.8909249444361999E-3</v>
      </c>
      <c r="BQ62" s="173">
        <f t="shared" si="289"/>
        <v>1.0262351517942952E-2</v>
      </c>
      <c r="BR62" s="173">
        <f t="shared" si="289"/>
        <v>9.1271227696728026E-3</v>
      </c>
      <c r="BS62" s="232"/>
      <c r="BT62" s="173">
        <f t="shared" ref="BT62" si="290">+BT61/BP$13</f>
        <v>8.1606486002968014E-3</v>
      </c>
      <c r="BU62" s="173">
        <f t="shared" ref="BU62" si="291">+BU61/BQ$13</f>
        <v>1.0514394207180573E-2</v>
      </c>
      <c r="BV62" s="173">
        <f t="shared" ref="BV62" si="292">+BV61/BR$13</f>
        <v>9.3886724708168775E-3</v>
      </c>
      <c r="BW62" s="232"/>
      <c r="BX62" s="173">
        <f t="shared" ref="BX62" si="293">+BX61/BT$13</f>
        <v>8.4274450688015187E-3</v>
      </c>
      <c r="BY62" s="173">
        <f t="shared" ref="BY62" si="294">+BY61/BU$13</f>
        <v>1.0762752185037999E-2</v>
      </c>
      <c r="BZ62" s="173">
        <f t="shared" ref="BZ62" si="295">+BZ61/BV$13</f>
        <v>9.6468608366135026E-3</v>
      </c>
    </row>
    <row r="63" spans="1:78" s="135" customFormat="1">
      <c r="A63" s="134"/>
      <c r="B63" s="386" t="s">
        <v>402</v>
      </c>
      <c r="D63" s="136"/>
      <c r="E63" s="136"/>
      <c r="F63" s="136"/>
      <c r="G63" s="232"/>
      <c r="H63" s="310"/>
      <c r="I63" s="310"/>
      <c r="J63" s="310"/>
      <c r="K63" s="232"/>
      <c r="L63" s="310"/>
      <c r="M63" s="310"/>
      <c r="N63" s="310"/>
      <c r="O63" s="232"/>
      <c r="P63" s="310"/>
      <c r="Q63" s="310"/>
      <c r="R63" s="310"/>
      <c r="S63" s="232"/>
      <c r="T63" s="298"/>
      <c r="U63" s="310"/>
      <c r="V63" s="310"/>
      <c r="W63" s="232"/>
      <c r="X63" s="310"/>
      <c r="Y63" s="310"/>
      <c r="Z63" s="310"/>
      <c r="AA63" s="232"/>
      <c r="AB63" s="310"/>
      <c r="AC63" s="310"/>
      <c r="AD63" s="310"/>
      <c r="AE63" s="232"/>
      <c r="AF63" s="310"/>
      <c r="AG63" s="310"/>
      <c r="AH63" s="310"/>
      <c r="AI63" s="232"/>
      <c r="AJ63" s="310"/>
      <c r="AK63" s="310"/>
      <c r="AL63" s="310"/>
      <c r="AM63" s="232"/>
      <c r="AN63" s="310"/>
      <c r="AO63" s="310"/>
      <c r="AP63" s="310"/>
      <c r="AQ63" s="232"/>
      <c r="AR63" s="298">
        <f>+AR13</f>
        <v>765.27170300870944</v>
      </c>
      <c r="AS63" s="298">
        <f>+AS13</f>
        <v>824.2747074909048</v>
      </c>
      <c r="AT63" s="652">
        <f>+AP13+AT59+AT61</f>
        <v>1589.5684104996139</v>
      </c>
      <c r="AU63" s="232"/>
      <c r="AV63" s="298">
        <f>+AV13</f>
        <v>798.75017124232409</v>
      </c>
      <c r="AW63" s="298">
        <f>+AW13</f>
        <v>863.16410515451025</v>
      </c>
      <c r="AX63" s="652">
        <f>+AT13+AX59+AX61</f>
        <v>1661.9142763968341</v>
      </c>
      <c r="AY63" s="232"/>
      <c r="AZ63" s="298">
        <f>+AZ13</f>
        <v>833.07504811974991</v>
      </c>
      <c r="BA63" s="298">
        <f>+BA13</f>
        <v>902.13918476399749</v>
      </c>
      <c r="BB63" s="652">
        <f>+AX13+BB59+BB61</f>
        <v>1735.2142328837474</v>
      </c>
      <c r="BC63" s="232"/>
      <c r="BD63" s="298">
        <f>+BD13</f>
        <v>864.48339005910509</v>
      </c>
      <c r="BE63" s="298">
        <f>+BE13</f>
        <v>937.92478167963543</v>
      </c>
      <c r="BF63" s="652">
        <f>+BB13+BF59+BF61</f>
        <v>1802.4081717387405</v>
      </c>
      <c r="BG63" s="232"/>
      <c r="BH63" s="298">
        <f>+BH13</f>
        <v>897.36165393386796</v>
      </c>
      <c r="BI63" s="298">
        <f>+BI13</f>
        <v>975.40269230083493</v>
      </c>
      <c r="BJ63" s="652">
        <f>+BF13+BJ59+BJ61</f>
        <v>1872.7643462347025</v>
      </c>
      <c r="BK63" s="232"/>
      <c r="BL63" s="298">
        <f>+BL13</f>
        <v>931.78267076662439</v>
      </c>
      <c r="BM63" s="298">
        <f>+BM13</f>
        <v>1014.6569252673177</v>
      </c>
      <c r="BN63" s="652">
        <f>+BJ13+BN59+BN61</f>
        <v>1946.4395960339421</v>
      </c>
      <c r="BO63" s="232"/>
      <c r="BP63" s="298">
        <f>+BP13</f>
        <v>967.82298574827018</v>
      </c>
      <c r="BQ63" s="298">
        <f>+BQ13</f>
        <v>1055.7757663772306</v>
      </c>
      <c r="BR63" s="652">
        <f>+BN13+BR59+BR61</f>
        <v>2023.5987521255006</v>
      </c>
      <c r="BS63" s="232"/>
      <c r="BT63" s="298">
        <f>+BT13</f>
        <v>1005.5630507614466</v>
      </c>
      <c r="BU63" s="298">
        <f>+BU13</f>
        <v>1098.851999667241</v>
      </c>
      <c r="BV63" s="652">
        <f>+BR13+BV59+BV61</f>
        <v>2104.4150504286877</v>
      </c>
      <c r="BW63" s="232"/>
      <c r="BX63" s="298">
        <f>+BX13</f>
        <v>1045.0874269964631</v>
      </c>
      <c r="BY63" s="298">
        <f>+BY13</f>
        <v>1143.9831400465157</v>
      </c>
      <c r="BZ63" s="652">
        <f>+BV13+BZ59+BZ61</f>
        <v>2189.0705670429788</v>
      </c>
    </row>
    <row r="64" spans="1:78" s="135" customFormat="1">
      <c r="A64" s="134"/>
      <c r="B64" s="386"/>
      <c r="D64" s="136"/>
      <c r="E64" s="136"/>
      <c r="F64" s="136"/>
      <c r="G64" s="232"/>
      <c r="H64" s="310"/>
      <c r="I64" s="310"/>
      <c r="J64" s="310"/>
      <c r="K64" s="232"/>
      <c r="L64" s="310"/>
      <c r="M64" s="310"/>
      <c r="N64" s="310"/>
      <c r="O64" s="232"/>
      <c r="P64" s="310"/>
      <c r="Q64" s="310"/>
      <c r="R64" s="310"/>
      <c r="S64" s="232"/>
      <c r="T64" s="310"/>
      <c r="U64" s="310"/>
      <c r="V64" s="310"/>
      <c r="W64" s="232"/>
      <c r="X64" s="310"/>
      <c r="Y64" s="310"/>
      <c r="Z64" s="310"/>
      <c r="AA64" s="232"/>
      <c r="AB64" s="310"/>
      <c r="AC64" s="310"/>
      <c r="AD64" s="310"/>
      <c r="AE64" s="232"/>
      <c r="AF64" s="310"/>
      <c r="AG64" s="310"/>
      <c r="AH64" s="310"/>
      <c r="AI64" s="232"/>
      <c r="AJ64" s="310"/>
      <c r="AK64" s="310"/>
      <c r="AL64" s="310"/>
      <c r="AM64" s="232"/>
      <c r="AN64" s="310"/>
      <c r="AO64" s="310"/>
      <c r="AP64" s="310"/>
      <c r="AQ64" s="232"/>
      <c r="AR64" s="489">
        <f>+AR63-AR13</f>
        <v>0</v>
      </c>
      <c r="AS64" s="489">
        <f>+AS63-AS13</f>
        <v>0</v>
      </c>
      <c r="AT64" s="489">
        <f>+AT63-AT13</f>
        <v>2.1999999999934516E-2</v>
      </c>
      <c r="AU64" s="232"/>
      <c r="AV64" s="489">
        <f>+AV63-AV13</f>
        <v>0</v>
      </c>
      <c r="AW64" s="489">
        <f>+AW63-AW13</f>
        <v>0</v>
      </c>
      <c r="AX64" s="489">
        <f>+AX63-AX13</f>
        <v>0</v>
      </c>
      <c r="AY64" s="232"/>
      <c r="AZ64" s="489">
        <f>+AZ63-AZ13</f>
        <v>0</v>
      </c>
      <c r="BA64" s="489">
        <f>+BA63-BA13</f>
        <v>0</v>
      </c>
      <c r="BB64" s="489">
        <f>+BB63-BB13</f>
        <v>0</v>
      </c>
      <c r="BC64" s="232"/>
      <c r="BD64" s="489">
        <f>+BD63-BD13</f>
        <v>0</v>
      </c>
      <c r="BE64" s="489">
        <f>+BE63-BE13</f>
        <v>0</v>
      </c>
      <c r="BF64" s="489">
        <f>+BF63-BF13</f>
        <v>0</v>
      </c>
      <c r="BG64" s="232"/>
      <c r="BH64" s="489">
        <f>+BH63-BH13</f>
        <v>0</v>
      </c>
      <c r="BI64" s="489">
        <f>+BI63-BI13</f>
        <v>0</v>
      </c>
      <c r="BJ64" s="489">
        <f>+BJ63-BJ13</f>
        <v>0</v>
      </c>
      <c r="BK64" s="232"/>
      <c r="BL64" s="489">
        <f>+BL63-BL13</f>
        <v>0</v>
      </c>
      <c r="BM64" s="489">
        <f>+BM63-BM13</f>
        <v>0</v>
      </c>
      <c r="BN64" s="489">
        <f>+BN63-BN13</f>
        <v>0</v>
      </c>
      <c r="BO64" s="232"/>
      <c r="BP64" s="489">
        <f>+BP63-BP13</f>
        <v>0</v>
      </c>
      <c r="BQ64" s="489">
        <f>+BQ63-BQ13</f>
        <v>0</v>
      </c>
      <c r="BR64" s="489">
        <f>+BR63-BR13</f>
        <v>0</v>
      </c>
      <c r="BS64" s="232"/>
      <c r="BT64" s="489">
        <f>+BT63-BT13</f>
        <v>0</v>
      </c>
      <c r="BU64" s="489">
        <f>+BU63-BU13</f>
        <v>0</v>
      </c>
      <c r="BV64" s="489">
        <f>+BV63-BV13</f>
        <v>0</v>
      </c>
      <c r="BW64" s="232"/>
      <c r="BX64" s="489">
        <f>+BX63-BX13</f>
        <v>0</v>
      </c>
      <c r="BY64" s="489">
        <f>+BY63-BY13</f>
        <v>0</v>
      </c>
      <c r="BZ64" s="489">
        <f>+BZ63-BZ13</f>
        <v>0</v>
      </c>
    </row>
    <row r="65" spans="1:78" s="135" customFormat="1">
      <c r="A65" s="134"/>
      <c r="B65" s="134"/>
      <c r="D65" s="232"/>
      <c r="E65" s="232"/>
      <c r="F65" s="232"/>
      <c r="G65" s="232"/>
      <c r="H65" s="232"/>
      <c r="I65" s="232"/>
      <c r="J65" s="232"/>
      <c r="K65" s="232"/>
      <c r="L65" s="232"/>
      <c r="M65" s="232"/>
      <c r="N65" s="232"/>
      <c r="O65" s="232"/>
      <c r="P65" s="232"/>
      <c r="Q65" s="232"/>
      <c r="R65" s="232"/>
      <c r="S65" s="232"/>
      <c r="T65" s="232"/>
      <c r="U65" s="232"/>
      <c r="V65" s="232"/>
      <c r="X65" s="232"/>
      <c r="Y65" s="232"/>
      <c r="Z65" s="343"/>
      <c r="AA65" s="575"/>
      <c r="AB65" s="232"/>
      <c r="AC65" s="232"/>
      <c r="AD65" s="232"/>
      <c r="AE65" s="575"/>
      <c r="AF65" s="232"/>
      <c r="AI65" s="575"/>
      <c r="AM65" s="575"/>
      <c r="AQ65" s="575"/>
      <c r="AU65" s="575"/>
      <c r="AY65" s="575"/>
      <c r="BC65" s="575"/>
      <c r="BG65" s="575"/>
    </row>
    <row r="66" spans="1:78" s="227" customFormat="1" ht="15.6">
      <c r="A66" s="224"/>
      <c r="B66" s="576" t="s">
        <v>537</v>
      </c>
      <c r="C66" s="225"/>
      <c r="D66" s="225"/>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6"/>
      <c r="AD66" s="226"/>
      <c r="AE66" s="226"/>
      <c r="AF66" s="226"/>
      <c r="AG66" s="226"/>
      <c r="AH66" s="226"/>
      <c r="AI66" s="226"/>
      <c r="AJ66" s="226"/>
      <c r="AK66" s="226"/>
      <c r="AL66" s="226"/>
      <c r="AM66" s="226"/>
      <c r="AN66" s="226"/>
      <c r="AO66" s="226"/>
      <c r="AP66" s="226"/>
      <c r="AQ66" s="226"/>
      <c r="AR66" s="226"/>
      <c r="AS66" s="226"/>
      <c r="AT66" s="226"/>
      <c r="AU66" s="226"/>
      <c r="AV66" s="226"/>
      <c r="AW66" s="226"/>
      <c r="AX66" s="226"/>
      <c r="AY66" s="226"/>
      <c r="AZ66" s="226"/>
      <c r="BA66" s="226"/>
      <c r="BB66" s="226"/>
      <c r="BC66" s="226"/>
      <c r="BD66" s="226"/>
      <c r="BE66" s="226"/>
      <c r="BF66" s="226"/>
      <c r="BG66" s="226"/>
      <c r="BH66" s="226"/>
      <c r="BI66" s="226"/>
      <c r="BJ66" s="226"/>
      <c r="BK66" s="226"/>
      <c r="BL66" s="226"/>
      <c r="BM66" s="226"/>
      <c r="BN66" s="226"/>
      <c r="BO66" s="226"/>
      <c r="BP66" s="226"/>
      <c r="BQ66" s="226"/>
      <c r="BR66" s="226"/>
      <c r="BT66" s="226"/>
      <c r="BU66" s="226"/>
      <c r="BV66" s="226"/>
      <c r="BX66" s="226"/>
      <c r="BY66" s="226"/>
      <c r="BZ66" s="226"/>
    </row>
    <row r="67" spans="1:78" s="135" customFormat="1">
      <c r="A67" s="134"/>
      <c r="B67" s="134"/>
      <c r="D67" s="232"/>
      <c r="E67" s="232"/>
      <c r="F67" s="232"/>
      <c r="G67" s="232"/>
      <c r="H67" s="232"/>
      <c r="I67" s="232"/>
      <c r="J67" s="232"/>
      <c r="K67" s="232"/>
      <c r="L67" s="232"/>
      <c r="M67" s="232"/>
      <c r="N67" s="232"/>
      <c r="O67" s="232"/>
      <c r="P67" s="232"/>
      <c r="Q67" s="232"/>
      <c r="R67" s="232"/>
      <c r="S67" s="232"/>
      <c r="T67" s="232"/>
      <c r="U67" s="232"/>
      <c r="V67" s="232"/>
      <c r="X67" s="232"/>
      <c r="Y67" s="232"/>
      <c r="Z67" s="343"/>
      <c r="AA67" s="575"/>
      <c r="AB67" s="232"/>
      <c r="AC67" s="232"/>
      <c r="AD67" s="232"/>
      <c r="AE67" s="575"/>
      <c r="AF67" s="232"/>
      <c r="AI67" s="575"/>
      <c r="AM67" s="575"/>
      <c r="AQ67" s="575"/>
      <c r="AU67" s="575"/>
      <c r="AY67" s="575"/>
      <c r="BC67" s="575"/>
      <c r="BG67" s="575"/>
    </row>
    <row r="68" spans="1:78" s="135" customFormat="1">
      <c r="A68" s="134"/>
      <c r="B68" s="149" t="s">
        <v>536</v>
      </c>
      <c r="D68" s="232">
        <f>+D34</f>
        <v>20.731999999999953</v>
      </c>
      <c r="E68" s="232">
        <f>+E34</f>
        <v>41.826000000000022</v>
      </c>
      <c r="F68" s="232">
        <f>+F34</f>
        <v>57.02000000000001</v>
      </c>
      <c r="G68" s="575"/>
      <c r="H68" s="232">
        <f>+H34</f>
        <v>21.517000000000017</v>
      </c>
      <c r="I68" s="232">
        <f>+I34</f>
        <v>40.127000000000031</v>
      </c>
      <c r="J68" s="232">
        <f>+J34</f>
        <v>58.804999999999914</v>
      </c>
      <c r="K68" s="575"/>
      <c r="L68" s="232">
        <f>+L34</f>
        <v>22.937000000000015</v>
      </c>
      <c r="M68" s="232">
        <f>+M34</f>
        <v>44.190000000000026</v>
      </c>
      <c r="N68" s="232">
        <f>+N34</f>
        <v>65.191999999999965</v>
      </c>
      <c r="O68" s="575"/>
      <c r="P68" s="232">
        <f>+P34</f>
        <v>29.104000000000024</v>
      </c>
      <c r="Q68" s="232">
        <f>+Q34</f>
        <v>41.814999999999998</v>
      </c>
      <c r="R68" s="232">
        <f>+R34</f>
        <v>70.59099999999998</v>
      </c>
      <c r="S68" s="575"/>
      <c r="T68" s="232">
        <f>+T34</f>
        <v>32.388000000000034</v>
      </c>
      <c r="U68" s="232">
        <f>+U34</f>
        <v>41.671000000000014</v>
      </c>
      <c r="V68" s="232">
        <f>+V34</f>
        <v>74.058999999999983</v>
      </c>
      <c r="W68" s="575"/>
      <c r="X68" s="232">
        <f>+X34</f>
        <v>43.806000000000004</v>
      </c>
      <c r="Y68" s="232">
        <f>+Y34</f>
        <v>50.666000000000011</v>
      </c>
      <c r="Z68" s="232">
        <f>+Z34</f>
        <v>94.472000000000079</v>
      </c>
      <c r="AA68" s="575"/>
      <c r="AB68" s="232">
        <f>+AB34</f>
        <v>43.829000000000015</v>
      </c>
      <c r="AC68" s="232">
        <f>+AC34</f>
        <v>62.277999999999992</v>
      </c>
      <c r="AD68" s="232">
        <f>+AD34</f>
        <v>106.10699999999991</v>
      </c>
      <c r="AE68" s="575"/>
      <c r="AF68" s="232">
        <f>+AF34</f>
        <v>66.010999999999967</v>
      </c>
      <c r="AG68" s="232">
        <f>+AG34</f>
        <v>114.73500000000003</v>
      </c>
      <c r="AH68" s="232">
        <f>+AH34</f>
        <v>180.74600000000004</v>
      </c>
      <c r="AI68" s="575"/>
      <c r="AJ68" s="232">
        <f>+AJ34</f>
        <v>101.10100000000006</v>
      </c>
      <c r="AK68" s="232">
        <f>+AK34</f>
        <v>138.90900000000002</v>
      </c>
      <c r="AL68" s="232">
        <f>+AL34</f>
        <v>240.03200000000004</v>
      </c>
      <c r="AM68" s="575"/>
      <c r="AN68" s="232">
        <f>+AN34</f>
        <v>114.51199999999996</v>
      </c>
      <c r="AO68" s="232">
        <f>+AO34</f>
        <v>169.44799999999987</v>
      </c>
      <c r="AP68" s="232">
        <f>+AP34</f>
        <v>283.98199999999974</v>
      </c>
      <c r="AQ68" s="575"/>
      <c r="AR68" s="232">
        <f>+AR34</f>
        <v>132.01684136500012</v>
      </c>
      <c r="AS68" s="232">
        <f>+AS34</f>
        <v>184.4304316700001</v>
      </c>
      <c r="AT68" s="232">
        <f>+AT34</f>
        <v>316.44727303499997</v>
      </c>
      <c r="AU68" s="575"/>
      <c r="AV68" s="232">
        <f>+AV34</f>
        <v>142.25830418576817</v>
      </c>
      <c r="AW68" s="232">
        <f>+AW34</f>
        <v>201.0444337912015</v>
      </c>
      <c r="AX68" s="232">
        <f>+AX34</f>
        <v>343.30273797696964</v>
      </c>
      <c r="AY68" s="575"/>
      <c r="AZ68" s="232">
        <f>+AZ34</f>
        <v>154.52023262603285</v>
      </c>
      <c r="BA68" s="232">
        <f>+BA34</f>
        <v>216.95083520603947</v>
      </c>
      <c r="BB68" s="232">
        <f>+BB34</f>
        <v>371.47106783207244</v>
      </c>
      <c r="BC68" s="575"/>
      <c r="BD68" s="232">
        <f>+BD34</f>
        <v>161.42867203248585</v>
      </c>
      <c r="BE68" s="232">
        <f>+BE34</f>
        <v>226.78502282143924</v>
      </c>
      <c r="BF68" s="232">
        <f>+BF34</f>
        <v>388.21369485392484</v>
      </c>
      <c r="BG68" s="575"/>
      <c r="BH68" s="232">
        <f>+BH34</f>
        <v>168.65943610628065</v>
      </c>
      <c r="BI68" s="232">
        <f>+BI34</f>
        <v>237.0831538625896</v>
      </c>
      <c r="BJ68" s="232">
        <f>+BJ34</f>
        <v>405.74258996887022</v>
      </c>
      <c r="BK68" s="575"/>
      <c r="BL68" s="232">
        <f>+BL34</f>
        <v>176.22834640274971</v>
      </c>
      <c r="BM68" s="232">
        <f>+BM34</f>
        <v>247.86803129151707</v>
      </c>
      <c r="BN68" s="232">
        <f>+BN34</f>
        <v>424.09637769426672</v>
      </c>
      <c r="BO68" s="575"/>
      <c r="BP68" s="232">
        <f>+BP34</f>
        <v>184.15202330705634</v>
      </c>
      <c r="BQ68" s="232">
        <f>+BQ34</f>
        <v>259.16360469963035</v>
      </c>
      <c r="BR68" s="232">
        <f>+BR34</f>
        <v>443.31562800668667</v>
      </c>
      <c r="BS68" s="575"/>
      <c r="BT68" s="232">
        <f>+BT34</f>
        <v>192.44792704678557</v>
      </c>
      <c r="BU68" s="232">
        <f>+BU34</f>
        <v>270.99502878421276</v>
      </c>
      <c r="BV68" s="232">
        <f>+BV34</f>
        <v>463.44295583099836</v>
      </c>
      <c r="BW68" s="575"/>
      <c r="BX68" s="232">
        <f>+BX34</f>
        <v>201.13440083471428</v>
      </c>
      <c r="BY68" s="232">
        <f>+BY34</f>
        <v>283.38872483816408</v>
      </c>
      <c r="BZ68" s="232">
        <f>+BZ34</f>
        <v>484.52312567287788</v>
      </c>
    </row>
    <row r="69" spans="1:78">
      <c r="B69" s="132" t="s">
        <v>542</v>
      </c>
      <c r="D69" s="136">
        <f>-D25*D31</f>
        <v>-5.7243226850774766E-15</v>
      </c>
      <c r="E69" s="136">
        <f>-E25*E31</f>
        <v>4.2867894193435818</v>
      </c>
      <c r="F69" s="136">
        <f>-F25*F31</f>
        <v>3.7429863646524058</v>
      </c>
      <c r="G69" s="573"/>
      <c r="H69" s="136">
        <f>-H25*H31</f>
        <v>1.6519861580915072</v>
      </c>
      <c r="I69" s="136">
        <f>-I25*I31</f>
        <v>1.9948841816987872</v>
      </c>
      <c r="J69" s="136">
        <f>-J25*J31</f>
        <v>3.5372339384575784</v>
      </c>
      <c r="K69" s="573"/>
      <c r="L69" s="136">
        <f>-L25*L31</f>
        <v>1.7842831429631723</v>
      </c>
      <c r="M69" s="136">
        <f>-M25*M31</f>
        <v>2.3492966595556646</v>
      </c>
      <c r="N69" s="136">
        <f>-N25*N31</f>
        <v>4.0869141316658508</v>
      </c>
      <c r="O69" s="573"/>
      <c r="P69" s="136">
        <f>-P25*P31</f>
        <v>2.7393487429181822</v>
      </c>
      <c r="Q69" s="136">
        <f>-Q25*Q31</f>
        <v>2.517741370860457</v>
      </c>
      <c r="R69" s="136">
        <f>-R25*R31</f>
        <v>5.2945200612654224</v>
      </c>
      <c r="S69" s="573"/>
      <c r="T69" s="136">
        <f>-T25*T31</f>
        <v>3.2744234691209693</v>
      </c>
      <c r="U69" s="136">
        <f>-U25*U31</f>
        <v>1.5395393407608278</v>
      </c>
      <c r="V69" s="136">
        <f>-V25*V31</f>
        <v>4.6292018557617531</v>
      </c>
      <c r="W69" s="573"/>
      <c r="X69" s="136">
        <f>-X25*X31</f>
        <v>1.8037430381090589</v>
      </c>
      <c r="Y69" s="136">
        <f>-Y25*Y31</f>
        <v>1.5300349601654626</v>
      </c>
      <c r="Z69" s="136">
        <f>-Z25*Z31</f>
        <v>3.3348480845442392</v>
      </c>
      <c r="AA69" s="573"/>
      <c r="AB69" s="136">
        <f>-AB25*AB31</f>
        <v>1.3473715970806845</v>
      </c>
      <c r="AC69" s="136">
        <f>-AC25*AC31</f>
        <v>1.3516145964770745</v>
      </c>
      <c r="AD69" s="136">
        <f>-AD25*AD31</f>
        <v>2.7103337574441175</v>
      </c>
      <c r="AE69" s="573"/>
      <c r="AF69" s="136">
        <f>-AF25*AF31</f>
        <v>1.5617172647463964</v>
      </c>
      <c r="AG69" s="136">
        <f>-AG25*AG31</f>
        <v>3.0662022811983389</v>
      </c>
      <c r="AH69" s="136">
        <f>-AH25*AH31</f>
        <v>4.6093074274007293</v>
      </c>
      <c r="AI69" s="573"/>
      <c r="AJ69" s="136">
        <f>-AJ25*AJ31</f>
        <v>2.9717197077788922</v>
      </c>
      <c r="AK69" s="136">
        <f>-AK25*AK31</f>
        <v>4.4664050240682878</v>
      </c>
      <c r="AL69" s="136">
        <f>-AL25*AL31</f>
        <v>7.4261880849895778</v>
      </c>
      <c r="AM69" s="573"/>
      <c r="AN69" s="136">
        <f>-AN25*AN31</f>
        <v>4.1929525286465426</v>
      </c>
      <c r="AO69" s="136">
        <f>-AO25*AO31</f>
        <v>4.1781107823486243</v>
      </c>
      <c r="AP69" s="136">
        <f>-AP25*AP31</f>
        <v>8.4444602019296564</v>
      </c>
      <c r="AQ69" s="573"/>
      <c r="AR69" s="136">
        <f>-AR25*AR31</f>
        <v>3.9271733099754313</v>
      </c>
      <c r="AS69" s="136">
        <f>-AS25*AS31</f>
        <v>4.2279367207287102</v>
      </c>
      <c r="AT69" s="136">
        <f>-AT25*AT31</f>
        <v>8.1940716167483139</v>
      </c>
      <c r="AU69" s="573"/>
      <c r="AV69" s="136">
        <f>-AV25*AV31</f>
        <v>3.8658144280358528</v>
      </c>
      <c r="AW69" s="136">
        <f>-AW25*AW31</f>
        <v>4.1711106030407024</v>
      </c>
      <c r="AX69" s="136">
        <f>-AX25*AX31</f>
        <v>8.0778721901009778</v>
      </c>
      <c r="AY69" s="573"/>
      <c r="AZ69" s="136">
        <f>-AZ25*AZ31</f>
        <v>3.8177599773199717</v>
      </c>
      <c r="BA69" s="136">
        <f>-BA25*BA31</f>
        <v>4.1032526074103481</v>
      </c>
      <c r="BB69" s="136">
        <f>-BB25*BB31</f>
        <v>7.9589332285596566</v>
      </c>
      <c r="BC69" s="573"/>
      <c r="BD69" s="136">
        <f>-BD25*BD31</f>
        <v>3.8263234267986475</v>
      </c>
      <c r="BE69" s="136">
        <f>-BE25*BE31</f>
        <v>4.1094348945051538</v>
      </c>
      <c r="BF69" s="136">
        <f>-BF25*BF31</f>
        <v>7.973547398979373</v>
      </c>
      <c r="BG69" s="573"/>
      <c r="BH69" s="136">
        <f>-BH25*BH31</f>
        <v>3.8345152225917492</v>
      </c>
      <c r="BI69" s="136">
        <f>-BI25*BI31</f>
        <v>4.1153174964786929</v>
      </c>
      <c r="BJ69" s="136">
        <f>-BJ25*BJ31</f>
        <v>7.9874926091397249</v>
      </c>
      <c r="BK69" s="573"/>
      <c r="BL69" s="136">
        <f>-BL25*BL31</f>
        <v>3.8423434829648961</v>
      </c>
      <c r="BM69" s="136">
        <f>-BM25*BM31</f>
        <v>4.1209073863612087</v>
      </c>
      <c r="BN69" s="136">
        <f>-BN25*BN31</f>
        <v>8.0007840487435864</v>
      </c>
      <c r="BO69" s="573"/>
      <c r="BP69" s="136">
        <f>-BP25*BP31</f>
        <v>3.8498162370458862</v>
      </c>
      <c r="BQ69" s="136">
        <f>-BQ25*BQ31</f>
        <v>4.1262114169741642</v>
      </c>
      <c r="BR69" s="136">
        <f>-BR25*BR31</f>
        <v>8.013436686400345</v>
      </c>
      <c r="BS69" s="573"/>
      <c r="BT69" s="136">
        <f>-BT25*BT31</f>
        <v>3.8569414229371026</v>
      </c>
      <c r="BU69" s="136">
        <f>-BU25*BU31</f>
        <v>4.1312363215201202</v>
      </c>
      <c r="BV69" s="136">
        <f>-BV25*BV31</f>
        <v>8.0254652686658261</v>
      </c>
      <c r="BW69" s="573"/>
      <c r="BX69" s="136">
        <f>-BX25*BX31</f>
        <v>3.8637268858290112</v>
      </c>
      <c r="BY69" s="136">
        <f>-BY25*BY31</f>
        <v>4.1359887141543838</v>
      </c>
      <c r="BZ69" s="136">
        <f>-BZ25*BZ31</f>
        <v>8.0368843190809471</v>
      </c>
    </row>
    <row r="70" spans="1:78">
      <c r="B70" s="132" t="s">
        <v>539</v>
      </c>
      <c r="D70" s="136">
        <f>-D26</f>
        <v>0</v>
      </c>
      <c r="E70" s="136">
        <f>-E26</f>
        <v>0</v>
      </c>
      <c r="F70" s="136">
        <f>-F26</f>
        <v>0</v>
      </c>
      <c r="G70" s="573"/>
      <c r="H70" s="136">
        <f>-H26</f>
        <v>0</v>
      </c>
      <c r="I70" s="136">
        <f>-I26</f>
        <v>0</v>
      </c>
      <c r="J70" s="136">
        <f>-J26</f>
        <v>0</v>
      </c>
      <c r="K70" s="573"/>
      <c r="L70" s="136">
        <f>-L26</f>
        <v>0</v>
      </c>
      <c r="M70" s="136">
        <f>-M26</f>
        <v>0</v>
      </c>
      <c r="N70" s="136">
        <f>-N26</f>
        <v>0</v>
      </c>
      <c r="O70" s="573"/>
      <c r="P70" s="136">
        <f>-P26</f>
        <v>0</v>
      </c>
      <c r="Q70" s="136">
        <f>-Q26</f>
        <v>0</v>
      </c>
      <c r="R70" s="136">
        <f>-R26</f>
        <v>0</v>
      </c>
      <c r="S70" s="573"/>
      <c r="T70" s="136">
        <f>-T26</f>
        <v>0</v>
      </c>
      <c r="U70" s="136">
        <f>-U26</f>
        <v>0</v>
      </c>
      <c r="V70" s="136">
        <f>-V26</f>
        <v>0</v>
      </c>
      <c r="W70" s="573"/>
      <c r="X70" s="136">
        <f>-X26</f>
        <v>2.5419999999999998</v>
      </c>
      <c r="Y70" s="136">
        <f>-Y26</f>
        <v>2.3500000000000005</v>
      </c>
      <c r="Z70" s="136">
        <f>-Z26</f>
        <v>4.8920000000000003</v>
      </c>
      <c r="AA70" s="573"/>
      <c r="AB70" s="136">
        <f>-AB26</f>
        <v>2.395</v>
      </c>
      <c r="AC70" s="136">
        <f>-AC26</f>
        <v>1.9140000000000001</v>
      </c>
      <c r="AD70" s="136">
        <f>-AD26</f>
        <v>4.3090000000000002</v>
      </c>
      <c r="AE70" s="573"/>
      <c r="AF70" s="136">
        <f>-AF26</f>
        <v>12.787000000000001</v>
      </c>
      <c r="AG70" s="136">
        <f>-AG26</f>
        <v>27.058</v>
      </c>
      <c r="AH70" s="136">
        <f>-AH26</f>
        <v>39.844999999999999</v>
      </c>
      <c r="AI70" s="573"/>
      <c r="AJ70" s="136">
        <f>-AJ26</f>
        <v>25.295999999999999</v>
      </c>
      <c r="AK70" s="136">
        <f>-AK26</f>
        <v>22.146000000000001</v>
      </c>
      <c r="AL70" s="136">
        <f>-AL26</f>
        <v>47.442</v>
      </c>
      <c r="AM70" s="573"/>
      <c r="AN70" s="136">
        <f>-AN26</f>
        <v>21.731000000000002</v>
      </c>
      <c r="AO70" s="136">
        <f>-AO26</f>
        <v>24.597999999999999</v>
      </c>
      <c r="AP70" s="136">
        <f>-AP26</f>
        <v>46.329000000000001</v>
      </c>
      <c r="AQ70" s="573"/>
      <c r="AR70" s="136">
        <f>-AR26</f>
        <v>24.597999999999999</v>
      </c>
      <c r="AS70" s="136">
        <f>-AS26</f>
        <v>24.597999999999999</v>
      </c>
      <c r="AT70" s="136">
        <f>-AT26</f>
        <v>49.195999999999998</v>
      </c>
      <c r="AU70" s="573"/>
      <c r="AV70" s="136">
        <f>-AV26</f>
        <v>24.10604</v>
      </c>
      <c r="AW70" s="136">
        <f>-AW26</f>
        <v>24.10604</v>
      </c>
      <c r="AX70" s="136">
        <f>-AX26</f>
        <v>48.21208</v>
      </c>
      <c r="AY70" s="573"/>
      <c r="AZ70" s="136">
        <f>-AZ26</f>
        <v>23.6239192</v>
      </c>
      <c r="BA70" s="136">
        <f>-BA26</f>
        <v>23.6239192</v>
      </c>
      <c r="BB70" s="136">
        <f>-BB26</f>
        <v>47.247838399999999</v>
      </c>
      <c r="BC70" s="573"/>
      <c r="BD70" s="136">
        <f>-BD26</f>
        <v>23.6239192</v>
      </c>
      <c r="BE70" s="136">
        <f>-BE26</f>
        <v>23.6239192</v>
      </c>
      <c r="BF70" s="136">
        <f>-BF26</f>
        <v>47.247838399999999</v>
      </c>
      <c r="BG70" s="573"/>
      <c r="BH70" s="136">
        <f>-BH26</f>
        <v>23.6239192</v>
      </c>
      <c r="BI70" s="136">
        <f>-BI26</f>
        <v>23.6239192</v>
      </c>
      <c r="BJ70" s="136">
        <f>-BJ26</f>
        <v>47.247838399999999</v>
      </c>
      <c r="BK70" s="573"/>
      <c r="BL70" s="136">
        <f>-BL26</f>
        <v>23.6239192</v>
      </c>
      <c r="BM70" s="136">
        <f>-BM26</f>
        <v>23.6239192</v>
      </c>
      <c r="BN70" s="136">
        <f>-BN26</f>
        <v>47.247838399999999</v>
      </c>
      <c r="BO70" s="573"/>
      <c r="BP70" s="136">
        <f>-BP26</f>
        <v>23.6239192</v>
      </c>
      <c r="BQ70" s="136">
        <f>-BQ26</f>
        <v>23.6239192</v>
      </c>
      <c r="BR70" s="136">
        <f>-BR26</f>
        <v>47.247838399999999</v>
      </c>
      <c r="BS70" s="573"/>
      <c r="BT70" s="136">
        <f>-BT26</f>
        <v>23.6239192</v>
      </c>
      <c r="BU70" s="136">
        <f>-BU26</f>
        <v>23.6239192</v>
      </c>
      <c r="BV70" s="136">
        <f>-BV26</f>
        <v>47.247838399999999</v>
      </c>
      <c r="BW70" s="573"/>
      <c r="BX70" s="136">
        <f>-BX26</f>
        <v>23.6239192</v>
      </c>
      <c r="BY70" s="136">
        <f>-BY26</f>
        <v>23.6239192</v>
      </c>
      <c r="BZ70" s="136">
        <f>-BZ26</f>
        <v>47.247838399999999</v>
      </c>
    </row>
    <row r="71" spans="1:78" s="135" customFormat="1">
      <c r="A71" s="134"/>
      <c r="B71" s="149" t="s">
        <v>672</v>
      </c>
      <c r="D71" s="232">
        <f>SUM(D68:D70)</f>
        <v>20.731999999999946</v>
      </c>
      <c r="E71" s="232">
        <f>SUM(E68:E70)</f>
        <v>46.112789419343606</v>
      </c>
      <c r="F71" s="232">
        <f>SUM(F68:F70)</f>
        <v>60.762986364652413</v>
      </c>
      <c r="G71" s="575"/>
      <c r="H71" s="232">
        <f>SUM(H68:H70)</f>
        <v>23.168986158091524</v>
      </c>
      <c r="I71" s="232">
        <f>SUM(I68:I70)</f>
        <v>42.121884181698817</v>
      </c>
      <c r="J71" s="232">
        <f>SUM(J68:J70)</f>
        <v>62.34223393845749</v>
      </c>
      <c r="K71" s="575"/>
      <c r="L71" s="232">
        <f>SUM(L68:L70)</f>
        <v>24.721283142963188</v>
      </c>
      <c r="M71" s="232">
        <f>SUM(M68:M70)</f>
        <v>46.539296659555689</v>
      </c>
      <c r="N71" s="232">
        <f>SUM(N68:N70)</f>
        <v>69.278914131665815</v>
      </c>
      <c r="O71" s="575"/>
      <c r="P71" s="232">
        <f>SUM(P68:P70)</f>
        <v>31.843348742918206</v>
      </c>
      <c r="Q71" s="232">
        <f>SUM(Q68:Q70)</f>
        <v>44.332741370860454</v>
      </c>
      <c r="R71" s="232">
        <f>SUM(R68:R70)</f>
        <v>75.885520061265396</v>
      </c>
      <c r="S71" s="575"/>
      <c r="T71" s="232">
        <f>SUM(T68:T70)</f>
        <v>35.662423469121002</v>
      </c>
      <c r="U71" s="232">
        <f>SUM(U68:U70)</f>
        <v>43.210539340760839</v>
      </c>
      <c r="V71" s="232">
        <f>SUM(V68:V70)</f>
        <v>78.688201855761733</v>
      </c>
      <c r="W71" s="575"/>
      <c r="X71" s="232">
        <f>SUM(X68:X70)</f>
        <v>48.151743038109068</v>
      </c>
      <c r="Y71" s="232">
        <f>SUM(Y68:Y70)</f>
        <v>54.546034960165478</v>
      </c>
      <c r="Z71" s="232">
        <f>SUM(Z68:Z70)</f>
        <v>102.69884808454431</v>
      </c>
      <c r="AA71" s="575"/>
      <c r="AB71" s="232">
        <f>SUM(AB68:AB70)</f>
        <v>47.571371597080706</v>
      </c>
      <c r="AC71" s="232">
        <f>SUM(AC68:AC70)</f>
        <v>65.54361459647707</v>
      </c>
      <c r="AD71" s="232">
        <f>SUM(AD68:AD70)</f>
        <v>113.12633375744403</v>
      </c>
      <c r="AE71" s="575"/>
      <c r="AF71" s="232">
        <f>SUM(AF68:AF70)</f>
        <v>80.359717264746365</v>
      </c>
      <c r="AG71" s="232">
        <f>SUM(AG68:AG70)</f>
        <v>144.85920228119838</v>
      </c>
      <c r="AH71" s="232">
        <f>SUM(AH68:AH70)</f>
        <v>225.20030742740076</v>
      </c>
      <c r="AI71" s="575"/>
      <c r="AJ71" s="232">
        <f t="shared" ref="AJ71" si="296">SUM(AJ68:AJ70)</f>
        <v>129.36871970777895</v>
      </c>
      <c r="AK71" s="232">
        <f>SUM(AK68:AK70)</f>
        <v>165.52140502406832</v>
      </c>
      <c r="AL71" s="232">
        <f>SUM(AL68:AL70)</f>
        <v>294.90018808498962</v>
      </c>
      <c r="AM71" s="575"/>
      <c r="AN71" s="232">
        <f t="shared" ref="AN71" si="297">SUM(AN68:AN70)</f>
        <v>140.43595252864651</v>
      </c>
      <c r="AO71" s="232">
        <f>SUM(AO68:AO70)</f>
        <v>198.22411078234848</v>
      </c>
      <c r="AP71" s="232">
        <f>SUM(AP68:AP70)</f>
        <v>338.7554602019294</v>
      </c>
      <c r="AQ71" s="575"/>
      <c r="AR71" s="232">
        <f t="shared" ref="AR71:AT71" si="298">SUM(AR68:AR70)</f>
        <v>160.54201467497558</v>
      </c>
      <c r="AS71" s="232">
        <f t="shared" si="298"/>
        <v>213.25636839072882</v>
      </c>
      <c r="AT71" s="232">
        <f t="shared" si="298"/>
        <v>373.83734465174825</v>
      </c>
      <c r="AU71" s="575"/>
      <c r="AV71" s="232">
        <f t="shared" ref="AV71:AX71" si="299">SUM(AV68:AV70)</f>
        <v>170.23015861380404</v>
      </c>
      <c r="AW71" s="232">
        <f t="shared" si="299"/>
        <v>229.32158439424222</v>
      </c>
      <c r="AX71" s="232">
        <f t="shared" si="299"/>
        <v>399.59269016707066</v>
      </c>
      <c r="AY71" s="575"/>
      <c r="AZ71" s="232">
        <f t="shared" ref="AZ71:BB71" si="300">SUM(AZ68:AZ70)</f>
        <v>181.96191180335282</v>
      </c>
      <c r="BA71" s="232">
        <f t="shared" si="300"/>
        <v>244.67800701344981</v>
      </c>
      <c r="BB71" s="232">
        <f t="shared" si="300"/>
        <v>426.67783946063207</v>
      </c>
      <c r="BC71" s="575"/>
      <c r="BD71" s="232">
        <f t="shared" ref="BD71:BF71" si="301">SUM(BD68:BD70)</f>
        <v>188.87891465928448</v>
      </c>
      <c r="BE71" s="232">
        <f t="shared" si="301"/>
        <v>254.51837691594437</v>
      </c>
      <c r="BF71" s="232">
        <f t="shared" si="301"/>
        <v>443.43508065290416</v>
      </c>
      <c r="BG71" s="575"/>
      <c r="BH71" s="232">
        <f t="shared" ref="BH71:BJ71" si="302">SUM(BH68:BH70)</f>
        <v>196.1178705288724</v>
      </c>
      <c r="BI71" s="232">
        <f t="shared" si="302"/>
        <v>264.82239055906831</v>
      </c>
      <c r="BJ71" s="232">
        <f t="shared" si="302"/>
        <v>460.97792097800993</v>
      </c>
      <c r="BK71" s="575"/>
      <c r="BL71" s="232">
        <f t="shared" ref="BL71:BN71" si="303">SUM(BL68:BL70)</f>
        <v>203.6946090857146</v>
      </c>
      <c r="BM71" s="232">
        <f t="shared" si="303"/>
        <v>275.6128578778783</v>
      </c>
      <c r="BN71" s="232">
        <f t="shared" si="303"/>
        <v>479.34500014301028</v>
      </c>
      <c r="BO71" s="575"/>
      <c r="BP71" s="232">
        <f t="shared" ref="BP71:BR71" si="304">SUM(BP68:BP70)</f>
        <v>211.62575874410223</v>
      </c>
      <c r="BQ71" s="232">
        <f t="shared" si="304"/>
        <v>286.91373531660452</v>
      </c>
      <c r="BR71" s="232">
        <f t="shared" si="304"/>
        <v>498.57690309308697</v>
      </c>
      <c r="BS71" s="575"/>
      <c r="BT71" s="232">
        <f t="shared" ref="BT71:BV71" si="305">SUM(BT68:BT70)</f>
        <v>219.92878766972265</v>
      </c>
      <c r="BU71" s="232">
        <f t="shared" si="305"/>
        <v>298.75018430573289</v>
      </c>
      <c r="BV71" s="232">
        <f t="shared" si="305"/>
        <v>518.71625949966415</v>
      </c>
      <c r="BW71" s="575"/>
      <c r="BX71" s="232">
        <f t="shared" ref="BX71:BZ71" si="306">SUM(BX68:BX70)</f>
        <v>228.62204692054328</v>
      </c>
      <c r="BY71" s="232">
        <f t="shared" si="306"/>
        <v>311.14863275231846</v>
      </c>
      <c r="BZ71" s="232">
        <f t="shared" si="306"/>
        <v>539.80784839195883</v>
      </c>
    </row>
    <row r="72" spans="1:78" s="135" customFormat="1">
      <c r="A72" s="134"/>
      <c r="B72" s="578" t="s">
        <v>682</v>
      </c>
      <c r="D72" s="173">
        <f>+D71/D22</f>
        <v>0.53708453148882085</v>
      </c>
      <c r="E72" s="173">
        <f>+E71/E22</f>
        <v>0.6082277836753095</v>
      </c>
      <c r="F72" s="173">
        <f>+F71/F22</f>
        <v>0.53107071008121609</v>
      </c>
      <c r="G72" s="575"/>
      <c r="H72" s="173">
        <f>+H71/H22</f>
        <v>0.47883656756275611</v>
      </c>
      <c r="I72" s="173">
        <f>+I71/I22</f>
        <v>0.56067571155109075</v>
      </c>
      <c r="J72" s="173">
        <f>+J71/J22</f>
        <v>0.50474228573880908</v>
      </c>
      <c r="K72" s="575"/>
      <c r="L72" s="173">
        <f>+L71/L22</f>
        <v>0.47290833367696195</v>
      </c>
      <c r="M72" s="173">
        <f>+M71/M22</f>
        <v>0.57482179093605301</v>
      </c>
      <c r="N72" s="173">
        <f>+N71/N22</f>
        <v>0.51996362998293155</v>
      </c>
      <c r="O72" s="575"/>
      <c r="P72" s="173">
        <f>+P71/P22</f>
        <v>0.52679783517657086</v>
      </c>
      <c r="Q72" s="173">
        <f>+Q71/Q22</f>
        <v>0.58552124903731706</v>
      </c>
      <c r="R72" s="173">
        <f>+R71/R22</f>
        <v>0.55731790118583302</v>
      </c>
      <c r="S72" s="575"/>
      <c r="T72" s="173">
        <f>+T71/T22</f>
        <v>0.5645557705380958</v>
      </c>
      <c r="U72" s="173">
        <f>+U71/U22</f>
        <v>0.48110604398776202</v>
      </c>
      <c r="V72" s="173">
        <f>+V71/V22</f>
        <v>0.5143557617513056</v>
      </c>
      <c r="W72" s="575"/>
      <c r="X72" s="173">
        <f>+X71/X22</f>
        <v>0.53021211062047491</v>
      </c>
      <c r="Y72" s="173">
        <f>+Y71/Y22</f>
        <v>0.5298149151570668</v>
      </c>
      <c r="Z72" s="173">
        <f>+Z71/Z22</f>
        <v>0.53000659591856436</v>
      </c>
      <c r="AA72" s="575"/>
      <c r="AB72" s="173">
        <f>+AB71/AB22</f>
        <v>0.51193848303001055</v>
      </c>
      <c r="AC72" s="173">
        <f>+AC71/AC22</f>
        <v>0.53126815319908138</v>
      </c>
      <c r="AD72" s="173">
        <f>+AD71/AD22</f>
        <v>0.52301630061325255</v>
      </c>
      <c r="AE72" s="575"/>
      <c r="AF72" s="173">
        <f>+AF71/AF22</f>
        <v>0.59997698386377551</v>
      </c>
      <c r="AG72" s="173">
        <f>+AG71/AG22</f>
        <v>0.68901499841229052</v>
      </c>
      <c r="AH72" s="173">
        <f>+AH71/AH22</f>
        <v>0.65431158620194918</v>
      </c>
      <c r="AI72" s="575"/>
      <c r="AJ72" s="173">
        <f>+AJ71/AJ22</f>
        <v>0.66892826521496662</v>
      </c>
      <c r="AK72" s="173">
        <f>+AK71/AK22</f>
        <v>0.69841139349472059</v>
      </c>
      <c r="AL72" s="173">
        <f>+AL71/AL22</f>
        <v>0.68515154660837319</v>
      </c>
      <c r="AM72" s="575"/>
      <c r="AN72" s="173">
        <f>+AN71/AN22</f>
        <v>0.65549844115628741</v>
      </c>
      <c r="AO72" s="173">
        <f>+AO71/AO22</f>
        <v>0.70230972549601622</v>
      </c>
      <c r="AP72" s="173">
        <f>+AP71/AP22</f>
        <v>0.68227181311578111</v>
      </c>
      <c r="AQ72" s="575"/>
      <c r="AR72" s="173">
        <f>+AR71/AR22</f>
        <v>0.67110965589947025</v>
      </c>
      <c r="AS72" s="173">
        <f>+AS71/AS22</f>
        <v>0.70789676803482882</v>
      </c>
      <c r="AT72" s="173">
        <f>+AT71/AT22</f>
        <v>0.69168648954285705</v>
      </c>
      <c r="AU72" s="575"/>
      <c r="AV72" s="173">
        <f>+AV71/AV22</f>
        <v>0.67079676349861406</v>
      </c>
      <c r="AW72" s="173">
        <f>+AW71/AW22</f>
        <v>0.70988443359080078</v>
      </c>
      <c r="AX72" s="173">
        <f>+AX71/AX22</f>
        <v>0.69275854121449465</v>
      </c>
      <c r="AY72" s="575"/>
      <c r="AZ72" s="173">
        <f>+AZ71/AZ22</f>
        <v>0.67248751090140535</v>
      </c>
      <c r="BA72" s="173">
        <f>+BA71/BA22</f>
        <v>0.71042864703365205</v>
      </c>
      <c r="BB72" s="173">
        <f>+BB71/BB22</f>
        <v>0.69379713018951372</v>
      </c>
      <c r="BC72" s="575"/>
      <c r="BD72" s="173">
        <f>+BD71/BD22</f>
        <v>0.67266530172916172</v>
      </c>
      <c r="BE72" s="173">
        <f>+BE71/BE22</f>
        <v>0.71057825392090834</v>
      </c>
      <c r="BF72" s="173">
        <f>+BF71/BF22</f>
        <v>0.69397693182735909</v>
      </c>
      <c r="BG72" s="575"/>
      <c r="BH72" s="173">
        <f>+BH71/BH22</f>
        <v>0.67282657646036925</v>
      </c>
      <c r="BI72" s="173">
        <f>+BI71/BI22</f>
        <v>0.71071207755242083</v>
      </c>
      <c r="BJ72" s="173">
        <f>+BJ71/BJ22</f>
        <v>0.69414024399375895</v>
      </c>
      <c r="BK72" s="575"/>
      <c r="BL72" s="173">
        <f>+BL71/BL22</f>
        <v>0.67297131612565941</v>
      </c>
      <c r="BM72" s="173">
        <f>+BM71/BM22</f>
        <v>0.71083010602565633</v>
      </c>
      <c r="BN72" s="173">
        <f>+BN71/BN22</f>
        <v>0.69428704981249023</v>
      </c>
      <c r="BO72" s="575"/>
      <c r="BP72" s="173">
        <f>+BP71/BP22</f>
        <v>0.67309951143179902</v>
      </c>
      <c r="BQ72" s="173">
        <f>+BQ71/BQ22</f>
        <v>0.71093233747849471</v>
      </c>
      <c r="BR72" s="173">
        <f>+BR71/BR22</f>
        <v>0.69441734280623513</v>
      </c>
      <c r="BS72" s="575"/>
      <c r="BT72" s="173">
        <f>+BT71/BT22</f>
        <v>0.6732111629789761</v>
      </c>
      <c r="BU72" s="173">
        <f>+BU71/BU22</f>
        <v>0.7110187800642318</v>
      </c>
      <c r="BV72" s="173">
        <f>+BV71/BV22</f>
        <v>0.69453112696617814</v>
      </c>
      <c r="BW72" s="575"/>
      <c r="BX72" s="173">
        <f>+BX71/BX22</f>
        <v>0.67330628141900739</v>
      </c>
      <c r="BY72" s="173">
        <f>+BY71/BY22</f>
        <v>0.71108945188100947</v>
      </c>
      <c r="BZ72" s="173">
        <f>+BZ71/BZ22</f>
        <v>0.69462841676792575</v>
      </c>
    </row>
    <row r="73" spans="1:78" s="135" customFormat="1">
      <c r="A73" s="134"/>
      <c r="B73" s="578"/>
      <c r="D73" s="173"/>
      <c r="E73" s="173"/>
      <c r="F73" s="173"/>
      <c r="G73" s="575"/>
      <c r="H73" s="173"/>
      <c r="I73" s="173"/>
      <c r="J73" s="173"/>
      <c r="K73" s="575"/>
      <c r="L73" s="173"/>
      <c r="M73" s="173"/>
      <c r="N73" s="173"/>
      <c r="O73" s="575"/>
      <c r="P73" s="173"/>
      <c r="Q73" s="173"/>
      <c r="R73" s="173"/>
      <c r="S73" s="575"/>
      <c r="T73" s="173"/>
      <c r="U73" s="173"/>
      <c r="V73" s="173"/>
      <c r="W73" s="575"/>
      <c r="X73" s="173"/>
      <c r="Y73" s="173"/>
      <c r="Z73" s="173"/>
      <c r="AA73" s="575"/>
      <c r="AB73" s="173"/>
      <c r="AC73" s="173"/>
      <c r="AD73" s="173"/>
      <c r="AE73" s="575"/>
      <c r="AF73" s="173"/>
      <c r="AG73" s="173"/>
      <c r="AH73" s="173"/>
      <c r="AI73" s="575"/>
      <c r="AJ73" s="173"/>
      <c r="AK73" s="173"/>
      <c r="AL73" s="173"/>
      <c r="AM73" s="575"/>
      <c r="AN73" s="173"/>
      <c r="AO73" s="173"/>
      <c r="AP73" s="173"/>
      <c r="AQ73" s="575"/>
      <c r="AR73" s="173"/>
      <c r="AS73" s="173"/>
      <c r="AT73" s="173"/>
      <c r="AU73" s="575"/>
      <c r="AV73" s="173"/>
      <c r="AW73" s="173"/>
      <c r="AX73" s="173"/>
      <c r="AY73" s="575"/>
      <c r="AZ73" s="173"/>
      <c r="BA73" s="173"/>
      <c r="BB73" s="173"/>
      <c r="BC73" s="575"/>
      <c r="BD73" s="173"/>
      <c r="BE73" s="173"/>
      <c r="BF73" s="173"/>
      <c r="BG73" s="575"/>
      <c r="BH73" s="173"/>
      <c r="BI73" s="173"/>
      <c r="BJ73" s="173"/>
      <c r="BK73" s="575"/>
      <c r="BL73" s="173"/>
      <c r="BM73" s="173"/>
      <c r="BN73" s="173"/>
      <c r="BO73" s="575"/>
      <c r="BP73" s="173"/>
      <c r="BQ73" s="173"/>
      <c r="BR73" s="173"/>
      <c r="BS73" s="575"/>
      <c r="BT73" s="173"/>
      <c r="BU73" s="173"/>
      <c r="BV73" s="173"/>
      <c r="BW73" s="575"/>
      <c r="BX73" s="173"/>
      <c r="BY73" s="173"/>
      <c r="BZ73" s="173"/>
    </row>
    <row r="74" spans="1:78" s="135" customFormat="1">
      <c r="A74" s="134"/>
      <c r="B74" s="134" t="s">
        <v>540</v>
      </c>
      <c r="D74" s="232">
        <f>BS!D83</f>
        <v>21.274992461335145</v>
      </c>
      <c r="E74" s="232">
        <f>BS!E83</f>
        <v>47.037903878313749</v>
      </c>
      <c r="F74" s="232">
        <f>BS!F83</f>
        <v>62.107657402578049</v>
      </c>
      <c r="H74" s="232">
        <f>BS!H83</f>
        <v>23.797219734733861</v>
      </c>
      <c r="I74" s="232">
        <f>BS!I83</f>
        <v>42.984764101775944</v>
      </c>
      <c r="J74" s="232">
        <f>BS!J83</f>
        <v>63.781254195098832</v>
      </c>
      <c r="L74" s="232">
        <f>BS!L83</f>
        <v>25.633523318626047</v>
      </c>
      <c r="M74" s="232">
        <f>BS!M83</f>
        <v>46.976736042458022</v>
      </c>
      <c r="N74" s="232">
        <f>BS!N83</f>
        <v>70.677616296319897</v>
      </c>
      <c r="P74" s="232">
        <f>BS!P83</f>
        <v>32.859541766973813</v>
      </c>
      <c r="Q74" s="232">
        <f>BS!Q83</f>
        <v>45.212779808163539</v>
      </c>
      <c r="R74" s="232">
        <f>BS!R83</f>
        <v>77.79823509813518</v>
      </c>
      <c r="T74" s="232">
        <f>BS!T83</f>
        <v>36.750886994718449</v>
      </c>
      <c r="U74" s="232">
        <f>BS!U83</f>
        <v>43.907661998499108</v>
      </c>
      <c r="V74" s="232">
        <f>BS!V83</f>
        <v>80.425181263195896</v>
      </c>
      <c r="X74" s="232">
        <f>BS!X83</f>
        <v>48.858566434308777</v>
      </c>
      <c r="Y74" s="232">
        <f>BS!Y83</f>
        <v>55.466442562516633</v>
      </c>
      <c r="Z74" s="232">
        <f>BS!Z83</f>
        <v>104.32588110964339</v>
      </c>
      <c r="AB74" s="232">
        <f>BS!AB83</f>
        <v>48.118803686709413</v>
      </c>
      <c r="AC74" s="232">
        <f>BS!AC83</f>
        <v>66.191132286882365</v>
      </c>
      <c r="AD74" s="232">
        <f>BS!AD83</f>
        <v>114.3239111544359</v>
      </c>
      <c r="AF74" s="232">
        <f>BS!AF83</f>
        <v>81.327424212723145</v>
      </c>
      <c r="AG74" s="232">
        <f>BS!AG83</f>
        <v>146.23603514278514</v>
      </c>
      <c r="AH74" s="232">
        <f>BS!AH83</f>
        <v>227.56099394809382</v>
      </c>
      <c r="AJ74" s="232">
        <f>BS!AJ83</f>
        <v>130.44287256048653</v>
      </c>
      <c r="AK74" s="232">
        <f>BS!AK83</f>
        <v>167.48133802207943</v>
      </c>
      <c r="AL74" s="232">
        <f>BS!AL83</f>
        <v>297.91899524874765</v>
      </c>
      <c r="AN74" s="232">
        <f>BS!AN83</f>
        <v>141.50577203411734</v>
      </c>
      <c r="AO74" s="232">
        <f>BS!AO83</f>
        <v>200.34116265017317</v>
      </c>
      <c r="AP74" s="232">
        <f>BS!AP83</f>
        <v>341.92313614271421</v>
      </c>
      <c r="AR74" s="232">
        <f>BS!AR83</f>
        <v>161.58522156559522</v>
      </c>
      <c r="AS74" s="232">
        <f>BS!AS83</f>
        <v>214.38325386739882</v>
      </c>
      <c r="AT74" s="232">
        <f>BS!AT83</f>
        <v>376.01766953363267</v>
      </c>
      <c r="AV74" s="232">
        <f>BS!AV83</f>
        <v>171.32035728896017</v>
      </c>
      <c r="AW74" s="232">
        <f>BS!AW83</f>
        <v>230.50184327486903</v>
      </c>
      <c r="AX74" s="232">
        <f>BS!AX83</f>
        <v>401.87456963584935</v>
      </c>
      <c r="AZ74" s="232">
        <f>BS!AZ83</f>
        <v>183.10179227918726</v>
      </c>
      <c r="BA74" s="232">
        <f>BS!BA83</f>
        <v>245.91404746803065</v>
      </c>
      <c r="BB74" s="232">
        <f>BS!BB83</f>
        <v>429.06475305698848</v>
      </c>
      <c r="BD74" s="232">
        <f>BS!BD83</f>
        <v>190.07076283323207</v>
      </c>
      <c r="BE74" s="232">
        <f>BS!BE83</f>
        <v>255.80272365276394</v>
      </c>
      <c r="BF74" s="232">
        <f>BS!BF83</f>
        <v>445.92291761000394</v>
      </c>
      <c r="BH74" s="232">
        <f>BS!BH83</f>
        <v>197.36052408903566</v>
      </c>
      <c r="BI74" s="232">
        <f>BS!BI83</f>
        <v>266.16053770593612</v>
      </c>
      <c r="BJ74" s="232">
        <f>BS!BJ83</f>
        <v>463.57079339440162</v>
      </c>
      <c r="BL74" s="232">
        <f>BS!BL83</f>
        <v>204.99010524968114</v>
      </c>
      <c r="BM74" s="232">
        <f>BS!BM83</f>
        <v>277.00695722431317</v>
      </c>
      <c r="BN74" s="232">
        <f>BS!BN83</f>
        <v>482.04711353720421</v>
      </c>
      <c r="BP74" s="232">
        <f>BS!BP83</f>
        <v>212.97252450953766</v>
      </c>
      <c r="BQ74" s="232">
        <f>BS!BQ83</f>
        <v>288.37005688462671</v>
      </c>
      <c r="BR74" s="232">
        <f>BS!BR83</f>
        <v>501.39270449712018</v>
      </c>
      <c r="BT74" s="232">
        <f>BS!BT83</f>
        <v>221.33640198806773</v>
      </c>
      <c r="BU74" s="232">
        <f>BS!BU83</f>
        <v>300.26298458243161</v>
      </c>
      <c r="BV74" s="232">
        <f>BS!BV83</f>
        <v>521.65013667517576</v>
      </c>
      <c r="BX74" s="232">
        <f>BS!BX83</f>
        <v>230.08910529985883</v>
      </c>
      <c r="BY74" s="232">
        <f>BS!BY83</f>
        <v>312.72436072558446</v>
      </c>
      <c r="BZ74" s="232">
        <f>BS!BZ83</f>
        <v>542.86459732749847</v>
      </c>
    </row>
    <row r="75" spans="1:78" s="135" customFormat="1">
      <c r="A75" s="134"/>
      <c r="B75" s="134"/>
      <c r="D75" s="232"/>
      <c r="E75" s="232"/>
      <c r="F75" s="232"/>
      <c r="G75" s="232"/>
      <c r="H75" s="232"/>
      <c r="I75" s="232"/>
      <c r="J75" s="232"/>
      <c r="K75" s="232"/>
      <c r="L75" s="232"/>
      <c r="M75" s="232"/>
      <c r="N75" s="232"/>
      <c r="O75" s="232"/>
      <c r="P75" s="232"/>
      <c r="Q75" s="232"/>
      <c r="R75" s="232"/>
      <c r="S75" s="232"/>
      <c r="T75" s="232"/>
      <c r="U75" s="232"/>
      <c r="V75" s="232"/>
      <c r="X75" s="232"/>
      <c r="Y75" s="232"/>
      <c r="Z75" s="343"/>
      <c r="AA75" s="575"/>
      <c r="AB75" s="232"/>
      <c r="AC75" s="232"/>
      <c r="AD75" s="232"/>
      <c r="AE75" s="575"/>
      <c r="AF75" s="232"/>
      <c r="AI75" s="575"/>
      <c r="AM75" s="575"/>
      <c r="AQ75" s="575"/>
      <c r="AU75" s="575"/>
      <c r="AY75" s="575"/>
      <c r="BC75" s="575"/>
      <c r="BG75" s="575"/>
    </row>
    <row r="76" spans="1:78" s="227" customFormat="1" ht="15.6">
      <c r="A76" s="224"/>
      <c r="B76" s="576" t="s">
        <v>166</v>
      </c>
      <c r="C76" s="225"/>
      <c r="D76" s="225"/>
      <c r="E76" s="225"/>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6"/>
      <c r="AD76" s="226"/>
      <c r="AE76" s="226"/>
      <c r="AF76" s="226"/>
      <c r="AG76" s="226"/>
      <c r="AH76" s="226"/>
      <c r="AI76" s="226"/>
      <c r="AJ76" s="226"/>
      <c r="AK76" s="226"/>
      <c r="AL76" s="226"/>
      <c r="AM76" s="226"/>
      <c r="AN76" s="226"/>
      <c r="AO76" s="226"/>
      <c r="AP76" s="226"/>
      <c r="AQ76" s="226"/>
      <c r="AR76" s="226"/>
      <c r="AS76" s="226"/>
      <c r="AT76" s="226"/>
      <c r="AU76" s="226"/>
      <c r="AV76" s="226"/>
      <c r="AW76" s="226"/>
      <c r="AX76" s="226"/>
      <c r="AY76" s="226"/>
      <c r="AZ76" s="226"/>
      <c r="BA76" s="226"/>
      <c r="BB76" s="226"/>
      <c r="BC76" s="226"/>
      <c r="BD76" s="226"/>
      <c r="BE76" s="226"/>
      <c r="BF76" s="226"/>
      <c r="BG76" s="226"/>
      <c r="BH76" s="226"/>
      <c r="BI76" s="226"/>
      <c r="BJ76" s="226"/>
      <c r="BK76" s="226"/>
      <c r="BL76" s="226"/>
      <c r="BM76" s="226"/>
      <c r="BN76" s="226"/>
      <c r="BO76" s="226"/>
      <c r="BP76" s="226"/>
      <c r="BQ76" s="226"/>
      <c r="BR76" s="226"/>
      <c r="BT76" s="226"/>
      <c r="BU76" s="226"/>
      <c r="BV76" s="226"/>
      <c r="BX76" s="226"/>
      <c r="BY76" s="226"/>
      <c r="BZ76" s="226"/>
    </row>
    <row r="77" spans="1:78" s="135" customFormat="1">
      <c r="A77" s="693">
        <f t="shared" ref="A77:A87" si="307">+AVERAGE(V77,Z77,AD77)</f>
        <v>9.7350000000000012</v>
      </c>
      <c r="B77" s="134" t="s">
        <v>616</v>
      </c>
      <c r="D77" s="343"/>
      <c r="E77" s="409">
        <f t="shared" ref="E77:E86" si="308">F77-D77</f>
        <v>0</v>
      </c>
      <c r="F77" s="343"/>
      <c r="G77" s="232"/>
      <c r="H77" s="343"/>
      <c r="I77" s="409">
        <f t="shared" ref="I77:I86" si="309">J77-H77</f>
        <v>0</v>
      </c>
      <c r="J77" s="343"/>
      <c r="K77" s="232"/>
      <c r="L77" s="343"/>
      <c r="M77" s="409">
        <f t="shared" ref="M77:M86" si="310">N77-L77</f>
        <v>0</v>
      </c>
      <c r="N77" s="343"/>
      <c r="O77" s="232"/>
      <c r="P77" s="343">
        <v>4.8940000000000001</v>
      </c>
      <c r="Q77" s="409">
        <f t="shared" ref="Q77:Q86" si="311">R77-P77</f>
        <v>4.0429999999999993</v>
      </c>
      <c r="R77" s="343">
        <v>8.9369999999999994</v>
      </c>
      <c r="S77" s="232"/>
      <c r="T77" s="343">
        <v>4.8940000000000001</v>
      </c>
      <c r="U77" s="409">
        <f t="shared" ref="U77:U86" si="312">V77-T77</f>
        <v>2.2199999999999998</v>
      </c>
      <c r="V77" s="343">
        <v>7.1139999999999999</v>
      </c>
      <c r="W77" s="232"/>
      <c r="X77" s="343">
        <v>5.649</v>
      </c>
      <c r="Y77" s="409">
        <f t="shared" ref="Y77:Y86" si="313">Z77-X77</f>
        <v>5.2990000000000004</v>
      </c>
      <c r="Z77" s="343">
        <v>10.948</v>
      </c>
      <c r="AA77" s="232"/>
      <c r="AB77" s="343">
        <v>5.52</v>
      </c>
      <c r="AC77" s="409">
        <f t="shared" ref="AC77:AC86" si="314">AD77-AB77</f>
        <v>5.6230000000000011</v>
      </c>
      <c r="AD77" s="343">
        <v>11.143000000000001</v>
      </c>
      <c r="AE77" s="232"/>
      <c r="AF77" s="343">
        <v>14.426</v>
      </c>
      <c r="AG77" s="409">
        <f t="shared" ref="AG77:AG86" si="315">AH77-AF77</f>
        <v>16.033000000000001</v>
      </c>
      <c r="AH77" s="343">
        <f>30.352+0.107</f>
        <v>30.459</v>
      </c>
      <c r="AI77" s="232"/>
      <c r="AJ77" s="343">
        <v>19.015000000000001</v>
      </c>
      <c r="AK77" s="409">
        <f>AL77-AJ77</f>
        <v>20.588999999999999</v>
      </c>
      <c r="AL77" s="343">
        <v>39.603999999999999</v>
      </c>
      <c r="AM77" s="694">
        <f t="shared" ref="AM77:AM89" si="316">AJ77+AK77-AL77</f>
        <v>0</v>
      </c>
      <c r="AN77" s="313">
        <v>19.795000000000002</v>
      </c>
      <c r="AO77" s="409">
        <f>AP77-AN77</f>
        <v>25.809999999999995</v>
      </c>
      <c r="AP77" s="913">
        <v>45.604999999999997</v>
      </c>
      <c r="AQ77" s="928">
        <f t="shared" ref="AQ77" si="317">AN77+AO77-AP77</f>
        <v>0</v>
      </c>
      <c r="AR77" s="434">
        <v>12</v>
      </c>
      <c r="AS77" s="434">
        <v>12</v>
      </c>
      <c r="AT77" s="409">
        <f t="shared" ref="AT77" si="318">+AR77+AS77</f>
        <v>24</v>
      </c>
      <c r="AU77" s="694">
        <f t="shared" ref="AU77" si="319">AR77+AS77-AT77</f>
        <v>0</v>
      </c>
      <c r="AV77" s="434">
        <v>12</v>
      </c>
      <c r="AW77" s="434">
        <v>12</v>
      </c>
      <c r="AX77" s="409">
        <f t="shared" ref="AX77" si="320">+AV77+AW77</f>
        <v>24</v>
      </c>
      <c r="AY77" s="694">
        <f t="shared" ref="AY77" si="321">AV77+AW77-AX77</f>
        <v>0</v>
      </c>
      <c r="AZ77" s="434">
        <v>12</v>
      </c>
      <c r="BA77" s="434">
        <v>12</v>
      </c>
      <c r="BB77" s="409">
        <f t="shared" ref="BB77" si="322">+AZ77+BA77</f>
        <v>24</v>
      </c>
      <c r="BC77" s="694">
        <f t="shared" ref="BC77" si="323">AZ77+BA77-BB77</f>
        <v>0</v>
      </c>
      <c r="BD77" s="434">
        <v>12</v>
      </c>
      <c r="BE77" s="434">
        <v>12</v>
      </c>
      <c r="BF77" s="409">
        <f t="shared" ref="BF77" si="324">+BD77+BE77</f>
        <v>24</v>
      </c>
      <c r="BG77" s="694">
        <f t="shared" ref="BG77" si="325">BD77+BE77-BF77</f>
        <v>0</v>
      </c>
      <c r="BH77" s="434">
        <v>12</v>
      </c>
      <c r="BI77" s="434">
        <v>12</v>
      </c>
      <c r="BJ77" s="409">
        <f t="shared" ref="BJ77" si="326">+BH77+BI77</f>
        <v>24</v>
      </c>
      <c r="BK77" s="694">
        <f t="shared" ref="BK77" si="327">BH77+BI77-BJ77</f>
        <v>0</v>
      </c>
      <c r="BL77" s="434">
        <v>12</v>
      </c>
      <c r="BM77" s="434">
        <v>12</v>
      </c>
      <c r="BN77" s="409">
        <f t="shared" ref="BN77" si="328">+BL77+BM77</f>
        <v>24</v>
      </c>
      <c r="BO77" s="694">
        <f t="shared" ref="BO77" si="329">BL77+BM77-BN77</f>
        <v>0</v>
      </c>
      <c r="BP77" s="434">
        <v>12</v>
      </c>
      <c r="BQ77" s="434">
        <v>12</v>
      </c>
      <c r="BR77" s="409">
        <f t="shared" ref="BR77" si="330">+BP77+BQ77</f>
        <v>24</v>
      </c>
      <c r="BS77" s="694">
        <f t="shared" ref="BS77" si="331">BP77+BQ77-BR77</f>
        <v>0</v>
      </c>
      <c r="BT77" s="434">
        <v>12</v>
      </c>
      <c r="BU77" s="434">
        <v>12</v>
      </c>
      <c r="BV77" s="409">
        <f t="shared" ref="BV77:BV86" si="332">+BT77+BU77</f>
        <v>24</v>
      </c>
      <c r="BW77" s="694">
        <f t="shared" ref="BW77:BW87" si="333">BT77+BU77-BV77</f>
        <v>0</v>
      </c>
      <c r="BX77" s="434">
        <v>12</v>
      </c>
      <c r="BY77" s="434">
        <v>12</v>
      </c>
      <c r="BZ77" s="409">
        <f t="shared" ref="BZ77:BZ86" si="334">+BX77+BY77</f>
        <v>24</v>
      </c>
    </row>
    <row r="78" spans="1:78" s="135" customFormat="1">
      <c r="A78" s="693">
        <f t="shared" si="307"/>
        <v>-15.919666666666666</v>
      </c>
      <c r="B78" s="132" t="s">
        <v>167</v>
      </c>
      <c r="D78" s="264">
        <f>-1.691+1.691</f>
        <v>0</v>
      </c>
      <c r="E78" s="311">
        <f t="shared" si="308"/>
        <v>3.4569999999999999</v>
      </c>
      <c r="F78" s="264">
        <f>0.343+3.114</f>
        <v>3.4569999999999999</v>
      </c>
      <c r="G78" s="232"/>
      <c r="H78" s="264">
        <v>0.14199999999999999</v>
      </c>
      <c r="I78" s="311">
        <f t="shared" si="309"/>
        <v>8.2920000000000016</v>
      </c>
      <c r="J78" s="264">
        <f>5.811+2.623</f>
        <v>8.4340000000000011</v>
      </c>
      <c r="K78" s="232"/>
      <c r="L78" s="264">
        <v>0.16900000000000001</v>
      </c>
      <c r="M78" s="311">
        <f t="shared" si="310"/>
        <v>1.752</v>
      </c>
      <c r="N78" s="264">
        <f>-0.114+0.153+2.3-0.575+0.157</f>
        <v>1.921</v>
      </c>
      <c r="O78" s="232"/>
      <c r="P78" s="264">
        <v>4.476</v>
      </c>
      <c r="Q78" s="311">
        <f t="shared" si="311"/>
        <v>4.0859999999999994</v>
      </c>
      <c r="R78" s="264">
        <v>8.5619999999999994</v>
      </c>
      <c r="S78" s="232"/>
      <c r="T78" s="264">
        <v>4.476</v>
      </c>
      <c r="U78" s="311">
        <f t="shared" si="312"/>
        <v>-7.3380000000000001</v>
      </c>
      <c r="V78" s="264">
        <v>-2.8620000000000001</v>
      </c>
      <c r="W78" s="232"/>
      <c r="X78" s="264">
        <v>-3.851</v>
      </c>
      <c r="Y78" s="311">
        <f t="shared" si="313"/>
        <v>0</v>
      </c>
      <c r="Z78" s="264">
        <v>-3.851</v>
      </c>
      <c r="AA78" s="232"/>
      <c r="AB78" s="264">
        <v>-8.8680000000000003</v>
      </c>
      <c r="AC78" s="311">
        <f t="shared" si="314"/>
        <v>-32.177999999999997</v>
      </c>
      <c r="AD78" s="264">
        <v>-41.045999999999999</v>
      </c>
      <c r="AE78" s="232"/>
      <c r="AF78" s="264">
        <v>-1.8140000000000001</v>
      </c>
      <c r="AG78" s="311">
        <f t="shared" si="315"/>
        <v>-27.981999999999999</v>
      </c>
      <c r="AH78" s="264">
        <v>-29.795999999999999</v>
      </c>
      <c r="AI78" s="232"/>
      <c r="AJ78" s="264">
        <v>-0.72599999999999998</v>
      </c>
      <c r="AK78" s="311">
        <f t="shared" ref="AK78:AK86" si="335">AL78-AJ78</f>
        <v>-17.068000000000001</v>
      </c>
      <c r="AL78" s="264">
        <v>-17.794</v>
      </c>
      <c r="AM78" s="566">
        <f t="shared" si="316"/>
        <v>0</v>
      </c>
      <c r="AN78" s="168">
        <v>-1.194</v>
      </c>
      <c r="AO78" s="311">
        <f t="shared" ref="AO78:AO86" si="336">AP78-AN78</f>
        <v>-46.291999999999994</v>
      </c>
      <c r="AP78" s="912">
        <v>-47.485999999999997</v>
      </c>
      <c r="AQ78" s="929">
        <f t="shared" ref="AQ78:AQ87" si="337">AN78+AO78-AP78</f>
        <v>0</v>
      </c>
      <c r="AR78" s="434">
        <v>-2</v>
      </c>
      <c r="AS78" s="434">
        <v>-2</v>
      </c>
      <c r="AT78" s="311">
        <f t="shared" ref="AT78:AT86" si="338">+AR78+AS78</f>
        <v>-4</v>
      </c>
      <c r="AU78" s="566">
        <f t="shared" ref="AU78:AU87" si="339">AR78+AS78-AT78</f>
        <v>0</v>
      </c>
      <c r="AV78" s="434">
        <v>-2</v>
      </c>
      <c r="AW78" s="434">
        <v>-2</v>
      </c>
      <c r="AX78" s="311">
        <f t="shared" ref="AX78:AX86" si="340">+AV78+AW78</f>
        <v>-4</v>
      </c>
      <c r="AY78" s="566">
        <f t="shared" ref="AY78:AY87" si="341">AV78+AW78-AX78</f>
        <v>0</v>
      </c>
      <c r="AZ78" s="434">
        <v>-2</v>
      </c>
      <c r="BA78" s="434">
        <v>-2</v>
      </c>
      <c r="BB78" s="311">
        <f t="shared" ref="BB78:BB86" si="342">+AZ78+BA78</f>
        <v>-4</v>
      </c>
      <c r="BC78" s="566">
        <f t="shared" ref="BC78:BC87" si="343">AZ78+BA78-BB78</f>
        <v>0</v>
      </c>
      <c r="BD78" s="434">
        <v>-2</v>
      </c>
      <c r="BE78" s="434">
        <v>-2</v>
      </c>
      <c r="BF78" s="311">
        <f t="shared" ref="BF78:BF86" si="344">+BD78+BE78</f>
        <v>-4</v>
      </c>
      <c r="BG78" s="566">
        <f t="shared" ref="BG78:BG87" si="345">BD78+BE78-BF78</f>
        <v>0</v>
      </c>
      <c r="BH78" s="434">
        <v>-2</v>
      </c>
      <c r="BI78" s="434">
        <v>-2</v>
      </c>
      <c r="BJ78" s="311">
        <f t="shared" ref="BJ78:BJ86" si="346">+BH78+BI78</f>
        <v>-4</v>
      </c>
      <c r="BK78" s="566">
        <f t="shared" ref="BK78:BK87" si="347">BH78+BI78-BJ78</f>
        <v>0</v>
      </c>
      <c r="BL78" s="434">
        <v>-2</v>
      </c>
      <c r="BM78" s="434">
        <v>-2</v>
      </c>
      <c r="BN78" s="311">
        <f t="shared" ref="BN78:BN86" si="348">+BL78+BM78</f>
        <v>-4</v>
      </c>
      <c r="BO78" s="566">
        <f t="shared" ref="BO78:BO87" si="349">BL78+BM78-BN78</f>
        <v>0</v>
      </c>
      <c r="BP78" s="434">
        <v>-2</v>
      </c>
      <c r="BQ78" s="434">
        <v>-2</v>
      </c>
      <c r="BR78" s="311">
        <f t="shared" ref="BR78:BR86" si="350">+BP78+BQ78</f>
        <v>-4</v>
      </c>
      <c r="BS78" s="566">
        <f t="shared" ref="BS78:BS87" si="351">BP78+BQ78-BR78</f>
        <v>0</v>
      </c>
      <c r="BT78" s="434">
        <v>-2</v>
      </c>
      <c r="BU78" s="434">
        <v>-2</v>
      </c>
      <c r="BV78" s="311">
        <f t="shared" si="332"/>
        <v>-4</v>
      </c>
      <c r="BW78" s="566">
        <f t="shared" si="333"/>
        <v>0</v>
      </c>
      <c r="BX78" s="434">
        <v>-2</v>
      </c>
      <c r="BY78" s="434">
        <v>-2</v>
      </c>
      <c r="BZ78" s="311">
        <f t="shared" si="334"/>
        <v>-4</v>
      </c>
    </row>
    <row r="79" spans="1:78">
      <c r="A79" s="693">
        <f t="shared" si="307"/>
        <v>0.94333333333333325</v>
      </c>
      <c r="B79" s="132" t="s">
        <v>168</v>
      </c>
      <c r="D79" s="264"/>
      <c r="E79" s="311">
        <f t="shared" si="308"/>
        <v>0</v>
      </c>
      <c r="F79" s="264">
        <v>0</v>
      </c>
      <c r="G79" s="136"/>
      <c r="H79" s="264"/>
      <c r="I79" s="311">
        <f t="shared" si="309"/>
        <v>0</v>
      </c>
      <c r="J79" s="264">
        <v>0</v>
      </c>
      <c r="K79" s="136"/>
      <c r="L79" s="264"/>
      <c r="M79" s="311">
        <f t="shared" si="310"/>
        <v>0.52700000000000002</v>
      </c>
      <c r="N79" s="264">
        <v>0.52700000000000002</v>
      </c>
      <c r="O79" s="136"/>
      <c r="P79" s="264">
        <v>0.187</v>
      </c>
      <c r="Q79" s="311">
        <f t="shared" si="311"/>
        <v>-4.9150000000000009</v>
      </c>
      <c r="R79" s="264">
        <f>0.696-5.424</f>
        <v>-4.7280000000000006</v>
      </c>
      <c r="S79" s="136"/>
      <c r="T79" s="264">
        <v>0.187</v>
      </c>
      <c r="U79" s="311">
        <f t="shared" si="312"/>
        <v>-4.048</v>
      </c>
      <c r="V79" s="264">
        <v>-3.8610000000000002</v>
      </c>
      <c r="W79" s="232"/>
      <c r="X79" s="264">
        <v>5.47</v>
      </c>
      <c r="Y79" s="311">
        <f t="shared" si="313"/>
        <v>0.11699999999999999</v>
      </c>
      <c r="Z79" s="264">
        <v>5.5869999999999997</v>
      </c>
      <c r="AA79" s="232"/>
      <c r="AB79" s="264">
        <v>0.96799999999999997</v>
      </c>
      <c r="AC79" s="311">
        <f t="shared" si="314"/>
        <v>0.13600000000000012</v>
      </c>
      <c r="AD79" s="264">
        <v>1.1040000000000001</v>
      </c>
      <c r="AE79" s="232"/>
      <c r="AF79" s="264">
        <v>0.11700000000000001</v>
      </c>
      <c r="AG79" s="311">
        <f t="shared" si="315"/>
        <v>3.5030000000000001</v>
      </c>
      <c r="AH79" s="264">
        <v>3.62</v>
      </c>
      <c r="AI79" s="232"/>
      <c r="AJ79" s="264">
        <v>-1.4630000000000001</v>
      </c>
      <c r="AK79" s="311">
        <f t="shared" si="335"/>
        <v>0</v>
      </c>
      <c r="AL79" s="264">
        <v>-1.4630000000000001</v>
      </c>
      <c r="AM79" s="566">
        <f t="shared" si="316"/>
        <v>0</v>
      </c>
      <c r="AN79" s="168">
        <v>0</v>
      </c>
      <c r="AO79" s="311">
        <f t="shared" si="336"/>
        <v>0</v>
      </c>
      <c r="AP79" s="912">
        <v>0</v>
      </c>
      <c r="AQ79" s="929">
        <f t="shared" si="337"/>
        <v>0</v>
      </c>
      <c r="AR79" s="334">
        <v>0</v>
      </c>
      <c r="AS79" s="334">
        <v>0</v>
      </c>
      <c r="AT79" s="311">
        <f t="shared" si="338"/>
        <v>0</v>
      </c>
      <c r="AU79" s="566">
        <f t="shared" si="339"/>
        <v>0</v>
      </c>
      <c r="AV79" s="334">
        <v>0</v>
      </c>
      <c r="AW79" s="334">
        <v>0</v>
      </c>
      <c r="AX79" s="311">
        <f t="shared" si="340"/>
        <v>0</v>
      </c>
      <c r="AY79" s="566">
        <f t="shared" si="341"/>
        <v>0</v>
      </c>
      <c r="AZ79" s="334">
        <v>0</v>
      </c>
      <c r="BA79" s="334">
        <v>0</v>
      </c>
      <c r="BB79" s="311">
        <f t="shared" si="342"/>
        <v>0</v>
      </c>
      <c r="BC79" s="566">
        <f t="shared" si="343"/>
        <v>0</v>
      </c>
      <c r="BD79" s="334">
        <v>0</v>
      </c>
      <c r="BE79" s="334">
        <v>0</v>
      </c>
      <c r="BF79" s="311">
        <f t="shared" si="344"/>
        <v>0</v>
      </c>
      <c r="BG79" s="566">
        <f t="shared" si="345"/>
        <v>0</v>
      </c>
      <c r="BH79" s="334">
        <v>0</v>
      </c>
      <c r="BI79" s="334">
        <v>0</v>
      </c>
      <c r="BJ79" s="311">
        <f t="shared" si="346"/>
        <v>0</v>
      </c>
      <c r="BK79" s="566">
        <f t="shared" si="347"/>
        <v>0</v>
      </c>
      <c r="BL79" s="334">
        <v>0</v>
      </c>
      <c r="BM79" s="334">
        <v>0</v>
      </c>
      <c r="BN79" s="311">
        <f t="shared" si="348"/>
        <v>0</v>
      </c>
      <c r="BO79" s="566">
        <f t="shared" si="349"/>
        <v>0</v>
      </c>
      <c r="BP79" s="334">
        <v>0</v>
      </c>
      <c r="BQ79" s="334">
        <v>0</v>
      </c>
      <c r="BR79" s="311">
        <f t="shared" si="350"/>
        <v>0</v>
      </c>
      <c r="BS79" s="566">
        <f t="shared" si="351"/>
        <v>0</v>
      </c>
      <c r="BT79" s="334">
        <v>0</v>
      </c>
      <c r="BU79" s="334">
        <v>0</v>
      </c>
      <c r="BV79" s="311">
        <f t="shared" si="332"/>
        <v>0</v>
      </c>
      <c r="BW79" s="566">
        <f t="shared" si="333"/>
        <v>0</v>
      </c>
      <c r="BX79" s="334">
        <v>0</v>
      </c>
      <c r="BY79" s="334">
        <v>0</v>
      </c>
      <c r="BZ79" s="311">
        <f t="shared" si="334"/>
        <v>0</v>
      </c>
    </row>
    <row r="80" spans="1:78">
      <c r="A80" s="693">
        <f t="shared" si="307"/>
        <v>4.5979999999999999</v>
      </c>
      <c r="B80" s="132" t="s">
        <v>169</v>
      </c>
      <c r="D80" s="264"/>
      <c r="E80" s="311">
        <f t="shared" si="308"/>
        <v>0</v>
      </c>
      <c r="F80" s="264"/>
      <c r="G80" s="136"/>
      <c r="H80" s="264"/>
      <c r="I80" s="311">
        <f t="shared" si="309"/>
        <v>0</v>
      </c>
      <c r="J80" s="264"/>
      <c r="K80" s="136"/>
      <c r="L80" s="264"/>
      <c r="M80" s="311">
        <f t="shared" si="310"/>
        <v>0</v>
      </c>
      <c r="N80" s="264"/>
      <c r="O80" s="136"/>
      <c r="P80" s="264">
        <v>0</v>
      </c>
      <c r="Q80" s="311">
        <f t="shared" si="311"/>
        <v>0</v>
      </c>
      <c r="R80" s="264"/>
      <c r="S80" s="136"/>
      <c r="T80" s="264">
        <v>0</v>
      </c>
      <c r="U80" s="311">
        <f t="shared" si="312"/>
        <v>3.5779999999999998</v>
      </c>
      <c r="V80" s="264">
        <v>3.5779999999999998</v>
      </c>
      <c r="W80" s="232"/>
      <c r="X80" s="264">
        <v>0</v>
      </c>
      <c r="Y80" s="311">
        <f t="shared" si="313"/>
        <v>2.6789999999999998</v>
      </c>
      <c r="Z80" s="264">
        <v>2.6789999999999998</v>
      </c>
      <c r="AA80" s="232"/>
      <c r="AB80" s="264">
        <v>7.5910000000000002</v>
      </c>
      <c r="AC80" s="311">
        <f t="shared" si="314"/>
        <v>-5.400000000000027E-2</v>
      </c>
      <c r="AD80" s="264">
        <v>7.5369999999999999</v>
      </c>
      <c r="AE80" s="232"/>
      <c r="AF80" s="264">
        <v>0</v>
      </c>
      <c r="AG80" s="311">
        <f t="shared" si="315"/>
        <v>5.4729999999999999</v>
      </c>
      <c r="AH80" s="264">
        <v>5.4729999999999999</v>
      </c>
      <c r="AI80" s="232"/>
      <c r="AJ80" s="264">
        <v>0</v>
      </c>
      <c r="AK80" s="311">
        <f t="shared" si="335"/>
        <v>0</v>
      </c>
      <c r="AL80" s="264">
        <v>0</v>
      </c>
      <c r="AM80" s="566">
        <f t="shared" si="316"/>
        <v>0</v>
      </c>
      <c r="AN80" s="168">
        <v>4.6840000000000002</v>
      </c>
      <c r="AO80" s="311">
        <f t="shared" si="336"/>
        <v>16.460999999999999</v>
      </c>
      <c r="AP80" s="912">
        <v>21.145</v>
      </c>
      <c r="AQ80" s="929">
        <f t="shared" si="337"/>
        <v>0</v>
      </c>
      <c r="AR80" s="434">
        <v>3</v>
      </c>
      <c r="AS80" s="434">
        <v>3</v>
      </c>
      <c r="AT80" s="311">
        <f t="shared" si="338"/>
        <v>6</v>
      </c>
      <c r="AU80" s="566">
        <f t="shared" si="339"/>
        <v>0</v>
      </c>
      <c r="AV80" s="434">
        <v>3</v>
      </c>
      <c r="AW80" s="434">
        <v>3</v>
      </c>
      <c r="AX80" s="311">
        <f t="shared" si="340"/>
        <v>6</v>
      </c>
      <c r="AY80" s="566">
        <f t="shared" si="341"/>
        <v>0</v>
      </c>
      <c r="AZ80" s="434">
        <v>3</v>
      </c>
      <c r="BA80" s="434">
        <v>3</v>
      </c>
      <c r="BB80" s="311">
        <f t="shared" si="342"/>
        <v>6</v>
      </c>
      <c r="BC80" s="566">
        <f t="shared" si="343"/>
        <v>0</v>
      </c>
      <c r="BD80" s="434">
        <v>3</v>
      </c>
      <c r="BE80" s="434">
        <v>3</v>
      </c>
      <c r="BF80" s="311">
        <f t="shared" si="344"/>
        <v>6</v>
      </c>
      <c r="BG80" s="566">
        <f t="shared" si="345"/>
        <v>0</v>
      </c>
      <c r="BH80" s="434">
        <v>3</v>
      </c>
      <c r="BI80" s="434">
        <v>3</v>
      </c>
      <c r="BJ80" s="311">
        <f t="shared" si="346"/>
        <v>6</v>
      </c>
      <c r="BK80" s="566">
        <f t="shared" si="347"/>
        <v>0</v>
      </c>
      <c r="BL80" s="434">
        <v>3</v>
      </c>
      <c r="BM80" s="434">
        <v>3</v>
      </c>
      <c r="BN80" s="311">
        <f t="shared" si="348"/>
        <v>6</v>
      </c>
      <c r="BO80" s="566">
        <f t="shared" si="349"/>
        <v>0</v>
      </c>
      <c r="BP80" s="434">
        <v>3</v>
      </c>
      <c r="BQ80" s="434">
        <v>3</v>
      </c>
      <c r="BR80" s="311">
        <f t="shared" si="350"/>
        <v>6</v>
      </c>
      <c r="BS80" s="566">
        <f t="shared" si="351"/>
        <v>0</v>
      </c>
      <c r="BT80" s="434">
        <v>3</v>
      </c>
      <c r="BU80" s="434">
        <v>3</v>
      </c>
      <c r="BV80" s="311">
        <f t="shared" si="332"/>
        <v>6</v>
      </c>
      <c r="BW80" s="566">
        <f t="shared" si="333"/>
        <v>0</v>
      </c>
      <c r="BX80" s="434">
        <v>3</v>
      </c>
      <c r="BY80" s="434">
        <v>3</v>
      </c>
      <c r="BZ80" s="311">
        <f t="shared" si="334"/>
        <v>6</v>
      </c>
    </row>
    <row r="81" spans="1:78">
      <c r="A81" s="693">
        <f t="shared" si="307"/>
        <v>-0.39500000000000002</v>
      </c>
      <c r="B81" s="132" t="s">
        <v>170</v>
      </c>
      <c r="D81" s="264"/>
      <c r="E81" s="311">
        <f t="shared" si="308"/>
        <v>0</v>
      </c>
      <c r="F81" s="264"/>
      <c r="G81" s="136"/>
      <c r="H81" s="264"/>
      <c r="I81" s="311">
        <f t="shared" si="309"/>
        <v>0</v>
      </c>
      <c r="J81" s="264"/>
      <c r="K81" s="136"/>
      <c r="L81" s="264"/>
      <c r="M81" s="311">
        <f t="shared" si="310"/>
        <v>0</v>
      </c>
      <c r="N81" s="264"/>
      <c r="O81" s="136"/>
      <c r="P81" s="264">
        <v>7.5090000000000003</v>
      </c>
      <c r="Q81" s="311">
        <f t="shared" si="311"/>
        <v>-7.5090000000000003</v>
      </c>
      <c r="R81" s="264"/>
      <c r="S81" s="136"/>
      <c r="T81" s="264">
        <v>7.5090000000000003</v>
      </c>
      <c r="U81" s="311">
        <f t="shared" si="312"/>
        <v>-7.9850000000000003</v>
      </c>
      <c r="V81" s="264">
        <v>-0.47599999999999998</v>
      </c>
      <c r="W81" s="232"/>
      <c r="X81" s="264">
        <v>-0.28000000000000003</v>
      </c>
      <c r="Y81" s="311">
        <f t="shared" si="313"/>
        <v>-9.1999999999999971E-2</v>
      </c>
      <c r="Z81" s="264">
        <v>-0.372</v>
      </c>
      <c r="AA81" s="232"/>
      <c r="AB81" s="264">
        <v>0</v>
      </c>
      <c r="AC81" s="311">
        <f t="shared" si="314"/>
        <v>-0.33700000000000002</v>
      </c>
      <c r="AD81" s="264">
        <v>-0.33700000000000002</v>
      </c>
      <c r="AE81" s="232"/>
      <c r="AF81" s="264">
        <v>3.56</v>
      </c>
      <c r="AG81" s="311">
        <f t="shared" si="315"/>
        <v>36.351999999999997</v>
      </c>
      <c r="AH81" s="264">
        <v>39.911999999999999</v>
      </c>
      <c r="AI81" s="232"/>
      <c r="AJ81" s="264">
        <v>-18.196999999999999</v>
      </c>
      <c r="AK81" s="311">
        <f t="shared" si="335"/>
        <v>-0.53700000000000259</v>
      </c>
      <c r="AL81" s="264">
        <v>-18.734000000000002</v>
      </c>
      <c r="AM81" s="566">
        <f t="shared" si="316"/>
        <v>0</v>
      </c>
      <c r="AN81" s="168">
        <v>11.935</v>
      </c>
      <c r="AO81" s="311">
        <f t="shared" si="336"/>
        <v>-38.709000000000003</v>
      </c>
      <c r="AP81" s="912">
        <v>-26.774000000000001</v>
      </c>
      <c r="AQ81" s="929">
        <f t="shared" si="337"/>
        <v>0</v>
      </c>
      <c r="AR81" s="334">
        <v>0</v>
      </c>
      <c r="AS81" s="334">
        <v>0</v>
      </c>
      <c r="AT81" s="311">
        <f t="shared" si="338"/>
        <v>0</v>
      </c>
      <c r="AU81" s="566">
        <f t="shared" si="339"/>
        <v>0</v>
      </c>
      <c r="AV81" s="334">
        <v>0</v>
      </c>
      <c r="AW81" s="334">
        <v>0</v>
      </c>
      <c r="AX81" s="311">
        <f t="shared" si="340"/>
        <v>0</v>
      </c>
      <c r="AY81" s="566">
        <f t="shared" si="341"/>
        <v>0</v>
      </c>
      <c r="AZ81" s="334">
        <v>0</v>
      </c>
      <c r="BA81" s="334">
        <v>0</v>
      </c>
      <c r="BB81" s="311">
        <f t="shared" si="342"/>
        <v>0</v>
      </c>
      <c r="BC81" s="566">
        <f t="shared" si="343"/>
        <v>0</v>
      </c>
      <c r="BD81" s="334">
        <v>0</v>
      </c>
      <c r="BE81" s="334">
        <v>0</v>
      </c>
      <c r="BF81" s="311">
        <f t="shared" si="344"/>
        <v>0</v>
      </c>
      <c r="BG81" s="566">
        <f t="shared" si="345"/>
        <v>0</v>
      </c>
      <c r="BH81" s="334">
        <v>0</v>
      </c>
      <c r="BI81" s="334">
        <v>0</v>
      </c>
      <c r="BJ81" s="311">
        <f t="shared" si="346"/>
        <v>0</v>
      </c>
      <c r="BK81" s="566">
        <f t="shared" si="347"/>
        <v>0</v>
      </c>
      <c r="BL81" s="334">
        <v>0</v>
      </c>
      <c r="BM81" s="334">
        <v>0</v>
      </c>
      <c r="BN81" s="311">
        <f t="shared" si="348"/>
        <v>0</v>
      </c>
      <c r="BO81" s="566">
        <f t="shared" si="349"/>
        <v>0</v>
      </c>
      <c r="BP81" s="334">
        <v>0</v>
      </c>
      <c r="BQ81" s="334">
        <v>0</v>
      </c>
      <c r="BR81" s="311">
        <f t="shared" si="350"/>
        <v>0</v>
      </c>
      <c r="BS81" s="566">
        <f t="shared" si="351"/>
        <v>0</v>
      </c>
      <c r="BT81" s="334">
        <v>0</v>
      </c>
      <c r="BU81" s="334">
        <v>0</v>
      </c>
      <c r="BV81" s="311">
        <f t="shared" si="332"/>
        <v>0</v>
      </c>
      <c r="BW81" s="566">
        <f t="shared" si="333"/>
        <v>0</v>
      </c>
      <c r="BX81" s="334">
        <v>0</v>
      </c>
      <c r="BY81" s="334">
        <v>0</v>
      </c>
      <c r="BZ81" s="311">
        <f t="shared" si="334"/>
        <v>0</v>
      </c>
    </row>
    <row r="82" spans="1:78">
      <c r="A82" s="693">
        <f t="shared" si="307"/>
        <v>-6.1806666666666672</v>
      </c>
      <c r="B82" s="132" t="s">
        <v>171</v>
      </c>
      <c r="D82" s="264">
        <v>0</v>
      </c>
      <c r="E82" s="311">
        <f t="shared" si="308"/>
        <v>-5.7249999999999996</v>
      </c>
      <c r="F82" s="264">
        <v>-5.7249999999999996</v>
      </c>
      <c r="G82" s="136"/>
      <c r="H82" s="264">
        <v>0</v>
      </c>
      <c r="I82" s="311">
        <f t="shared" si="309"/>
        <v>-4.3339999999999996</v>
      </c>
      <c r="J82" s="264">
        <v>-4.3339999999999996</v>
      </c>
      <c r="K82" s="136"/>
      <c r="L82" s="264">
        <v>-8.1170000000000009</v>
      </c>
      <c r="M82" s="311">
        <f t="shared" si="310"/>
        <v>0.36400000000000077</v>
      </c>
      <c r="N82" s="264">
        <v>-7.7530000000000001</v>
      </c>
      <c r="O82" s="136"/>
      <c r="P82" s="264">
        <v>-2.5310000000000001</v>
      </c>
      <c r="Q82" s="311">
        <f t="shared" si="311"/>
        <v>1.3760000000000001</v>
      </c>
      <c r="R82" s="264">
        <v>-1.155</v>
      </c>
      <c r="S82" s="136"/>
      <c r="T82" s="264">
        <v>-2.5310000000000001</v>
      </c>
      <c r="U82" s="311">
        <f t="shared" si="312"/>
        <v>5.43</v>
      </c>
      <c r="V82" s="264">
        <v>2.899</v>
      </c>
      <c r="W82" s="232"/>
      <c r="X82" s="264">
        <v>0</v>
      </c>
      <c r="Y82" s="311">
        <f t="shared" si="313"/>
        <v>-18.138000000000002</v>
      </c>
      <c r="Z82" s="264">
        <v>-18.138000000000002</v>
      </c>
      <c r="AA82" s="232"/>
      <c r="AB82" s="264">
        <v>-3.0790000000000002</v>
      </c>
      <c r="AC82" s="311">
        <f t="shared" si="314"/>
        <v>-0.22399999999999975</v>
      </c>
      <c r="AD82" s="264">
        <v>-3.3029999999999999</v>
      </c>
      <c r="AE82" s="232"/>
      <c r="AF82" s="264">
        <v>0</v>
      </c>
      <c r="AG82" s="311">
        <f t="shared" si="315"/>
        <v>-25.3</v>
      </c>
      <c r="AH82" s="264">
        <v>-25.3</v>
      </c>
      <c r="AI82" s="232"/>
      <c r="AJ82" s="264">
        <v>0</v>
      </c>
      <c r="AK82" s="311">
        <f t="shared" si="335"/>
        <v>-2.5030000000000001</v>
      </c>
      <c r="AL82" s="264">
        <v>-2.5030000000000001</v>
      </c>
      <c r="AM82" s="566">
        <f t="shared" si="316"/>
        <v>0</v>
      </c>
      <c r="AN82" s="168">
        <v>0</v>
      </c>
      <c r="AO82" s="311">
        <f t="shared" si="336"/>
        <v>0</v>
      </c>
      <c r="AP82" s="912">
        <v>0</v>
      </c>
      <c r="AQ82" s="929">
        <f t="shared" si="337"/>
        <v>0</v>
      </c>
      <c r="AR82" s="334">
        <v>0</v>
      </c>
      <c r="AS82" s="334">
        <v>0</v>
      </c>
      <c r="AT82" s="311">
        <f t="shared" si="338"/>
        <v>0</v>
      </c>
      <c r="AU82" s="566">
        <f t="shared" si="339"/>
        <v>0</v>
      </c>
      <c r="AV82" s="334">
        <v>0</v>
      </c>
      <c r="AW82" s="334">
        <v>0</v>
      </c>
      <c r="AX82" s="311">
        <f t="shared" si="340"/>
        <v>0</v>
      </c>
      <c r="AY82" s="566">
        <f t="shared" si="341"/>
        <v>0</v>
      </c>
      <c r="AZ82" s="334">
        <v>0</v>
      </c>
      <c r="BA82" s="334">
        <v>0</v>
      </c>
      <c r="BB82" s="311">
        <f t="shared" si="342"/>
        <v>0</v>
      </c>
      <c r="BC82" s="566">
        <f t="shared" si="343"/>
        <v>0</v>
      </c>
      <c r="BD82" s="334">
        <v>0</v>
      </c>
      <c r="BE82" s="334">
        <v>0</v>
      </c>
      <c r="BF82" s="311">
        <f t="shared" si="344"/>
        <v>0</v>
      </c>
      <c r="BG82" s="566">
        <f t="shared" si="345"/>
        <v>0</v>
      </c>
      <c r="BH82" s="334">
        <v>0</v>
      </c>
      <c r="BI82" s="334">
        <v>0</v>
      </c>
      <c r="BJ82" s="311">
        <f t="shared" si="346"/>
        <v>0</v>
      </c>
      <c r="BK82" s="566">
        <f t="shared" si="347"/>
        <v>0</v>
      </c>
      <c r="BL82" s="334">
        <v>0</v>
      </c>
      <c r="BM82" s="334">
        <v>0</v>
      </c>
      <c r="BN82" s="311">
        <f t="shared" si="348"/>
        <v>0</v>
      </c>
      <c r="BO82" s="566">
        <f t="shared" si="349"/>
        <v>0</v>
      </c>
      <c r="BP82" s="334">
        <v>0</v>
      </c>
      <c r="BQ82" s="334">
        <v>0</v>
      </c>
      <c r="BR82" s="311">
        <f t="shared" si="350"/>
        <v>0</v>
      </c>
      <c r="BS82" s="566">
        <f t="shared" si="351"/>
        <v>0</v>
      </c>
      <c r="BT82" s="334">
        <v>0</v>
      </c>
      <c r="BU82" s="334">
        <v>0</v>
      </c>
      <c r="BV82" s="311">
        <f t="shared" si="332"/>
        <v>0</v>
      </c>
      <c r="BW82" s="566">
        <f t="shared" si="333"/>
        <v>0</v>
      </c>
      <c r="BX82" s="334">
        <v>0</v>
      </c>
      <c r="BY82" s="334">
        <v>0</v>
      </c>
      <c r="BZ82" s="311">
        <f t="shared" si="334"/>
        <v>0</v>
      </c>
    </row>
    <row r="83" spans="1:78">
      <c r="A83" s="693">
        <f t="shared" si="307"/>
        <v>-1.3470000000000002</v>
      </c>
      <c r="B83" s="132" t="s">
        <v>172</v>
      </c>
      <c r="D83" s="264"/>
      <c r="E83" s="311">
        <f t="shared" si="308"/>
        <v>0</v>
      </c>
      <c r="F83" s="264"/>
      <c r="G83" s="136"/>
      <c r="H83" s="264"/>
      <c r="I83" s="311">
        <f t="shared" si="309"/>
        <v>0</v>
      </c>
      <c r="J83" s="264"/>
      <c r="K83" s="136"/>
      <c r="L83" s="264"/>
      <c r="M83" s="311">
        <f t="shared" si="310"/>
        <v>0</v>
      </c>
      <c r="N83" s="264"/>
      <c r="O83" s="136"/>
      <c r="P83" s="264">
        <v>0</v>
      </c>
      <c r="Q83" s="311">
        <f t="shared" si="311"/>
        <v>3.1890000000000001</v>
      </c>
      <c r="R83" s="264">
        <v>3.1890000000000001</v>
      </c>
      <c r="S83" s="136"/>
      <c r="T83" s="264">
        <v>0</v>
      </c>
      <c r="U83" s="311">
        <f t="shared" si="312"/>
        <v>-2.25</v>
      </c>
      <c r="V83" s="264">
        <v>-2.25</v>
      </c>
      <c r="W83" s="232"/>
      <c r="X83" s="264">
        <v>0</v>
      </c>
      <c r="Y83" s="311">
        <f t="shared" si="313"/>
        <v>-1.7909999999999999</v>
      </c>
      <c r="Z83" s="264">
        <v>-1.7909999999999999</v>
      </c>
      <c r="AA83" s="232"/>
      <c r="AB83" s="264">
        <v>-0.51</v>
      </c>
      <c r="AC83" s="311">
        <f t="shared" si="314"/>
        <v>0.51</v>
      </c>
      <c r="AD83" s="264">
        <v>0</v>
      </c>
      <c r="AE83" s="232"/>
      <c r="AF83" s="264">
        <v>0</v>
      </c>
      <c r="AG83" s="311">
        <f t="shared" si="315"/>
        <v>0</v>
      </c>
      <c r="AH83" s="264">
        <v>0</v>
      </c>
      <c r="AI83" s="232"/>
      <c r="AJ83" s="264">
        <v>0</v>
      </c>
      <c r="AK83" s="311">
        <f t="shared" si="335"/>
        <v>0</v>
      </c>
      <c r="AL83" s="264">
        <v>0</v>
      </c>
      <c r="AM83" s="566">
        <f t="shared" si="316"/>
        <v>0</v>
      </c>
      <c r="AN83" s="168">
        <v>0</v>
      </c>
      <c r="AO83" s="311">
        <f t="shared" si="336"/>
        <v>0</v>
      </c>
      <c r="AP83" s="912">
        <v>0</v>
      </c>
      <c r="AQ83" s="929">
        <f t="shared" si="337"/>
        <v>0</v>
      </c>
      <c r="AR83" s="334">
        <v>0</v>
      </c>
      <c r="AS83" s="334">
        <v>0</v>
      </c>
      <c r="AT83" s="311">
        <f t="shared" si="338"/>
        <v>0</v>
      </c>
      <c r="AU83" s="566">
        <f t="shared" si="339"/>
        <v>0</v>
      </c>
      <c r="AV83" s="334">
        <v>0</v>
      </c>
      <c r="AW83" s="334">
        <v>0</v>
      </c>
      <c r="AX83" s="311">
        <f t="shared" si="340"/>
        <v>0</v>
      </c>
      <c r="AY83" s="566">
        <f t="shared" si="341"/>
        <v>0</v>
      </c>
      <c r="AZ83" s="334">
        <v>0</v>
      </c>
      <c r="BA83" s="334">
        <v>0</v>
      </c>
      <c r="BB83" s="311">
        <f t="shared" si="342"/>
        <v>0</v>
      </c>
      <c r="BC83" s="566">
        <f t="shared" si="343"/>
        <v>0</v>
      </c>
      <c r="BD83" s="334">
        <v>0</v>
      </c>
      <c r="BE83" s="334">
        <v>0</v>
      </c>
      <c r="BF83" s="311">
        <f t="shared" si="344"/>
        <v>0</v>
      </c>
      <c r="BG83" s="566">
        <f t="shared" si="345"/>
        <v>0</v>
      </c>
      <c r="BH83" s="334">
        <v>0</v>
      </c>
      <c r="BI83" s="334">
        <v>0</v>
      </c>
      <c r="BJ83" s="311">
        <f t="shared" si="346"/>
        <v>0</v>
      </c>
      <c r="BK83" s="566">
        <f t="shared" si="347"/>
        <v>0</v>
      </c>
      <c r="BL83" s="334">
        <v>0</v>
      </c>
      <c r="BM83" s="334">
        <v>0</v>
      </c>
      <c r="BN83" s="311">
        <f t="shared" si="348"/>
        <v>0</v>
      </c>
      <c r="BO83" s="566">
        <f t="shared" si="349"/>
        <v>0</v>
      </c>
      <c r="BP83" s="334">
        <v>0</v>
      </c>
      <c r="BQ83" s="334">
        <v>0</v>
      </c>
      <c r="BR83" s="311">
        <f t="shared" si="350"/>
        <v>0</v>
      </c>
      <c r="BS83" s="566">
        <f t="shared" si="351"/>
        <v>0</v>
      </c>
      <c r="BT83" s="334">
        <v>0</v>
      </c>
      <c r="BU83" s="334">
        <v>0</v>
      </c>
      <c r="BV83" s="311">
        <f t="shared" si="332"/>
        <v>0</v>
      </c>
      <c r="BW83" s="566">
        <f t="shared" si="333"/>
        <v>0</v>
      </c>
      <c r="BX83" s="334">
        <v>0</v>
      </c>
      <c r="BY83" s="334">
        <v>0</v>
      </c>
      <c r="BZ83" s="311">
        <f t="shared" si="334"/>
        <v>0</v>
      </c>
    </row>
    <row r="84" spans="1:78">
      <c r="A84" s="693">
        <f t="shared" si="307"/>
        <v>-1.8673333333333335</v>
      </c>
      <c r="B84" s="132" t="s">
        <v>173</v>
      </c>
      <c r="D84" s="264">
        <f>-6.318-6.504</f>
        <v>-12.821999999999999</v>
      </c>
      <c r="E84" s="311">
        <f t="shared" si="308"/>
        <v>6.5839999999999996</v>
      </c>
      <c r="F84" s="264">
        <f>-6.047-0.191</f>
        <v>-6.2379999999999995</v>
      </c>
      <c r="G84" s="136"/>
      <c r="H84" s="264">
        <v>0.04</v>
      </c>
      <c r="I84" s="311">
        <f t="shared" si="309"/>
        <v>-0.70100000000000007</v>
      </c>
      <c r="J84" s="264">
        <v>-0.66100000000000003</v>
      </c>
      <c r="K84" s="136"/>
      <c r="L84" s="264">
        <v>-1.101</v>
      </c>
      <c r="M84" s="311">
        <f t="shared" si="310"/>
        <v>0.24</v>
      </c>
      <c r="N84" s="264">
        <v>-0.86099999999999999</v>
      </c>
      <c r="O84" s="136"/>
      <c r="P84" s="264">
        <v>-0.60899999999999999</v>
      </c>
      <c r="Q84" s="311">
        <f t="shared" si="311"/>
        <v>-9.49</v>
      </c>
      <c r="R84" s="264">
        <v>-10.099</v>
      </c>
      <c r="S84" s="136"/>
      <c r="T84" s="264">
        <v>-0.60899999999999999</v>
      </c>
      <c r="U84" s="311">
        <f t="shared" si="312"/>
        <v>-0.35199999999999998</v>
      </c>
      <c r="V84" s="264">
        <v>-0.96099999999999997</v>
      </c>
      <c r="W84" s="232"/>
      <c r="X84" s="264">
        <v>-1.387</v>
      </c>
      <c r="Y84" s="311">
        <f t="shared" si="313"/>
        <v>-0.66299999999999981</v>
      </c>
      <c r="Z84" s="264">
        <v>-2.0499999999999998</v>
      </c>
      <c r="AA84" s="232"/>
      <c r="AB84" s="264">
        <v>-1.6950000000000001</v>
      </c>
      <c r="AC84" s="311">
        <f t="shared" si="314"/>
        <v>-0.89600000000000013</v>
      </c>
      <c r="AD84" s="264">
        <v>-2.5910000000000002</v>
      </c>
      <c r="AE84" s="232"/>
      <c r="AF84" s="264">
        <v>-7.5860000000000003</v>
      </c>
      <c r="AG84" s="311">
        <f t="shared" si="315"/>
        <v>7.5860000000000003</v>
      </c>
      <c r="AH84" s="264">
        <v>0</v>
      </c>
      <c r="AI84" s="232"/>
      <c r="AJ84" s="264">
        <v>0.91300000000000003</v>
      </c>
      <c r="AK84" s="311">
        <f t="shared" si="335"/>
        <v>-0.91300000000000003</v>
      </c>
      <c r="AL84" s="264">
        <v>0</v>
      </c>
      <c r="AM84" s="566">
        <f t="shared" si="316"/>
        <v>0</v>
      </c>
      <c r="AN84" s="168">
        <v>-0.13900000000000001</v>
      </c>
      <c r="AO84" s="311">
        <f t="shared" si="336"/>
        <v>-3.8719999999999999</v>
      </c>
      <c r="AP84" s="912">
        <v>-4.0110000000000001</v>
      </c>
      <c r="AQ84" s="929">
        <f t="shared" si="337"/>
        <v>0</v>
      </c>
      <c r="AR84" s="334">
        <v>0</v>
      </c>
      <c r="AS84" s="334">
        <v>0</v>
      </c>
      <c r="AT84" s="311">
        <f t="shared" si="338"/>
        <v>0</v>
      </c>
      <c r="AU84" s="566">
        <f t="shared" si="339"/>
        <v>0</v>
      </c>
      <c r="AV84" s="334">
        <v>0</v>
      </c>
      <c r="AW84" s="334">
        <v>0</v>
      </c>
      <c r="AX84" s="311">
        <f t="shared" si="340"/>
        <v>0</v>
      </c>
      <c r="AY84" s="566">
        <f t="shared" si="341"/>
        <v>0</v>
      </c>
      <c r="AZ84" s="334">
        <v>0</v>
      </c>
      <c r="BA84" s="334">
        <v>0</v>
      </c>
      <c r="BB84" s="311">
        <f t="shared" si="342"/>
        <v>0</v>
      </c>
      <c r="BC84" s="566">
        <f t="shared" si="343"/>
        <v>0</v>
      </c>
      <c r="BD84" s="334">
        <v>0</v>
      </c>
      <c r="BE84" s="334">
        <v>0</v>
      </c>
      <c r="BF84" s="311">
        <f t="shared" si="344"/>
        <v>0</v>
      </c>
      <c r="BG84" s="566">
        <f t="shared" si="345"/>
        <v>0</v>
      </c>
      <c r="BH84" s="334">
        <v>0</v>
      </c>
      <c r="BI84" s="334">
        <v>0</v>
      </c>
      <c r="BJ84" s="311">
        <f t="shared" si="346"/>
        <v>0</v>
      </c>
      <c r="BK84" s="566">
        <f t="shared" si="347"/>
        <v>0</v>
      </c>
      <c r="BL84" s="334">
        <v>0</v>
      </c>
      <c r="BM84" s="334">
        <v>0</v>
      </c>
      <c r="BN84" s="311">
        <f t="shared" si="348"/>
        <v>0</v>
      </c>
      <c r="BO84" s="566">
        <f t="shared" si="349"/>
        <v>0</v>
      </c>
      <c r="BP84" s="334">
        <v>0</v>
      </c>
      <c r="BQ84" s="334">
        <v>0</v>
      </c>
      <c r="BR84" s="311">
        <f t="shared" si="350"/>
        <v>0</v>
      </c>
      <c r="BS84" s="566">
        <f t="shared" si="351"/>
        <v>0</v>
      </c>
      <c r="BT84" s="334">
        <v>0</v>
      </c>
      <c r="BU84" s="334">
        <v>0</v>
      </c>
      <c r="BV84" s="311">
        <f t="shared" si="332"/>
        <v>0</v>
      </c>
      <c r="BW84" s="566">
        <f t="shared" si="333"/>
        <v>0</v>
      </c>
      <c r="BX84" s="334">
        <v>0</v>
      </c>
      <c r="BY84" s="334">
        <v>0</v>
      </c>
      <c r="BZ84" s="311">
        <f t="shared" si="334"/>
        <v>0</v>
      </c>
    </row>
    <row r="85" spans="1:78">
      <c r="A85" s="693">
        <f t="shared" si="307"/>
        <v>0.87166666666666659</v>
      </c>
      <c r="B85" s="132" t="s">
        <v>174</v>
      </c>
      <c r="D85" s="264"/>
      <c r="E85" s="311">
        <f t="shared" si="308"/>
        <v>0</v>
      </c>
      <c r="F85" s="264"/>
      <c r="G85" s="136"/>
      <c r="H85" s="264"/>
      <c r="I85" s="311">
        <f t="shared" si="309"/>
        <v>0</v>
      </c>
      <c r="J85" s="264"/>
      <c r="K85" s="136"/>
      <c r="L85" s="264"/>
      <c r="M85" s="311">
        <f t="shared" si="310"/>
        <v>0</v>
      </c>
      <c r="N85" s="264"/>
      <c r="O85" s="136"/>
      <c r="P85" s="264">
        <v>0</v>
      </c>
      <c r="Q85" s="311">
        <f t="shared" si="311"/>
        <v>0</v>
      </c>
      <c r="R85" s="264"/>
      <c r="S85" s="136"/>
      <c r="T85" s="264">
        <v>0</v>
      </c>
      <c r="U85" s="311">
        <f t="shared" si="312"/>
        <v>1.7849999999999999</v>
      </c>
      <c r="V85" s="264">
        <v>1.7849999999999999</v>
      </c>
      <c r="W85" s="232"/>
      <c r="X85" s="264">
        <v>0.40200000000000002</v>
      </c>
      <c r="Y85" s="311">
        <f t="shared" si="313"/>
        <v>0.20899999999999996</v>
      </c>
      <c r="Z85" s="264">
        <v>0.61099999999999999</v>
      </c>
      <c r="AA85" s="232"/>
      <c r="AB85" s="264">
        <v>0.28299999999999997</v>
      </c>
      <c r="AC85" s="311">
        <f t="shared" si="314"/>
        <v>-6.3999999999999974E-2</v>
      </c>
      <c r="AD85" s="264">
        <v>0.219</v>
      </c>
      <c r="AE85" s="232"/>
      <c r="AF85" s="264">
        <v>0</v>
      </c>
      <c r="AG85" s="311">
        <f t="shared" si="315"/>
        <v>0.251</v>
      </c>
      <c r="AH85" s="264">
        <v>0.251</v>
      </c>
      <c r="AI85" s="232"/>
      <c r="AJ85" s="264">
        <v>6.3E-2</v>
      </c>
      <c r="AK85" s="311">
        <f t="shared" si="335"/>
        <v>0.09</v>
      </c>
      <c r="AL85" s="264">
        <v>0.153</v>
      </c>
      <c r="AM85" s="566">
        <f t="shared" si="316"/>
        <v>0</v>
      </c>
      <c r="AN85" s="168">
        <v>0</v>
      </c>
      <c r="AO85" s="311">
        <f t="shared" si="336"/>
        <v>0</v>
      </c>
      <c r="AP85" s="912">
        <v>0</v>
      </c>
      <c r="AQ85" s="929">
        <f t="shared" si="337"/>
        <v>0</v>
      </c>
      <c r="AR85" s="334">
        <v>0</v>
      </c>
      <c r="AS85" s="334">
        <v>0</v>
      </c>
      <c r="AT85" s="311">
        <f t="shared" si="338"/>
        <v>0</v>
      </c>
      <c r="AU85" s="566">
        <f t="shared" si="339"/>
        <v>0</v>
      </c>
      <c r="AV85" s="334">
        <v>0</v>
      </c>
      <c r="AW85" s="334">
        <v>0</v>
      </c>
      <c r="AX85" s="311">
        <f t="shared" si="340"/>
        <v>0</v>
      </c>
      <c r="AY85" s="566">
        <f t="shared" si="341"/>
        <v>0</v>
      </c>
      <c r="AZ85" s="334">
        <v>0</v>
      </c>
      <c r="BA85" s="334">
        <v>0</v>
      </c>
      <c r="BB85" s="311">
        <f t="shared" si="342"/>
        <v>0</v>
      </c>
      <c r="BC85" s="566">
        <f t="shared" si="343"/>
        <v>0</v>
      </c>
      <c r="BD85" s="334">
        <v>0</v>
      </c>
      <c r="BE85" s="334">
        <v>0</v>
      </c>
      <c r="BF85" s="311">
        <f t="shared" si="344"/>
        <v>0</v>
      </c>
      <c r="BG85" s="566">
        <f t="shared" si="345"/>
        <v>0</v>
      </c>
      <c r="BH85" s="334">
        <v>0</v>
      </c>
      <c r="BI85" s="334">
        <v>0</v>
      </c>
      <c r="BJ85" s="311">
        <f t="shared" si="346"/>
        <v>0</v>
      </c>
      <c r="BK85" s="566">
        <f t="shared" si="347"/>
        <v>0</v>
      </c>
      <c r="BL85" s="334">
        <v>0</v>
      </c>
      <c r="BM85" s="334">
        <v>0</v>
      </c>
      <c r="BN85" s="311">
        <f t="shared" si="348"/>
        <v>0</v>
      </c>
      <c r="BO85" s="566">
        <f t="shared" si="349"/>
        <v>0</v>
      </c>
      <c r="BP85" s="334">
        <v>0</v>
      </c>
      <c r="BQ85" s="334">
        <v>0</v>
      </c>
      <c r="BR85" s="311">
        <f t="shared" si="350"/>
        <v>0</v>
      </c>
      <c r="BS85" s="566">
        <f t="shared" si="351"/>
        <v>0</v>
      </c>
      <c r="BT85" s="334">
        <v>0</v>
      </c>
      <c r="BU85" s="334">
        <v>0</v>
      </c>
      <c r="BV85" s="311">
        <f t="shared" si="332"/>
        <v>0</v>
      </c>
      <c r="BW85" s="566">
        <f t="shared" si="333"/>
        <v>0</v>
      </c>
      <c r="BX85" s="334">
        <v>0</v>
      </c>
      <c r="BY85" s="334">
        <v>0</v>
      </c>
      <c r="BZ85" s="311">
        <f t="shared" si="334"/>
        <v>0</v>
      </c>
    </row>
    <row r="86" spans="1:78" s="135" customFormat="1">
      <c r="A86" s="693">
        <f t="shared" si="307"/>
        <v>7.5716666666666663</v>
      </c>
      <c r="B86" s="134" t="s">
        <v>615</v>
      </c>
      <c r="D86" s="343"/>
      <c r="E86" s="409">
        <f t="shared" si="308"/>
        <v>0</v>
      </c>
      <c r="F86" s="343"/>
      <c r="G86" s="232"/>
      <c r="H86" s="343"/>
      <c r="I86" s="409">
        <f t="shared" si="309"/>
        <v>0</v>
      </c>
      <c r="J86" s="343"/>
      <c r="K86" s="232"/>
      <c r="L86" s="343"/>
      <c r="M86" s="409">
        <f t="shared" si="310"/>
        <v>0</v>
      </c>
      <c r="N86" s="343"/>
      <c r="O86" s="232"/>
      <c r="P86" s="343">
        <v>1.254</v>
      </c>
      <c r="Q86" s="409">
        <f t="shared" si="311"/>
        <v>-1.254</v>
      </c>
      <c r="R86" s="343"/>
      <c r="S86" s="232"/>
      <c r="T86" s="343">
        <v>1.254</v>
      </c>
      <c r="U86" s="409">
        <f t="shared" si="312"/>
        <v>-5.2000000000000046E-2</v>
      </c>
      <c r="V86" s="343">
        <v>1.202</v>
      </c>
      <c r="W86" s="232"/>
      <c r="X86" s="343">
        <v>0.76300000000000001</v>
      </c>
      <c r="Y86" s="409">
        <f t="shared" si="313"/>
        <v>0.29399999999999993</v>
      </c>
      <c r="Z86" s="343">
        <v>1.0569999999999999</v>
      </c>
      <c r="AA86" s="232"/>
      <c r="AB86" s="343">
        <v>0.72699999999999998</v>
      </c>
      <c r="AC86" s="409">
        <f t="shared" si="314"/>
        <v>19.728999999999999</v>
      </c>
      <c r="AD86" s="343">
        <v>20.456</v>
      </c>
      <c r="AE86" s="232"/>
      <c r="AF86" s="343">
        <v>35.752000000000002</v>
      </c>
      <c r="AG86" s="409">
        <f t="shared" si="315"/>
        <v>3.6029999999999944</v>
      </c>
      <c r="AH86" s="343">
        <v>39.354999999999997</v>
      </c>
      <c r="AI86" s="232"/>
      <c r="AJ86" s="343">
        <v>17.472999999999999</v>
      </c>
      <c r="AK86" s="409">
        <f t="shared" si="335"/>
        <v>17.207000000000001</v>
      </c>
      <c r="AL86" s="343">
        <f>24.932+9.748</f>
        <v>34.68</v>
      </c>
      <c r="AM86" s="694">
        <f t="shared" si="316"/>
        <v>0</v>
      </c>
      <c r="AN86" s="313">
        <v>17.885000000000002</v>
      </c>
      <c r="AO86" s="409">
        <f t="shared" si="336"/>
        <v>13.800999999999998</v>
      </c>
      <c r="AP86" s="913">
        <f>24.061+0.795+6.83</f>
        <v>31.686</v>
      </c>
      <c r="AQ86" s="928">
        <f t="shared" si="337"/>
        <v>0</v>
      </c>
      <c r="AR86" s="434">
        <v>3</v>
      </c>
      <c r="AS86" s="434">
        <v>3</v>
      </c>
      <c r="AT86" s="409">
        <f t="shared" si="338"/>
        <v>6</v>
      </c>
      <c r="AU86" s="694">
        <f t="shared" si="339"/>
        <v>0</v>
      </c>
      <c r="AV86" s="434">
        <v>3</v>
      </c>
      <c r="AW86" s="434">
        <v>3</v>
      </c>
      <c r="AX86" s="409">
        <f t="shared" si="340"/>
        <v>6</v>
      </c>
      <c r="AY86" s="694">
        <f t="shared" si="341"/>
        <v>0</v>
      </c>
      <c r="AZ86" s="434">
        <v>3</v>
      </c>
      <c r="BA86" s="434">
        <v>3</v>
      </c>
      <c r="BB86" s="409">
        <f t="shared" si="342"/>
        <v>6</v>
      </c>
      <c r="BC86" s="694">
        <f t="shared" si="343"/>
        <v>0</v>
      </c>
      <c r="BD86" s="434">
        <v>3</v>
      </c>
      <c r="BE86" s="434">
        <v>3</v>
      </c>
      <c r="BF86" s="409">
        <f t="shared" si="344"/>
        <v>6</v>
      </c>
      <c r="BG86" s="694">
        <f t="shared" si="345"/>
        <v>0</v>
      </c>
      <c r="BH86" s="434">
        <v>3</v>
      </c>
      <c r="BI86" s="434">
        <v>3</v>
      </c>
      <c r="BJ86" s="409">
        <f t="shared" si="346"/>
        <v>6</v>
      </c>
      <c r="BK86" s="694">
        <f t="shared" si="347"/>
        <v>0</v>
      </c>
      <c r="BL86" s="434">
        <v>3</v>
      </c>
      <c r="BM86" s="434">
        <v>3</v>
      </c>
      <c r="BN86" s="409">
        <f t="shared" si="348"/>
        <v>6</v>
      </c>
      <c r="BO86" s="694">
        <f t="shared" si="349"/>
        <v>0</v>
      </c>
      <c r="BP86" s="434">
        <v>3</v>
      </c>
      <c r="BQ86" s="434">
        <v>3</v>
      </c>
      <c r="BR86" s="409">
        <f t="shared" si="350"/>
        <v>6</v>
      </c>
      <c r="BS86" s="694">
        <f t="shared" si="351"/>
        <v>0</v>
      </c>
      <c r="BT86" s="434">
        <v>3</v>
      </c>
      <c r="BU86" s="434">
        <v>3</v>
      </c>
      <c r="BV86" s="409">
        <f t="shared" si="332"/>
        <v>6</v>
      </c>
      <c r="BW86" s="694">
        <f t="shared" si="333"/>
        <v>0</v>
      </c>
      <c r="BX86" s="434">
        <v>3</v>
      </c>
      <c r="BY86" s="434">
        <v>3</v>
      </c>
      <c r="BZ86" s="409">
        <f t="shared" si="334"/>
        <v>6</v>
      </c>
    </row>
    <row r="87" spans="1:78" s="135" customFormat="1">
      <c r="A87" s="693">
        <f t="shared" si="307"/>
        <v>-1.9900000000000009</v>
      </c>
      <c r="B87" s="324" t="s">
        <v>250</v>
      </c>
      <c r="C87" s="205"/>
      <c r="D87" s="318">
        <f>SUM(D77:D86)</f>
        <v>-12.821999999999999</v>
      </c>
      <c r="E87" s="318">
        <f>SUM(E77:E86)</f>
        <v>4.3159999999999998</v>
      </c>
      <c r="F87" s="318">
        <f>SUM(F77:F86)</f>
        <v>-8.5060000000000002</v>
      </c>
      <c r="G87" s="344"/>
      <c r="H87" s="318">
        <f>SUM(H77:H86)</f>
        <v>0.182</v>
      </c>
      <c r="I87" s="318">
        <f>SUM(I77:I86)</f>
        <v>3.2570000000000019</v>
      </c>
      <c r="J87" s="318">
        <f>SUM(J77:J86)</f>
        <v>3.4390000000000014</v>
      </c>
      <c r="K87" s="344"/>
      <c r="L87" s="318">
        <f>SUM(L77:L86)</f>
        <v>-9.0490000000000013</v>
      </c>
      <c r="M87" s="318">
        <f>SUM(M77:M86)</f>
        <v>2.8830000000000009</v>
      </c>
      <c r="N87" s="318">
        <f>SUM(N77:N86)</f>
        <v>-6.1659999999999995</v>
      </c>
      <c r="O87" s="344"/>
      <c r="P87" s="318">
        <f>SUM(P77:P86)</f>
        <v>15.180000000000001</v>
      </c>
      <c r="Q87" s="318">
        <f>SUM(Q77:Q86)</f>
        <v>-10.474000000000002</v>
      </c>
      <c r="R87" s="318">
        <f>SUM(R77:R86)</f>
        <v>4.7059999999999977</v>
      </c>
      <c r="S87" s="344"/>
      <c r="T87" s="318">
        <f>SUM(T77:T86)</f>
        <v>15.180000000000001</v>
      </c>
      <c r="U87" s="318">
        <f>SUM(U77:U86)</f>
        <v>-9.0120000000000005</v>
      </c>
      <c r="V87" s="318">
        <f>SUM(V77:V86)</f>
        <v>6.1679999999999993</v>
      </c>
      <c r="W87" s="344"/>
      <c r="X87" s="318">
        <f>SUM(X77:X86)</f>
        <v>6.7659999999999991</v>
      </c>
      <c r="Y87" s="318">
        <f>SUM(Y77:Y86)</f>
        <v>-12.086000000000002</v>
      </c>
      <c r="Z87" s="318">
        <f>SUM(Z77:Z86)</f>
        <v>-5.32</v>
      </c>
      <c r="AA87" s="344"/>
      <c r="AB87" s="318">
        <f>SUM(AB77:AB86)</f>
        <v>0.93699999999999917</v>
      </c>
      <c r="AC87" s="318">
        <f>SUM(AC77:AC86)</f>
        <v>-7.754999999999999</v>
      </c>
      <c r="AD87" s="318">
        <f>SUM(AD77:AD86)</f>
        <v>-6.8180000000000014</v>
      </c>
      <c r="AE87" s="344"/>
      <c r="AF87" s="318">
        <f>SUM(AF77:AF86)</f>
        <v>44.455000000000005</v>
      </c>
      <c r="AG87" s="318">
        <f>SUM(AG77:AG86)</f>
        <v>19.518999999999991</v>
      </c>
      <c r="AH87" s="318">
        <f>SUM(AH77:AH86)</f>
        <v>63.973999999999997</v>
      </c>
      <c r="AI87" s="344"/>
      <c r="AJ87" s="318">
        <f>SUM(AJ77:AJ86)</f>
        <v>17.077999999999999</v>
      </c>
      <c r="AK87" s="318">
        <f t="shared" ref="AK87:AL87" si="352">SUM(AK77:AK86)</f>
        <v>16.864999999999995</v>
      </c>
      <c r="AL87" s="318">
        <f t="shared" si="352"/>
        <v>33.942999999999998</v>
      </c>
      <c r="AM87" s="566">
        <f t="shared" si="316"/>
        <v>0</v>
      </c>
      <c r="AN87" s="901">
        <f>SUM(AN77:AN86)</f>
        <v>52.966000000000008</v>
      </c>
      <c r="AO87" s="318">
        <f t="shared" ref="AO87" si="353">SUM(AO77:AO86)</f>
        <v>-32.801000000000002</v>
      </c>
      <c r="AP87" s="318">
        <f>SUM(AP77:AP86)</f>
        <v>20.164999999999999</v>
      </c>
      <c r="AQ87" s="929">
        <f t="shared" si="337"/>
        <v>0</v>
      </c>
      <c r="AR87" s="318">
        <f t="shared" ref="AR87:AT87" si="354">SUM(AR77:AR86)</f>
        <v>16</v>
      </c>
      <c r="AS87" s="318">
        <f t="shared" si="354"/>
        <v>16</v>
      </c>
      <c r="AT87" s="318">
        <f t="shared" si="354"/>
        <v>32</v>
      </c>
      <c r="AU87" s="566">
        <f t="shared" si="339"/>
        <v>0</v>
      </c>
      <c r="AV87" s="318">
        <f t="shared" ref="AV87:AX87" si="355">SUM(AV77:AV86)</f>
        <v>16</v>
      </c>
      <c r="AW87" s="318">
        <f t="shared" si="355"/>
        <v>16</v>
      </c>
      <c r="AX87" s="318">
        <f t="shared" si="355"/>
        <v>32</v>
      </c>
      <c r="AY87" s="566">
        <f t="shared" si="341"/>
        <v>0</v>
      </c>
      <c r="AZ87" s="318">
        <f t="shared" ref="AZ87:BB87" si="356">SUM(AZ77:AZ86)</f>
        <v>16</v>
      </c>
      <c r="BA87" s="318">
        <f t="shared" si="356"/>
        <v>16</v>
      </c>
      <c r="BB87" s="318">
        <f t="shared" si="356"/>
        <v>32</v>
      </c>
      <c r="BC87" s="566">
        <f t="shared" si="343"/>
        <v>0</v>
      </c>
      <c r="BD87" s="318">
        <f t="shared" ref="BD87:BF87" si="357">SUM(BD77:BD86)</f>
        <v>16</v>
      </c>
      <c r="BE87" s="318">
        <f t="shared" si="357"/>
        <v>16</v>
      </c>
      <c r="BF87" s="318">
        <f t="shared" si="357"/>
        <v>32</v>
      </c>
      <c r="BG87" s="566">
        <f t="shared" si="345"/>
        <v>0</v>
      </c>
      <c r="BH87" s="318">
        <f t="shared" ref="BH87:BJ87" si="358">SUM(BH77:BH86)</f>
        <v>16</v>
      </c>
      <c r="BI87" s="318">
        <f t="shared" si="358"/>
        <v>16</v>
      </c>
      <c r="BJ87" s="318">
        <f t="shared" si="358"/>
        <v>32</v>
      </c>
      <c r="BK87" s="566">
        <f t="shared" si="347"/>
        <v>0</v>
      </c>
      <c r="BL87" s="318">
        <f t="shared" ref="BL87:BN87" si="359">SUM(BL77:BL86)</f>
        <v>16</v>
      </c>
      <c r="BM87" s="318">
        <f t="shared" si="359"/>
        <v>16</v>
      </c>
      <c r="BN87" s="318">
        <f t="shared" si="359"/>
        <v>32</v>
      </c>
      <c r="BO87" s="566">
        <f t="shared" si="349"/>
        <v>0</v>
      </c>
      <c r="BP87" s="318">
        <f t="shared" ref="BP87:BR87" si="360">SUM(BP77:BP86)</f>
        <v>16</v>
      </c>
      <c r="BQ87" s="318">
        <f t="shared" si="360"/>
        <v>16</v>
      </c>
      <c r="BR87" s="318">
        <f t="shared" si="360"/>
        <v>32</v>
      </c>
      <c r="BS87" s="566">
        <f t="shared" si="351"/>
        <v>0</v>
      </c>
      <c r="BT87" s="318">
        <f t="shared" ref="BT87:BV87" si="361">SUM(BT77:BT86)</f>
        <v>16</v>
      </c>
      <c r="BU87" s="318">
        <f t="shared" si="361"/>
        <v>16</v>
      </c>
      <c r="BV87" s="318">
        <f t="shared" si="361"/>
        <v>32</v>
      </c>
      <c r="BW87" s="566">
        <f t="shared" si="333"/>
        <v>0</v>
      </c>
      <c r="BX87" s="318">
        <f t="shared" ref="BX87:BZ87" si="362">SUM(BX77:BX86)</f>
        <v>16</v>
      </c>
      <c r="BY87" s="318">
        <f t="shared" si="362"/>
        <v>16</v>
      </c>
      <c r="BZ87" s="318">
        <f t="shared" si="362"/>
        <v>32</v>
      </c>
    </row>
    <row r="88" spans="1:78" s="135" customFormat="1">
      <c r="A88" s="134"/>
      <c r="B88" s="132"/>
      <c r="D88" s="264"/>
      <c r="E88" s="311"/>
      <c r="F88" s="264"/>
      <c r="G88" s="232"/>
      <c r="H88" s="264"/>
      <c r="I88" s="311"/>
      <c r="J88" s="264"/>
      <c r="K88" s="232"/>
      <c r="L88" s="264"/>
      <c r="M88" s="311"/>
      <c r="N88" s="264"/>
      <c r="O88" s="232"/>
      <c r="P88" s="264"/>
      <c r="Q88" s="311"/>
      <c r="R88" s="264"/>
      <c r="S88" s="232"/>
      <c r="T88" s="264"/>
      <c r="U88" s="311"/>
      <c r="V88" s="264"/>
      <c r="W88" s="232"/>
      <c r="X88" s="264"/>
      <c r="Y88" s="311"/>
      <c r="Z88" s="264"/>
      <c r="AA88" s="232"/>
      <c r="AB88" s="264"/>
      <c r="AC88" s="311"/>
      <c r="AD88" s="264"/>
      <c r="AE88" s="232"/>
      <c r="AF88" s="264"/>
      <c r="AG88" s="311"/>
      <c r="AH88" s="264"/>
      <c r="AI88" s="232"/>
      <c r="AJ88" s="264"/>
      <c r="AK88" s="311"/>
      <c r="AL88" s="264"/>
      <c r="AM88" s="575"/>
      <c r="AN88" s="264"/>
      <c r="AO88" s="311"/>
      <c r="AP88" s="264"/>
      <c r="AQ88" s="575"/>
      <c r="AR88" s="264"/>
      <c r="AS88" s="311"/>
      <c r="AT88" s="264"/>
      <c r="AU88" s="575"/>
      <c r="AV88" s="264"/>
      <c r="AW88" s="311"/>
      <c r="AX88" s="264"/>
      <c r="AY88" s="575"/>
      <c r="AZ88" s="264"/>
      <c r="BA88" s="311"/>
      <c r="BB88" s="264"/>
      <c r="BC88" s="575"/>
      <c r="BD88" s="264"/>
      <c r="BE88" s="311"/>
      <c r="BF88" s="264"/>
      <c r="BG88" s="575"/>
      <c r="BH88" s="264"/>
      <c r="BI88" s="311"/>
      <c r="BJ88" s="264"/>
      <c r="BL88" s="264"/>
      <c r="BM88" s="311"/>
      <c r="BN88" s="264"/>
      <c r="BP88" s="264"/>
      <c r="BQ88" s="311"/>
      <c r="BR88" s="264"/>
      <c r="BT88" s="264"/>
      <c r="BU88" s="311"/>
      <c r="BV88" s="264"/>
      <c r="BX88" s="264"/>
      <c r="BY88" s="311"/>
      <c r="BZ88" s="264"/>
    </row>
    <row r="89" spans="1:78" s="135" customFormat="1">
      <c r="A89" s="134"/>
      <c r="B89" s="134" t="s">
        <v>175</v>
      </c>
      <c r="D89" s="232">
        <f>+D39-D87</f>
        <v>28.305999999999951</v>
      </c>
      <c r="E89" s="232">
        <f>+E39-E87</f>
        <v>26.538000000000025</v>
      </c>
      <c r="F89" s="232">
        <f>+F39-F87</f>
        <v>49.306000000000012</v>
      </c>
      <c r="G89" s="232"/>
      <c r="H89" s="232">
        <f>+H39-H87</f>
        <v>14.671000000000017</v>
      </c>
      <c r="I89" s="232">
        <f>+I39-I87</f>
        <v>25.805000000000032</v>
      </c>
      <c r="J89" s="232">
        <f>+J39-J87</f>
        <v>37.636999999999915</v>
      </c>
      <c r="K89" s="232"/>
      <c r="L89" s="232">
        <f>+L39-L87</f>
        <v>24.638000000000019</v>
      </c>
      <c r="M89" s="232">
        <f>+M39-M87</f>
        <v>28.857000000000028</v>
      </c>
      <c r="N89" s="232">
        <f>+N39-N87</f>
        <v>51.55999999999996</v>
      </c>
      <c r="O89" s="232"/>
      <c r="P89" s="232">
        <f>+P39-P87</f>
        <v>4.4590000000000227</v>
      </c>
      <c r="Q89" s="232">
        <f>+Q39-Q87</f>
        <v>41.296999999999997</v>
      </c>
      <c r="R89" s="232">
        <f>+R39-R87</f>
        <v>45.427999999999983</v>
      </c>
      <c r="S89" s="232"/>
      <c r="T89" s="232">
        <f>+T39-T87</f>
        <v>7.7430000000000323</v>
      </c>
      <c r="U89" s="232">
        <f>+U39-U87</f>
        <v>37.064000000000014</v>
      </c>
      <c r="V89" s="232">
        <f>+V39-V87</f>
        <v>44.806999999999981</v>
      </c>
      <c r="W89" s="232"/>
      <c r="X89" s="232">
        <f>+X39-X87</f>
        <v>23.300000000000004</v>
      </c>
      <c r="Y89" s="232">
        <f>+Y39-Y87</f>
        <v>47.39400000000002</v>
      </c>
      <c r="Z89" s="232">
        <f>+Z39-Z87</f>
        <v>70.694000000000074</v>
      </c>
      <c r="AA89" s="232"/>
      <c r="AB89" s="232">
        <f>+AB39-AB87</f>
        <v>29.599000000000018</v>
      </c>
      <c r="AC89" s="232">
        <f>+AC39-AC87</f>
        <v>51.257999999999996</v>
      </c>
      <c r="AD89" s="140">
        <f>+AD39-AD87</f>
        <v>80.856999999999914</v>
      </c>
      <c r="AE89" s="232"/>
      <c r="AF89" s="232">
        <f>+AF39-AF87</f>
        <v>2.2659999999999627</v>
      </c>
      <c r="AG89" s="232">
        <f>+AG39-AG87</f>
        <v>62.967000000000027</v>
      </c>
      <c r="AH89" s="140">
        <f>+AH39-AH87</f>
        <v>65.133000000000067</v>
      </c>
      <c r="AI89" s="232"/>
      <c r="AJ89" s="232">
        <f>+AJ39-AJ87</f>
        <v>53.232000000000056</v>
      </c>
      <c r="AK89" s="232">
        <f>+AK39-AK87</f>
        <v>83.822000000000031</v>
      </c>
      <c r="AL89" s="140">
        <f>+AL39-AL87</f>
        <v>137.07600000000008</v>
      </c>
      <c r="AM89" s="566">
        <f t="shared" si="316"/>
        <v>-2.199999999999136E-2</v>
      </c>
      <c r="AN89" s="232">
        <f>+AN39-AN87</f>
        <v>26.544999999999959</v>
      </c>
      <c r="AO89" s="232">
        <f t="shared" ref="AO89" si="363">+AO39-AO87</f>
        <v>153.54499999999985</v>
      </c>
      <c r="AP89" s="232">
        <f>AN89+AO89</f>
        <v>180.0899999999998</v>
      </c>
      <c r="AQ89" s="929">
        <f t="shared" ref="AQ89" si="364">AN89+AO89-AP89</f>
        <v>0</v>
      </c>
      <c r="AR89" s="232">
        <f>+AR39-AR87</f>
        <v>75.751704748675081</v>
      </c>
      <c r="AS89" s="232">
        <f>+AS39-AS87</f>
        <v>115.86775864405007</v>
      </c>
      <c r="AT89" s="232">
        <f>+AT39-AT87</f>
        <v>191.6194633927249</v>
      </c>
      <c r="AU89" s="566">
        <f t="shared" ref="AU89" si="365">AR89+AS89-AT89</f>
        <v>2.5579538487363607E-13</v>
      </c>
      <c r="AV89" s="232">
        <f>+AV39-AV87</f>
        <v>82.86952140910887</v>
      </c>
      <c r="AW89" s="232">
        <f>+AW39-AW87</f>
        <v>127.74677016070908</v>
      </c>
      <c r="AX89" s="232">
        <f>+AX39-AX87</f>
        <v>210.61629156981792</v>
      </c>
      <c r="AY89" s="566">
        <f t="shared" ref="AY89" si="366">AV89+AW89-AX89</f>
        <v>0</v>
      </c>
      <c r="AZ89" s="232">
        <f>+AZ39-AZ87</f>
        <v>91.391561675092831</v>
      </c>
      <c r="BA89" s="232">
        <f>+BA39-BA87</f>
        <v>139.11984717231823</v>
      </c>
      <c r="BB89" s="232">
        <f>+BB39-BB87</f>
        <v>230.51140884741119</v>
      </c>
      <c r="BC89" s="566">
        <f t="shared" ref="BC89" si="367">AZ89+BA89-BB89</f>
        <v>0</v>
      </c>
      <c r="BD89" s="232">
        <f>+BD39-BD87</f>
        <v>96.192927062577667</v>
      </c>
      <c r="BE89" s="232">
        <f>+BE39-BE87</f>
        <v>146.15129131732908</v>
      </c>
      <c r="BF89" s="232">
        <f>+BF39-BF87</f>
        <v>242.34421837990647</v>
      </c>
      <c r="BG89" s="566">
        <f t="shared" ref="BG89" si="368">BD89+BE89-BF89</f>
        <v>2.8421709430404007E-13</v>
      </c>
      <c r="BH89" s="232">
        <f>+BH39-BH87</f>
        <v>101.21830809386506</v>
      </c>
      <c r="BI89" s="232">
        <f>+BI39-BI87</f>
        <v>153.51445501175158</v>
      </c>
      <c r="BJ89" s="232">
        <f>+BJ39-BJ87</f>
        <v>254.73276310561658</v>
      </c>
      <c r="BK89" s="489">
        <f t="shared" ref="BK89" si="369">BH89+BI89-BJ89</f>
        <v>0</v>
      </c>
      <c r="BL89" s="232">
        <f>+BL39-BL87</f>
        <v>106.47870074991104</v>
      </c>
      <c r="BM89" s="232">
        <f>+BM39-BM87</f>
        <v>161.22564237343471</v>
      </c>
      <c r="BN89" s="232">
        <f>+BN39-BN87</f>
        <v>267.70434312334567</v>
      </c>
      <c r="BO89" s="489">
        <f t="shared" ref="BO89" si="370">BL89+BM89-BN89</f>
        <v>0</v>
      </c>
      <c r="BP89" s="232">
        <f>+BP39-BP87</f>
        <v>111.98565619840416</v>
      </c>
      <c r="BQ89" s="232">
        <f>+BQ39-BQ87</f>
        <v>169.3019773602357</v>
      </c>
      <c r="BR89" s="232">
        <f>+BR39-BR87</f>
        <v>281.28763355863987</v>
      </c>
      <c r="BS89" s="489">
        <f t="shared" ref="BS89" si="371">BP89+BQ89-BR89</f>
        <v>0</v>
      </c>
      <c r="BT89" s="232">
        <f>+BT39-BT87</f>
        <v>117.75130929751597</v>
      </c>
      <c r="BU89" s="232">
        <f>+BU39-BU87</f>
        <v>177.76144558071212</v>
      </c>
      <c r="BV89" s="232">
        <f>+BV39-BV87</f>
        <v>295.51275487822812</v>
      </c>
      <c r="BW89" s="489">
        <f t="shared" ref="BW89" si="372">BT89+BU89-BV89</f>
        <v>0</v>
      </c>
      <c r="BX89" s="232">
        <f>+BX39-BX87</f>
        <v>123.78840858012643</v>
      </c>
      <c r="BY89" s="232">
        <f>+BY39-BY87</f>
        <v>186.62293825928731</v>
      </c>
      <c r="BZ89" s="232">
        <f>+BZ39-BZ87</f>
        <v>310.41134683941328</v>
      </c>
    </row>
    <row r="90" spans="1:78">
      <c r="W90" s="232"/>
      <c r="Y90" s="279"/>
      <c r="AA90" s="232"/>
      <c r="AE90" s="232"/>
      <c r="AI90" s="232"/>
    </row>
    <row r="91" spans="1:78">
      <c r="W91" s="232"/>
      <c r="Y91" s="279"/>
      <c r="AA91" s="232"/>
      <c r="AP91" s="165"/>
    </row>
    <row r="92" spans="1:78" s="229" customFormat="1" ht="15.6">
      <c r="A92" s="228"/>
      <c r="B92" s="576" t="s">
        <v>475</v>
      </c>
    </row>
    <row r="93" spans="1:78" s="134" customFormat="1">
      <c r="B93" s="266"/>
    </row>
    <row r="94" spans="1:78" s="135" customFormat="1" outlineLevel="1">
      <c r="A94" s="134"/>
      <c r="B94" s="266" t="s">
        <v>293</v>
      </c>
      <c r="L94" s="493"/>
      <c r="M94" s="493"/>
      <c r="P94" s="493"/>
      <c r="Q94" s="493"/>
      <c r="T94" s="493"/>
      <c r="U94" s="493"/>
      <c r="X94" s="493"/>
      <c r="Y94" s="493"/>
      <c r="AB94" s="493"/>
      <c r="AC94" s="493"/>
      <c r="AF94" s="493"/>
    </row>
    <row r="95" spans="1:78" s="232" customFormat="1" outlineLevel="1">
      <c r="A95" s="151"/>
      <c r="B95" s="397" t="s">
        <v>252</v>
      </c>
      <c r="D95" s="343">
        <v>12</v>
      </c>
      <c r="E95" s="343">
        <v>27.7</v>
      </c>
      <c r="F95" s="494">
        <f>+D95+E95</f>
        <v>39.700000000000003</v>
      </c>
      <c r="G95" s="343"/>
      <c r="H95" s="343">
        <v>12.5</v>
      </c>
      <c r="I95" s="343">
        <v>28</v>
      </c>
      <c r="J95" s="494">
        <f>+H95+I95</f>
        <v>40.5</v>
      </c>
      <c r="K95" s="343"/>
      <c r="L95" s="343">
        <v>13.5</v>
      </c>
      <c r="M95" s="343">
        <v>29.5</v>
      </c>
      <c r="N95" s="494">
        <f>+L95+M95</f>
        <v>43</v>
      </c>
      <c r="O95" s="343"/>
      <c r="P95" s="343">
        <v>13.5</v>
      </c>
      <c r="Q95" s="343">
        <v>32.5</v>
      </c>
      <c r="R95" s="494">
        <f>+P95+Q95</f>
        <v>46</v>
      </c>
      <c r="S95" s="343"/>
      <c r="T95" s="343">
        <v>14.5</v>
      </c>
      <c r="U95" s="343">
        <v>35.5</v>
      </c>
      <c r="V95" s="494">
        <f>+T95+U95</f>
        <v>50</v>
      </c>
      <c r="W95" s="343"/>
      <c r="X95" s="343">
        <v>16</v>
      </c>
      <c r="Y95" s="343">
        <v>39</v>
      </c>
      <c r="Z95" s="494">
        <f>+X95+Y95</f>
        <v>55</v>
      </c>
      <c r="AA95" s="343"/>
      <c r="AB95" s="343">
        <v>17</v>
      </c>
      <c r="AC95" s="343">
        <v>39</v>
      </c>
      <c r="AD95" s="494">
        <f>+AB95+AC95</f>
        <v>56</v>
      </c>
      <c r="AE95" s="494"/>
      <c r="AF95" s="343">
        <v>17</v>
      </c>
      <c r="AG95" s="343">
        <v>47</v>
      </c>
      <c r="AH95" s="494">
        <f>+AF95+AG95</f>
        <v>64</v>
      </c>
      <c r="AI95" s="166"/>
      <c r="AJ95" s="343">
        <v>20</v>
      </c>
      <c r="AK95" s="343">
        <v>59</v>
      </c>
      <c r="AL95" s="494">
        <f>+AJ95+AK95</f>
        <v>79</v>
      </c>
      <c r="AM95" s="166"/>
      <c r="AN95" s="313">
        <v>25</v>
      </c>
      <c r="AO95" s="913">
        <f>91-AN95</f>
        <v>66</v>
      </c>
      <c r="AP95" s="494">
        <f>+AN95+AO95</f>
        <v>91</v>
      </c>
      <c r="AQ95" s="166"/>
      <c r="AR95" s="166">
        <f>ROUND(AR96/AR131*100,0)</f>
        <v>32</v>
      </c>
      <c r="AS95" s="166">
        <f>ROUND(AS96/AS131*100,0)</f>
        <v>80</v>
      </c>
      <c r="AT95" s="166">
        <f t="shared" ref="AT95:AT96" si="373">AR95+AS95</f>
        <v>112</v>
      </c>
      <c r="AU95" s="166"/>
      <c r="AV95" s="166">
        <f>ROUND(AV96/AV131*100,0)</f>
        <v>34</v>
      </c>
      <c r="AW95" s="166">
        <f>ROUND(AW96/AW131*100,0)</f>
        <v>87</v>
      </c>
      <c r="AX95" s="166">
        <f t="shared" ref="AX95:AX96" si="374">AV95+AW95</f>
        <v>121</v>
      </c>
      <c r="AY95" s="166"/>
      <c r="AZ95" s="166">
        <f>ROUND(AZ96/AZ131*100,0)</f>
        <v>37</v>
      </c>
      <c r="BA95" s="166">
        <f>ROUND(BA96/BA131*100,0)</f>
        <v>94</v>
      </c>
      <c r="BB95" s="166">
        <f t="shared" ref="BB95:BB96" si="375">AZ95+BA95</f>
        <v>131</v>
      </c>
      <c r="BC95" s="166"/>
      <c r="BD95" s="166">
        <f>ROUND(BD96/BD131*100,0)</f>
        <v>39</v>
      </c>
      <c r="BE95" s="166">
        <f>ROUND(BE96/BE131*100,0)</f>
        <v>99</v>
      </c>
      <c r="BF95" s="166">
        <f t="shared" ref="BF95:BF96" si="376">BD95+BE95</f>
        <v>138</v>
      </c>
      <c r="BG95" s="166"/>
      <c r="BH95" s="166">
        <f>ROUND(BH96/BH131*100,0)</f>
        <v>41</v>
      </c>
      <c r="BI95" s="166">
        <f>ROUND(BI96/BI131*100,0)</f>
        <v>104</v>
      </c>
      <c r="BJ95" s="166">
        <f t="shared" ref="BJ95:BJ96" si="377">BH95+BI95</f>
        <v>145</v>
      </c>
      <c r="BK95" s="166"/>
      <c r="BL95" s="166">
        <f>ROUND(BL96/BL131*100,0)</f>
        <v>43</v>
      </c>
      <c r="BM95" s="166">
        <f>ROUND(BM96/BM131*100,0)</f>
        <v>109</v>
      </c>
      <c r="BN95" s="166">
        <f t="shared" ref="BN95:BN96" si="378">BL95+BM95</f>
        <v>152</v>
      </c>
      <c r="BO95" s="166"/>
      <c r="BP95" s="166">
        <f>ROUND(BP96/BP131*100,0)</f>
        <v>45</v>
      </c>
      <c r="BQ95" s="166">
        <f>ROUND(BQ96/BQ131*100,0)</f>
        <v>114</v>
      </c>
      <c r="BR95" s="166">
        <f t="shared" ref="BR95:BR96" si="379">BP95+BQ95</f>
        <v>159</v>
      </c>
      <c r="BS95" s="166"/>
      <c r="BT95" s="166">
        <f>ROUND(BT96/BT131*100,0)</f>
        <v>47</v>
      </c>
      <c r="BU95" s="166">
        <f>ROUND(BU96/BU131*100,0)</f>
        <v>120</v>
      </c>
      <c r="BV95" s="166">
        <f t="shared" ref="BV95:BV96" si="380">BT95+BU95</f>
        <v>167</v>
      </c>
      <c r="BW95" s="166"/>
      <c r="BX95" s="166">
        <f>ROUND(BX96/BX131*100,0)</f>
        <v>49</v>
      </c>
      <c r="BY95" s="166">
        <f>ROUND(BY96/BY131*100,0)</f>
        <v>125</v>
      </c>
      <c r="BZ95" s="166">
        <f t="shared" ref="BZ95:BZ96" si="381">BX95+BY95</f>
        <v>174</v>
      </c>
    </row>
    <row r="96" spans="1:78" s="258" customFormat="1" outlineLevel="1">
      <c r="A96" s="176"/>
      <c r="B96" s="255" t="s">
        <v>294</v>
      </c>
      <c r="D96" s="499">
        <f>+D95*D131/100</f>
        <v>7.5927069599999992</v>
      </c>
      <c r="E96" s="262">
        <f>+F96-D96</f>
        <v>17.253293040000003</v>
      </c>
      <c r="F96" s="264">
        <v>24.846</v>
      </c>
      <c r="G96" s="264"/>
      <c r="H96" s="499">
        <f>+H95*H131/100</f>
        <v>7.9808095000000003</v>
      </c>
      <c r="I96" s="262">
        <f>+J96-H96</f>
        <v>17.877190500000001</v>
      </c>
      <c r="J96" s="264">
        <v>25.858000000000001</v>
      </c>
      <c r="K96" s="264"/>
      <c r="L96" s="499">
        <f>+L95*L131/100</f>
        <v>8.619274260000001</v>
      </c>
      <c r="M96" s="262">
        <f>+N96-L96</f>
        <v>18.83472574</v>
      </c>
      <c r="N96" s="264">
        <v>27.454000000000001</v>
      </c>
      <c r="O96" s="264"/>
      <c r="P96" s="264">
        <v>9.9026592299999994</v>
      </c>
      <c r="Q96" s="264">
        <v>23.895111449999998</v>
      </c>
      <c r="R96" s="258">
        <f>P96+Q96</f>
        <v>33.797770679999999</v>
      </c>
      <c r="S96" s="264"/>
      <c r="T96" s="264">
        <v>10.700546295000001</v>
      </c>
      <c r="U96" s="264">
        <v>26.206716558333333</v>
      </c>
      <c r="V96" s="258">
        <f>T96+U96</f>
        <v>36.907262853333336</v>
      </c>
      <c r="W96" s="264"/>
      <c r="X96" s="264">
        <v>11.900672159999999</v>
      </c>
      <c r="Y96" s="264">
        <v>29.018664050000002</v>
      </c>
      <c r="Z96" s="258">
        <f>X96+Y96</f>
        <v>40.919336209999997</v>
      </c>
      <c r="AA96" s="264"/>
      <c r="AB96" s="264">
        <v>12.658039690000001</v>
      </c>
      <c r="AC96" s="264">
        <v>36.132638456666669</v>
      </c>
      <c r="AD96" s="258">
        <f>AB96+AC96</f>
        <v>48.790678146666671</v>
      </c>
      <c r="AE96" s="264"/>
      <c r="AF96" s="264">
        <v>17.260188060000001</v>
      </c>
      <c r="AG96" s="264">
        <v>50.950640999999997</v>
      </c>
      <c r="AH96" s="258">
        <f>AF96+AG96</f>
        <v>68.210829059999995</v>
      </c>
      <c r="AJ96" s="264">
        <v>21.7</v>
      </c>
      <c r="AK96" s="264">
        <v>68.787000000000006</v>
      </c>
      <c r="AL96" s="258">
        <f>AJ96+AK96</f>
        <v>90.487000000000009</v>
      </c>
      <c r="AN96" s="168">
        <v>29.1</v>
      </c>
      <c r="AO96" s="912">
        <v>76.947999999999993</v>
      </c>
      <c r="AP96" s="258">
        <f>AN96+AO96</f>
        <v>106.048</v>
      </c>
      <c r="AR96" s="258">
        <f>AR39*AR97</f>
        <v>36.700681899470034</v>
      </c>
      <c r="AS96" s="258">
        <f>AS39*AS97</f>
        <v>92.307431050835049</v>
      </c>
      <c r="AT96" s="258">
        <f t="shared" si="373"/>
        <v>129.00811295030508</v>
      </c>
      <c r="AV96" s="258">
        <f>AV39*AV97</f>
        <v>39.547808563643549</v>
      </c>
      <c r="AW96" s="258">
        <f>AW39*AW97</f>
        <v>100.62273911249635</v>
      </c>
      <c r="AX96" s="258">
        <f t="shared" si="374"/>
        <v>140.1705476761399</v>
      </c>
      <c r="AZ96" s="258">
        <f>AZ39*AZ97</f>
        <v>42.956624670037137</v>
      </c>
      <c r="BA96" s="258">
        <f>BA39*BA97</f>
        <v>108.58389302062275</v>
      </c>
      <c r="BB96" s="258">
        <f t="shared" si="375"/>
        <v>151.5405176906599</v>
      </c>
      <c r="BD96" s="258">
        <f>BD39*BD97</f>
        <v>44.877170825031072</v>
      </c>
      <c r="BE96" s="258">
        <f>BE39*BE97</f>
        <v>113.50590392213034</v>
      </c>
      <c r="BF96" s="258">
        <f t="shared" si="376"/>
        <v>158.3830747471614</v>
      </c>
      <c r="BH96" s="258">
        <f>BH39*BH97</f>
        <v>46.887323237546028</v>
      </c>
      <c r="BI96" s="258">
        <f>BI39*BI97</f>
        <v>118.66011850822609</v>
      </c>
      <c r="BJ96" s="258">
        <f t="shared" si="377"/>
        <v>165.54744174577212</v>
      </c>
      <c r="BL96" s="258">
        <f>BL39*BL97</f>
        <v>48.991480299964422</v>
      </c>
      <c r="BM96" s="258">
        <f>BM39*BM97</f>
        <v>124.05794966140429</v>
      </c>
      <c r="BN96" s="258">
        <f t="shared" si="378"/>
        <v>173.04942996136873</v>
      </c>
      <c r="BP96" s="258">
        <f>BP39*BP97</f>
        <v>51.194262479361669</v>
      </c>
      <c r="BQ96" s="258">
        <f>BQ39*BQ97</f>
        <v>129.71138415216498</v>
      </c>
      <c r="BR96" s="258">
        <f t="shared" si="379"/>
        <v>180.90564663152665</v>
      </c>
      <c r="BT96" s="258">
        <f>BT39*BT97</f>
        <v>53.500523719006395</v>
      </c>
      <c r="BU96" s="258">
        <f>BU39*BU97</f>
        <v>135.63301190649847</v>
      </c>
      <c r="BV96" s="258">
        <f t="shared" si="380"/>
        <v>189.13353562550486</v>
      </c>
      <c r="BX96" s="258">
        <f>BX39*BX97</f>
        <v>55.915363432050576</v>
      </c>
      <c r="BY96" s="258">
        <f>BY39*BY97</f>
        <v>141.8360567815011</v>
      </c>
      <c r="BZ96" s="258">
        <f t="shared" si="381"/>
        <v>197.75142021355168</v>
      </c>
    </row>
    <row r="97" spans="1:78" outlineLevel="1">
      <c r="B97" s="247" t="s">
        <v>27</v>
      </c>
      <c r="D97" s="238">
        <f>D96/D39</f>
        <v>0.49035823818134994</v>
      </c>
      <c r="E97" s="238">
        <f>E96/E39</f>
        <v>0.55919145135152615</v>
      </c>
      <c r="F97" s="238">
        <f>F96/F39</f>
        <v>0.60897058823529393</v>
      </c>
      <c r="G97" s="256"/>
      <c r="H97" s="238">
        <f>H96/H39</f>
        <v>0.53731969972396088</v>
      </c>
      <c r="I97" s="238">
        <f>I96/I39</f>
        <v>0.61513971853279126</v>
      </c>
      <c r="J97" s="238">
        <f>J96/J39</f>
        <v>0.62951601908657251</v>
      </c>
      <c r="K97" s="256"/>
      <c r="L97" s="238">
        <f>L96/L39</f>
        <v>0.55290745140804365</v>
      </c>
      <c r="M97" s="238">
        <f>M96/M39</f>
        <v>0.59340660806553192</v>
      </c>
      <c r="N97" s="238">
        <f>N96/N39</f>
        <v>0.60479358505529413</v>
      </c>
      <c r="O97" s="256"/>
      <c r="P97" s="238">
        <f>P96/P39</f>
        <v>0.50423439228066536</v>
      </c>
      <c r="Q97" s="238">
        <f>Q96/Q39</f>
        <v>0.77523639652207765</v>
      </c>
      <c r="R97" s="238">
        <f>R96/R39</f>
        <v>0.67414869509713993</v>
      </c>
      <c r="S97" s="256"/>
      <c r="T97" s="238">
        <f>T96/T39</f>
        <v>0.46680392160711881</v>
      </c>
      <c r="U97" s="238">
        <f>U96/U39</f>
        <v>0.93421918431246687</v>
      </c>
      <c r="V97" s="238">
        <f>V96/V39</f>
        <v>0.72402673572012455</v>
      </c>
      <c r="W97" s="256"/>
      <c r="X97" s="238">
        <f>X96/X39</f>
        <v>0.39581827180203544</v>
      </c>
      <c r="Y97" s="238">
        <f>Y96/Y39</f>
        <v>0.82187221168007218</v>
      </c>
      <c r="Z97" s="238">
        <f>Z96/Z39</f>
        <v>0.6259267630862414</v>
      </c>
      <c r="AA97" s="256"/>
      <c r="AB97" s="238">
        <f>AB96/AB39</f>
        <v>0.41452841531307288</v>
      </c>
      <c r="AC97" s="238">
        <f>AC96/AC39</f>
        <v>0.83057808557264268</v>
      </c>
      <c r="AD97" s="238">
        <f>AD96/AD39</f>
        <v>0.6589861849385692</v>
      </c>
      <c r="AE97" s="256"/>
      <c r="AF97" s="238">
        <f>AF96/AF39</f>
        <v>0.3694310494210315</v>
      </c>
      <c r="AG97" s="238">
        <f>AG96/AG39</f>
        <v>0.61768834711344933</v>
      </c>
      <c r="AH97" s="238">
        <f>AH96/AH39</f>
        <v>0.52832789128397351</v>
      </c>
      <c r="AJ97" s="238">
        <f>AJ96/AJ39</f>
        <v>0.30863319584696319</v>
      </c>
      <c r="AK97" s="238">
        <f>AK96/AK39</f>
        <v>0.68317657691658296</v>
      </c>
      <c r="AL97" s="238">
        <f>AL96/AL39</f>
        <v>0.5291049532508082</v>
      </c>
      <c r="AN97" s="138">
        <f>AN96/AN39</f>
        <v>0.36598709612506464</v>
      </c>
      <c r="AO97" s="238">
        <f>AO96/AO39</f>
        <v>0.63728218379381241</v>
      </c>
      <c r="AP97" s="238">
        <f>AP96/AP39</f>
        <v>0.5295066333128623</v>
      </c>
      <c r="AR97" s="143">
        <v>0.4</v>
      </c>
      <c r="AS97" s="143">
        <v>0.7</v>
      </c>
      <c r="AT97" s="138">
        <f>AT96/AT39</f>
        <v>0.57690914284924522</v>
      </c>
      <c r="AV97" s="143">
        <v>0.4</v>
      </c>
      <c r="AW97" s="143">
        <v>0.7</v>
      </c>
      <c r="AX97" s="138">
        <f>AX96/AX39</f>
        <v>0.57774581735292452</v>
      </c>
      <c r="AZ97" s="143">
        <v>0.4</v>
      </c>
      <c r="BA97" s="143">
        <v>0.7</v>
      </c>
      <c r="BB97" s="138">
        <f>BB96/BB39</f>
        <v>0.57727212068998179</v>
      </c>
      <c r="BD97" s="143">
        <v>0.4</v>
      </c>
      <c r="BE97" s="143">
        <v>0.7</v>
      </c>
      <c r="BF97" s="138">
        <f>BF96/BF39</f>
        <v>0.57731515423385249</v>
      </c>
      <c r="BH97" s="143">
        <v>0.4</v>
      </c>
      <c r="BI97" s="143">
        <v>0.7</v>
      </c>
      <c r="BJ97" s="138">
        <f>BJ96/BJ39</f>
        <v>0.57735795502655396</v>
      </c>
      <c r="BL97" s="143">
        <v>0.4</v>
      </c>
      <c r="BM97" s="143">
        <v>0.7</v>
      </c>
      <c r="BN97" s="138">
        <f>BN96/BN39</f>
        <v>0.57740047460756649</v>
      </c>
      <c r="BP97" s="143">
        <v>0.4</v>
      </c>
      <c r="BQ97" s="143">
        <v>0.7</v>
      </c>
      <c r="BR97" s="138">
        <f>BR96/BR39</f>
        <v>0.57744266690841306</v>
      </c>
      <c r="BT97" s="143">
        <v>0.4</v>
      </c>
      <c r="BU97" s="143">
        <v>0.7</v>
      </c>
      <c r="BV97" s="138">
        <f>BV96/BV39</f>
        <v>0.57748448818680731</v>
      </c>
      <c r="BX97" s="143">
        <v>0.4</v>
      </c>
      <c r="BY97" s="143">
        <v>0.7</v>
      </c>
      <c r="BZ97" s="138">
        <f>BZ96/BZ39</f>
        <v>0.57752589696244694</v>
      </c>
    </row>
    <row r="98" spans="1:78" s="136" customFormat="1" outlineLevel="1">
      <c r="A98" s="150"/>
      <c r="B98" s="255" t="s">
        <v>91</v>
      </c>
      <c r="D98" s="262"/>
      <c r="E98" s="262">
        <f>D95+E95</f>
        <v>39.700000000000003</v>
      </c>
      <c r="F98" s="262">
        <f>E98</f>
        <v>39.700000000000003</v>
      </c>
      <c r="G98" s="262"/>
      <c r="H98" s="262"/>
      <c r="I98" s="262">
        <f>H95+I95</f>
        <v>40.5</v>
      </c>
      <c r="J98" s="262">
        <f>I98</f>
        <v>40.5</v>
      </c>
      <c r="K98" s="262"/>
      <c r="L98" s="262"/>
      <c r="M98" s="262">
        <f>L95+M95</f>
        <v>43</v>
      </c>
      <c r="N98" s="262">
        <f>M98</f>
        <v>43</v>
      </c>
      <c r="O98" s="262"/>
      <c r="P98" s="262">
        <f>M95+P95</f>
        <v>43</v>
      </c>
      <c r="Q98" s="262">
        <f>P95+Q95</f>
        <v>46</v>
      </c>
      <c r="R98" s="262">
        <f>Q98</f>
        <v>46</v>
      </c>
      <c r="S98" s="262"/>
      <c r="T98" s="262">
        <f>Q95+T95</f>
        <v>47</v>
      </c>
      <c r="U98" s="262">
        <f>T95+U95</f>
        <v>50</v>
      </c>
      <c r="V98" s="262">
        <f t="shared" ref="V98" si="382">U98</f>
        <v>50</v>
      </c>
      <c r="W98" s="262"/>
      <c r="X98" s="262">
        <f>U95+X95</f>
        <v>51.5</v>
      </c>
      <c r="Y98" s="262">
        <f>X95+Y95</f>
        <v>55</v>
      </c>
      <c r="Z98" s="262">
        <f t="shared" ref="Z98" si="383">Y98</f>
        <v>55</v>
      </c>
      <c r="AA98" s="262"/>
      <c r="AB98" s="262">
        <f>Y95+AB95</f>
        <v>56</v>
      </c>
      <c r="AC98" s="262">
        <f>AB95+AC95</f>
        <v>56</v>
      </c>
      <c r="AD98" s="262">
        <f t="shared" ref="AD98" si="384">AC98</f>
        <v>56</v>
      </c>
      <c r="AE98" s="262"/>
      <c r="AF98" s="262">
        <f>AC95+AF95</f>
        <v>56</v>
      </c>
      <c r="AG98" s="262">
        <f>AF95+AG95</f>
        <v>64</v>
      </c>
      <c r="AH98" s="262">
        <f t="shared" ref="AH98" si="385">AG98</f>
        <v>64</v>
      </c>
      <c r="AJ98" s="262">
        <f>AG95+AJ95</f>
        <v>67</v>
      </c>
      <c r="AK98" s="262">
        <f t="shared" ref="AK98" si="386">AJ95+AK95</f>
        <v>79</v>
      </c>
      <c r="AL98" s="262">
        <f t="shared" ref="AL98" si="387">AK98</f>
        <v>79</v>
      </c>
      <c r="AN98" s="136">
        <f t="shared" ref="AN98" si="388">AK95+AN95</f>
        <v>84</v>
      </c>
      <c r="AO98" s="262">
        <f t="shared" ref="AO98" si="389">AN95+AO95</f>
        <v>91</v>
      </c>
      <c r="AP98" s="262">
        <f t="shared" ref="AP98" si="390">AO98</f>
        <v>91</v>
      </c>
      <c r="AR98" s="262">
        <f t="shared" ref="AR98" si="391">AO95+AR95</f>
        <v>98</v>
      </c>
      <c r="AS98" s="262">
        <f t="shared" ref="AS98" si="392">AR95+AS95</f>
        <v>112</v>
      </c>
      <c r="AT98" s="262">
        <f t="shared" ref="AT98" si="393">AS98</f>
        <v>112</v>
      </c>
      <c r="AV98" s="262">
        <f t="shared" ref="AV98" si="394">AS95+AV95</f>
        <v>114</v>
      </c>
      <c r="AW98" s="262">
        <f t="shared" ref="AW98" si="395">AV95+AW95</f>
        <v>121</v>
      </c>
      <c r="AX98" s="262">
        <f t="shared" ref="AX98" si="396">AW98</f>
        <v>121</v>
      </c>
      <c r="AZ98" s="262">
        <f t="shared" ref="AZ98" si="397">AW95+AZ95</f>
        <v>124</v>
      </c>
      <c r="BA98" s="262">
        <f t="shared" ref="BA98" si="398">AZ95+BA95</f>
        <v>131</v>
      </c>
      <c r="BB98" s="262">
        <f t="shared" ref="BB98" si="399">BA98</f>
        <v>131</v>
      </c>
      <c r="BD98" s="262">
        <f t="shared" ref="BD98" si="400">BA95+BD95</f>
        <v>133</v>
      </c>
      <c r="BE98" s="262">
        <f t="shared" ref="BE98" si="401">BD95+BE95</f>
        <v>138</v>
      </c>
      <c r="BF98" s="262">
        <f t="shared" ref="BF98" si="402">BE98</f>
        <v>138</v>
      </c>
      <c r="BH98" s="262">
        <f t="shared" ref="BH98" si="403">BE95+BH95</f>
        <v>140</v>
      </c>
      <c r="BI98" s="262">
        <f t="shared" ref="BI98" si="404">BH95+BI95</f>
        <v>145</v>
      </c>
      <c r="BJ98" s="262">
        <f t="shared" ref="BJ98" si="405">BI98</f>
        <v>145</v>
      </c>
      <c r="BL98" s="262">
        <f t="shared" ref="BL98" si="406">BI95+BL95</f>
        <v>147</v>
      </c>
      <c r="BM98" s="262">
        <f t="shared" ref="BM98" si="407">BL95+BM95</f>
        <v>152</v>
      </c>
      <c r="BN98" s="262">
        <f t="shared" ref="BN98" si="408">BM98</f>
        <v>152</v>
      </c>
      <c r="BP98" s="262">
        <f t="shared" ref="BP98" si="409">BM95+BP95</f>
        <v>154</v>
      </c>
      <c r="BQ98" s="262">
        <f t="shared" ref="BQ98" si="410">BP95+BQ95</f>
        <v>159</v>
      </c>
      <c r="BR98" s="262">
        <f t="shared" ref="BR98" si="411">BQ98</f>
        <v>159</v>
      </c>
      <c r="BT98" s="262">
        <f t="shared" ref="BT98" si="412">BQ95+BT95</f>
        <v>161</v>
      </c>
      <c r="BU98" s="262">
        <f t="shared" ref="BU98" si="413">BT95+BU95</f>
        <v>167</v>
      </c>
      <c r="BV98" s="262">
        <f t="shared" ref="BV98" si="414">BU98</f>
        <v>167</v>
      </c>
      <c r="BX98" s="262">
        <f t="shared" ref="BX98" si="415">BU95+BX95</f>
        <v>169</v>
      </c>
      <c r="BY98" s="262">
        <f t="shared" ref="BY98" si="416">BX95+BY95</f>
        <v>174</v>
      </c>
      <c r="BZ98" s="262">
        <f t="shared" ref="BZ98" si="417">BY98</f>
        <v>174</v>
      </c>
    </row>
    <row r="99" spans="1:78" s="155" customFormat="1" outlineLevel="1">
      <c r="A99" s="163"/>
      <c r="B99" s="254" t="s">
        <v>90</v>
      </c>
      <c r="D99" s="238"/>
      <c r="E99" s="238">
        <f>(E98/100)/E128</f>
        <v>-1.8492414127118884E-10</v>
      </c>
      <c r="F99" s="238">
        <f>(F98/100)/F128</f>
        <v>-1.8492414127118884E-10</v>
      </c>
      <c r="G99" s="241"/>
      <c r="H99" s="138">
        <f>(H98/100)/H127</f>
        <v>0</v>
      </c>
      <c r="I99" s="138">
        <f>(I98/100)/I127</f>
        <v>-1.8865057232955034E-10</v>
      </c>
      <c r="J99" s="138">
        <f>(J98/100)/J127</f>
        <v>-1.8865057232955034E-10</v>
      </c>
      <c r="L99" s="138">
        <f>(L98/100)/L127</f>
        <v>0</v>
      </c>
      <c r="M99" s="138">
        <f>(M98/100)/M127</f>
        <v>3.2749179366493783E-2</v>
      </c>
      <c r="N99" s="138">
        <f>(N98/100)/N127</f>
        <v>3.2749179366493783E-2</v>
      </c>
      <c r="P99" s="138">
        <f>(P98/100)/P127</f>
        <v>3.5322336860090689E-2</v>
      </c>
      <c r="Q99" s="138">
        <f>(Q98/100)/Q127</f>
        <v>4.4989535042935666E-2</v>
      </c>
      <c r="R99" s="138">
        <f>(R98/100)/R127</f>
        <v>4.4989535042935666E-2</v>
      </c>
      <c r="T99" s="138">
        <f>(T98/100)/T127</f>
        <v>4.0025207364638153E-2</v>
      </c>
      <c r="U99" s="138">
        <f>(U98/100)/U127</f>
        <v>3.473018122208562E-2</v>
      </c>
      <c r="V99" s="138">
        <f>(V98/100)/V127</f>
        <v>3.473018122208562E-2</v>
      </c>
      <c r="X99" s="138">
        <f>(X98/100)/X127</f>
        <v>3.2479818365287592E-2</v>
      </c>
      <c r="Y99" s="138">
        <f>(Y98/100)/Y127</f>
        <v>2.5081972446313178E-2</v>
      </c>
      <c r="Z99" s="138">
        <f>(Z98/100)/Z127</f>
        <v>2.5081972446313178E-2</v>
      </c>
      <c r="AB99" s="138">
        <f>(AB98/100)/AB127</f>
        <v>2.2197118338387143E-2</v>
      </c>
      <c r="AC99" s="138">
        <f>(AC98/100)/AC127</f>
        <v>3.1674208144796386E-2</v>
      </c>
      <c r="AD99" s="138">
        <f>(AD98/100)/AD127</f>
        <v>3.1674208144796386E-2</v>
      </c>
      <c r="AF99" s="138">
        <f>(AF98/100)/AF127</f>
        <v>2.4855747891699958E-2</v>
      </c>
      <c r="AG99" s="138">
        <f>(AG98/100)/AG127</f>
        <v>2.1768707482993199E-2</v>
      </c>
      <c r="AH99" s="138">
        <f>(AH98/100)/AH127</f>
        <v>2.1768707482993199E-2</v>
      </c>
      <c r="AJ99" s="138">
        <f>(AJ98/100)/AJ127</f>
        <v>2.4363636363636365E-2</v>
      </c>
      <c r="AK99" s="138">
        <f>(AK98/100)/AK127</f>
        <v>2.4928999684443041E-2</v>
      </c>
      <c r="AL99" s="138">
        <f>(AL98/100)/AL127</f>
        <v>2.4928999684443041E-2</v>
      </c>
      <c r="AN99" s="138">
        <f>(AN98/100)/AN127</f>
        <v>2.6923076923076921E-2</v>
      </c>
      <c r="AO99" s="138">
        <f>(AO98/100)/AO127</f>
        <v>2.5648252536640364E-2</v>
      </c>
      <c r="AP99" s="138">
        <f>(AP98/100)/AP127</f>
        <v>2.5648252536640364E-2</v>
      </c>
      <c r="AR99" s="138">
        <f>(AR98/100)/AR127</f>
        <v>2.6206067399866084E-2</v>
      </c>
      <c r="AS99" s="138">
        <f>(AS98/100)/AS128</f>
        <v>2.9396325459317588E-2</v>
      </c>
      <c r="AT99" s="138">
        <f>(AT98/100)/AT128</f>
        <v>2.9396325459317588E-2</v>
      </c>
      <c r="AV99" s="138">
        <f>(AV98/100)/AV127</f>
        <v>2.7440966748314678E-2</v>
      </c>
      <c r="AW99" s="138">
        <f>(AW98/100)/AW128</f>
        <v>3.1758530183727034E-2</v>
      </c>
      <c r="AX99" s="138">
        <f>(AX98/100)/AX128</f>
        <v>3.1758530183727034E-2</v>
      </c>
      <c r="AZ99" s="138">
        <f>(AZ98/100)/AZ127</f>
        <v>2.6867980202515823E-2</v>
      </c>
      <c r="BA99" s="138">
        <f>(BA98/100)/BA128</f>
        <v>3.4383202099737532E-2</v>
      </c>
      <c r="BB99" s="138">
        <f>(BB98/100)/BB128</f>
        <v>3.4383202099737532E-2</v>
      </c>
      <c r="BD99" s="138">
        <f>(BD98/100)/BD127</f>
        <v>2.594082319436861E-2</v>
      </c>
      <c r="BE99" s="138">
        <f>(BE98/100)/BE128</f>
        <v>3.6220472440944874E-2</v>
      </c>
      <c r="BF99" s="138">
        <f>(BF98/100)/BF128</f>
        <v>3.6220472440944874E-2</v>
      </c>
      <c r="BH99" s="138">
        <f>(BH98/100)/BH127</f>
        <v>2.4579832929116818E-2</v>
      </c>
      <c r="BI99" s="138">
        <f>(BI98/100)/BI128</f>
        <v>3.805774278215223E-2</v>
      </c>
      <c r="BJ99" s="138">
        <f>(BJ98/100)/BJ128</f>
        <v>3.805774278215223E-2</v>
      </c>
      <c r="BL99" s="138">
        <f>(BL98/100)/BL127</f>
        <v>2.3232021661019068E-2</v>
      </c>
      <c r="BM99" s="138">
        <f>(BM98/100)/BM128</f>
        <v>3.9895013123359579E-2</v>
      </c>
      <c r="BN99" s="138">
        <f>(BN98/100)/BN128</f>
        <v>3.9895013123359579E-2</v>
      </c>
      <c r="BP99" s="138">
        <f>(BP98/100)/BP127</f>
        <v>2.1908324667915379E-2</v>
      </c>
      <c r="BQ99" s="138">
        <f>(BQ98/100)/BQ128</f>
        <v>4.1732283464566929E-2</v>
      </c>
      <c r="BR99" s="138">
        <f>(BR98/100)/BR128</f>
        <v>4.1732283464566929E-2</v>
      </c>
      <c r="BT99" s="138">
        <f>(BT98/100)/BT127</f>
        <v>2.0617362255441526E-2</v>
      </c>
      <c r="BU99" s="138">
        <f>(BU98/100)/BU128</f>
        <v>4.3832020997375327E-2</v>
      </c>
      <c r="BV99" s="138">
        <f>(BV98/100)/BV128</f>
        <v>4.3832020997375327E-2</v>
      </c>
      <c r="BX99" s="138">
        <f>(BX98/100)/BX127</f>
        <v>1.9481065589730322E-2</v>
      </c>
      <c r="BY99" s="138">
        <f>(BY98/100)/BY128</f>
        <v>4.5669291338582677E-2</v>
      </c>
      <c r="BZ99" s="138">
        <f>(BZ98/100)/BZ128</f>
        <v>4.5669291338582677E-2</v>
      </c>
    </row>
    <row r="100" spans="1:78" s="155" customFormat="1" outlineLevel="1">
      <c r="A100" s="163"/>
      <c r="B100" s="254"/>
      <c r="D100" s="238"/>
      <c r="E100" s="238"/>
      <c r="F100" s="238"/>
      <c r="G100" s="241"/>
      <c r="H100" s="238"/>
      <c r="I100" s="238"/>
      <c r="J100" s="238"/>
      <c r="K100" s="241"/>
      <c r="L100" s="238"/>
      <c r="M100" s="238"/>
      <c r="N100" s="238"/>
      <c r="O100" s="241"/>
      <c r="P100" s="238"/>
      <c r="Q100" s="238"/>
      <c r="R100" s="238"/>
      <c r="S100" s="241"/>
      <c r="T100" s="238"/>
      <c r="U100" s="238"/>
      <c r="V100" s="238"/>
      <c r="W100" s="241"/>
      <c r="X100" s="238"/>
      <c r="Y100" s="238"/>
      <c r="Z100" s="238"/>
      <c r="AA100" s="241"/>
      <c r="AB100" s="238"/>
      <c r="AC100" s="238"/>
      <c r="AD100" s="238"/>
      <c r="AF100" s="138"/>
      <c r="AG100" s="238"/>
      <c r="AH100" s="238"/>
      <c r="AJ100" s="138"/>
      <c r="AK100" s="238"/>
      <c r="AL100" s="238"/>
      <c r="AN100" s="138"/>
      <c r="AO100" s="238"/>
      <c r="AP100" s="238"/>
      <c r="AR100" s="138"/>
      <c r="AS100" s="138"/>
      <c r="AT100" s="138"/>
      <c r="AV100" s="138"/>
      <c r="AW100" s="138"/>
      <c r="AX100" s="138"/>
      <c r="AZ100" s="138"/>
      <c r="BA100" s="138"/>
      <c r="BB100" s="138"/>
      <c r="BD100" s="138"/>
      <c r="BE100" s="138"/>
      <c r="BF100" s="138"/>
      <c r="BH100" s="138"/>
      <c r="BI100" s="138"/>
      <c r="BJ100" s="138"/>
      <c r="BL100" s="138"/>
      <c r="BM100" s="138"/>
      <c r="BN100" s="138"/>
      <c r="BP100" s="138"/>
      <c r="BQ100" s="138"/>
      <c r="BR100" s="138"/>
      <c r="BT100" s="138"/>
      <c r="BU100" s="138"/>
      <c r="BV100" s="138"/>
      <c r="BX100" s="138"/>
      <c r="BY100" s="138"/>
      <c r="BZ100" s="138"/>
    </row>
    <row r="101" spans="1:78" outlineLevel="1">
      <c r="B101" s="266" t="s">
        <v>29</v>
      </c>
      <c r="D101" s="256"/>
      <c r="E101" s="256"/>
      <c r="F101" s="256"/>
      <c r="G101" s="256"/>
      <c r="H101" s="256"/>
      <c r="I101" s="256"/>
      <c r="J101" s="256"/>
      <c r="K101" s="256"/>
      <c r="L101" s="256"/>
      <c r="M101" s="256"/>
      <c r="N101" s="256"/>
      <c r="O101" s="256"/>
      <c r="P101" s="256"/>
      <c r="Q101" s="256"/>
      <c r="R101" s="256"/>
      <c r="S101" s="256"/>
      <c r="T101" s="256"/>
      <c r="U101" s="256"/>
      <c r="V101" s="256"/>
      <c r="W101" s="256"/>
      <c r="X101" s="256"/>
      <c r="Y101" s="256"/>
      <c r="Z101" s="256"/>
      <c r="AA101" s="256"/>
      <c r="AB101" s="256"/>
      <c r="AC101" s="256"/>
      <c r="AD101" s="256"/>
      <c r="AG101" s="256"/>
      <c r="AH101" s="256"/>
      <c r="AK101" s="256"/>
      <c r="AL101" s="256"/>
      <c r="AM101" s="256"/>
      <c r="AO101" s="256"/>
      <c r="AP101" s="256"/>
    </row>
    <row r="102" spans="1:78" outlineLevel="1">
      <c r="B102" s="247" t="s">
        <v>28</v>
      </c>
      <c r="D102" s="353"/>
      <c r="E102" s="353">
        <v>1</v>
      </c>
      <c r="F102" s="353">
        <v>1</v>
      </c>
      <c r="G102" s="256"/>
      <c r="H102" s="353"/>
      <c r="I102" s="353">
        <v>1</v>
      </c>
      <c r="J102" s="353">
        <v>1</v>
      </c>
      <c r="K102" s="256"/>
      <c r="L102" s="353"/>
      <c r="M102" s="353">
        <v>1</v>
      </c>
      <c r="N102" s="353">
        <v>1</v>
      </c>
      <c r="O102" s="256"/>
      <c r="P102" s="353"/>
      <c r="Q102" s="353">
        <v>1</v>
      </c>
      <c r="R102" s="353">
        <v>1</v>
      </c>
      <c r="S102" s="256"/>
      <c r="T102" s="353"/>
      <c r="U102" s="353">
        <v>1</v>
      </c>
      <c r="V102" s="353">
        <v>1</v>
      </c>
      <c r="W102" s="256"/>
      <c r="X102" s="353">
        <v>1</v>
      </c>
      <c r="Y102" s="353">
        <v>1</v>
      </c>
      <c r="Z102" s="353">
        <v>1</v>
      </c>
      <c r="AA102" s="256"/>
      <c r="AB102" s="353">
        <v>1</v>
      </c>
      <c r="AC102" s="353">
        <v>1</v>
      </c>
      <c r="AD102" s="353">
        <v>1</v>
      </c>
      <c r="AF102" s="177">
        <v>1</v>
      </c>
      <c r="AG102" s="353">
        <v>1</v>
      </c>
      <c r="AH102" s="353">
        <v>1</v>
      </c>
      <c r="AJ102" s="353">
        <v>1</v>
      </c>
      <c r="AK102" s="353">
        <v>1</v>
      </c>
      <c r="AL102" s="353">
        <v>1</v>
      </c>
      <c r="AM102" s="256"/>
      <c r="AN102" s="177">
        <v>1</v>
      </c>
      <c r="AO102" s="914">
        <v>1</v>
      </c>
      <c r="AP102" s="914">
        <v>1</v>
      </c>
      <c r="AR102" s="177"/>
      <c r="AS102" s="177"/>
      <c r="AT102" s="164"/>
      <c r="AV102" s="177"/>
      <c r="AW102" s="177"/>
      <c r="AX102" s="164"/>
      <c r="AZ102" s="177"/>
      <c r="BA102" s="177"/>
      <c r="BB102" s="164"/>
      <c r="BD102" s="177"/>
      <c r="BE102" s="177"/>
      <c r="BF102" s="164"/>
      <c r="BH102" s="177"/>
      <c r="BI102" s="177"/>
      <c r="BJ102" s="164"/>
      <c r="BL102" s="177"/>
      <c r="BM102" s="177"/>
      <c r="BN102" s="164"/>
      <c r="BP102" s="177"/>
      <c r="BQ102" s="177"/>
      <c r="BR102" s="164"/>
      <c r="BT102" s="177"/>
      <c r="BU102" s="177"/>
      <c r="BV102" s="164"/>
      <c r="BX102" s="177"/>
      <c r="BY102" s="177"/>
      <c r="BZ102" s="164"/>
    </row>
    <row r="103" spans="1:78" outlineLevel="1">
      <c r="AF103" s="378"/>
      <c r="AJ103" s="378"/>
      <c r="AK103" s="256"/>
      <c r="AL103" s="256"/>
      <c r="AM103" s="256"/>
      <c r="AN103" s="378"/>
      <c r="AO103" s="256"/>
      <c r="AP103" s="256"/>
    </row>
    <row r="104" spans="1:78" outlineLevel="1">
      <c r="B104" s="266" t="s">
        <v>474</v>
      </c>
      <c r="D104" s="353"/>
      <c r="E104" s="353"/>
      <c r="F104" s="353"/>
      <c r="G104" s="256"/>
      <c r="H104" s="353"/>
      <c r="I104" s="353"/>
      <c r="J104" s="353"/>
      <c r="K104" s="256"/>
      <c r="L104" s="353"/>
      <c r="M104" s="353"/>
      <c r="N104" s="353"/>
      <c r="O104" s="256"/>
      <c r="P104" s="353"/>
      <c r="Q104" s="353"/>
      <c r="R104" s="353"/>
      <c r="S104" s="256"/>
      <c r="T104" s="182"/>
      <c r="U104" s="182"/>
      <c r="V104" s="182"/>
      <c r="W104" s="378"/>
      <c r="X104" s="182"/>
      <c r="Y104" s="182"/>
      <c r="Z104" s="182"/>
      <c r="AA104" s="378"/>
      <c r="AB104" s="353"/>
      <c r="AC104" s="353"/>
      <c r="AD104" s="353"/>
      <c r="AF104" s="177"/>
      <c r="AG104" s="353"/>
      <c r="AH104" s="353"/>
      <c r="AJ104" s="177"/>
      <c r="AK104" s="353"/>
      <c r="AL104" s="353"/>
      <c r="AM104" s="256"/>
      <c r="AN104" s="177"/>
      <c r="AO104" s="353"/>
      <c r="AP104" s="353"/>
      <c r="AR104" s="177"/>
      <c r="AS104" s="177"/>
      <c r="AT104" s="164"/>
      <c r="AV104" s="177"/>
      <c r="AW104" s="177"/>
      <c r="AX104" s="164"/>
      <c r="AZ104" s="177"/>
      <c r="BA104" s="177"/>
      <c r="BB104" s="164"/>
      <c r="BD104" s="177"/>
      <c r="BE104" s="177"/>
      <c r="BF104" s="164"/>
      <c r="BH104" s="177"/>
      <c r="BI104" s="177"/>
      <c r="BJ104" s="164"/>
      <c r="BL104" s="177"/>
      <c r="BM104" s="177"/>
      <c r="BN104" s="164"/>
      <c r="BP104" s="177"/>
      <c r="BQ104" s="177"/>
      <c r="BR104" s="164"/>
      <c r="BT104" s="177"/>
      <c r="BU104" s="177"/>
      <c r="BV104" s="164"/>
      <c r="BX104" s="177"/>
      <c r="BY104" s="177"/>
      <c r="BZ104" s="164"/>
    </row>
    <row r="105" spans="1:78" outlineLevel="1">
      <c r="B105" s="371" t="s">
        <v>485</v>
      </c>
      <c r="D105" s="513"/>
      <c r="E105" s="513"/>
      <c r="F105" s="262"/>
      <c r="H105" s="513">
        <f>+E96</f>
        <v>17.253293040000003</v>
      </c>
      <c r="I105" s="513">
        <f>+H96</f>
        <v>7.9808095000000003</v>
      </c>
      <c r="J105" s="262">
        <f t="shared" ref="J105" si="418">+H105+I105</f>
        <v>25.234102540000002</v>
      </c>
      <c r="L105" s="513">
        <f>+I96</f>
        <v>17.877190500000001</v>
      </c>
      <c r="M105" s="513">
        <f>+L96</f>
        <v>8.619274260000001</v>
      </c>
      <c r="N105" s="262">
        <f t="shared" ref="N105" si="419">+L105+M105</f>
        <v>26.496464760000002</v>
      </c>
      <c r="P105" s="513">
        <f>+M96</f>
        <v>18.83472574</v>
      </c>
      <c r="Q105" s="513">
        <f>+P96</f>
        <v>9.9026592299999994</v>
      </c>
      <c r="R105" s="262">
        <f t="shared" ref="R105" si="420">+P105+Q105</f>
        <v>28.737384970000001</v>
      </c>
      <c r="T105" s="513">
        <f>+Q96</f>
        <v>23.895111449999998</v>
      </c>
      <c r="U105" s="513">
        <f>+T96</f>
        <v>10.700546295000001</v>
      </c>
      <c r="V105" s="262">
        <f t="shared" ref="V105" si="421">+T105+U105</f>
        <v>34.595657744999997</v>
      </c>
      <c r="X105" s="513">
        <f>+U96</f>
        <v>26.206716558333333</v>
      </c>
      <c r="Y105" s="513">
        <f>+X96</f>
        <v>11.900672159999999</v>
      </c>
      <c r="Z105" s="262">
        <f t="shared" ref="Z105" si="422">+X105+Y105</f>
        <v>38.107388718333333</v>
      </c>
      <c r="AB105" s="513">
        <f>+Y96</f>
        <v>29.018664050000002</v>
      </c>
      <c r="AC105" s="513">
        <f>+AB96</f>
        <v>12.658039690000001</v>
      </c>
      <c r="AD105" s="262">
        <f t="shared" ref="AD105" si="423">+AB105+AC105</f>
        <v>41.676703740000001</v>
      </c>
      <c r="AF105" s="513">
        <f>+AC96</f>
        <v>36.132638456666669</v>
      </c>
      <c r="AG105" s="513">
        <f>+AF96</f>
        <v>17.260188060000001</v>
      </c>
      <c r="AH105" s="262">
        <f t="shared" ref="AH105" si="424">+AF105+AG105</f>
        <v>53.392826516666673</v>
      </c>
      <c r="AJ105" s="513">
        <f>+AG96</f>
        <v>50.950640999999997</v>
      </c>
      <c r="AK105" s="513">
        <f>+AJ96</f>
        <v>21.7</v>
      </c>
      <c r="AL105" s="262">
        <f t="shared" ref="AL105" si="425">+AJ105+AK105</f>
        <v>72.650640999999993</v>
      </c>
      <c r="AN105" s="513">
        <f>+AK96</f>
        <v>68.787000000000006</v>
      </c>
      <c r="AO105" s="513">
        <f>+AN96</f>
        <v>29.1</v>
      </c>
      <c r="AP105" s="262">
        <f t="shared" ref="AP105" si="426">+AN105+AO105</f>
        <v>97.887</v>
      </c>
      <c r="AR105" s="513">
        <f t="shared" ref="AR105" si="427">+AO96</f>
        <v>76.947999999999993</v>
      </c>
      <c r="AS105" s="513">
        <f t="shared" ref="AS105" si="428">+AR96</f>
        <v>36.700681899470034</v>
      </c>
      <c r="AT105" s="262">
        <f t="shared" ref="AT105" si="429">+AR105+AS105</f>
        <v>113.64868189947003</v>
      </c>
      <c r="AV105" s="513">
        <f t="shared" ref="AV105" si="430">+AS96</f>
        <v>92.307431050835049</v>
      </c>
      <c r="AW105" s="513">
        <f t="shared" ref="AW105" si="431">+AV96</f>
        <v>39.547808563643549</v>
      </c>
      <c r="AX105" s="262">
        <f t="shared" ref="AX105" si="432">+AV105+AW105</f>
        <v>131.85523961447859</v>
      </c>
      <c r="AZ105" s="513">
        <f t="shared" ref="AZ105" si="433">+AW96</f>
        <v>100.62273911249635</v>
      </c>
      <c r="BA105" s="513">
        <f t="shared" ref="BA105" si="434">+AZ96</f>
        <v>42.956624670037137</v>
      </c>
      <c r="BB105" s="262">
        <f t="shared" ref="BB105" si="435">+AZ105+BA105</f>
        <v>143.57936378253348</v>
      </c>
      <c r="BD105" s="513">
        <f t="shared" ref="BD105" si="436">+BA96</f>
        <v>108.58389302062275</v>
      </c>
      <c r="BE105" s="513">
        <f t="shared" ref="BE105" si="437">+BD96</f>
        <v>44.877170825031072</v>
      </c>
      <c r="BF105" s="262">
        <f t="shared" ref="BF105" si="438">+BD105+BE105</f>
        <v>153.46106384565383</v>
      </c>
      <c r="BH105" s="513">
        <f t="shared" ref="BH105" si="439">+BE96</f>
        <v>113.50590392213034</v>
      </c>
      <c r="BI105" s="513">
        <f t="shared" ref="BI105" si="440">+BH96</f>
        <v>46.887323237546028</v>
      </c>
      <c r="BJ105" s="262">
        <f t="shared" ref="BJ105" si="441">+BH105+BI105</f>
        <v>160.39322715967637</v>
      </c>
      <c r="BL105" s="513">
        <f t="shared" ref="BL105" si="442">+BI96</f>
        <v>118.66011850822609</v>
      </c>
      <c r="BM105" s="513">
        <f t="shared" ref="BM105" si="443">+BL96</f>
        <v>48.991480299964422</v>
      </c>
      <c r="BN105" s="262">
        <f t="shared" ref="BN105" si="444">+BL105+BM105</f>
        <v>167.6515988081905</v>
      </c>
      <c r="BP105" s="513">
        <f t="shared" ref="BP105" si="445">+BM96</f>
        <v>124.05794966140429</v>
      </c>
      <c r="BQ105" s="513">
        <f t="shared" ref="BQ105" si="446">+BP96</f>
        <v>51.194262479361669</v>
      </c>
      <c r="BR105" s="262">
        <f t="shared" ref="BR105" si="447">+BP105+BQ105</f>
        <v>175.25221214076595</v>
      </c>
      <c r="BT105" s="513">
        <f t="shared" ref="BT105" si="448">+BQ96</f>
        <v>129.71138415216498</v>
      </c>
      <c r="BU105" s="513">
        <f t="shared" ref="BU105" si="449">+BT96</f>
        <v>53.500523719006395</v>
      </c>
      <c r="BV105" s="262">
        <f t="shared" ref="BV105" si="450">+BT105+BU105</f>
        <v>183.21190787117138</v>
      </c>
      <c r="BX105" s="513">
        <f t="shared" ref="BX105" si="451">+BU96</f>
        <v>135.63301190649847</v>
      </c>
      <c r="BY105" s="513">
        <f t="shared" ref="BY105" si="452">+BX96</f>
        <v>55.915363432050576</v>
      </c>
      <c r="BZ105" s="262">
        <f t="shared" ref="BZ105" si="453">+BX105+BY105</f>
        <v>191.54837533854905</v>
      </c>
    </row>
    <row r="106" spans="1:78" outlineLevel="1">
      <c r="B106" s="371" t="s">
        <v>306</v>
      </c>
      <c r="D106" s="138"/>
      <c r="E106" s="138"/>
      <c r="F106" s="138"/>
      <c r="H106" s="138">
        <f>+H107/H105</f>
        <v>0</v>
      </c>
      <c r="I106" s="138">
        <f>+I107/I105</f>
        <v>0</v>
      </c>
      <c r="J106" s="138">
        <f>+J107/J105</f>
        <v>0</v>
      </c>
      <c r="L106" s="138">
        <f>+L107/L105</f>
        <v>0</v>
      </c>
      <c r="M106" s="138">
        <f>+M107/M105</f>
        <v>0</v>
      </c>
      <c r="N106" s="138">
        <f>+N107/N105</f>
        <v>0</v>
      </c>
      <c r="P106" s="138">
        <f>+P107/P105</f>
        <v>0</v>
      </c>
      <c r="Q106" s="138">
        <f>+Q107/Q105</f>
        <v>0</v>
      </c>
      <c r="R106" s="138">
        <f>+R107/R105</f>
        <v>0</v>
      </c>
      <c r="T106" s="138">
        <f>+T107/T105</f>
        <v>0.13747581830173888</v>
      </c>
      <c r="U106" s="138">
        <f>+U107/U105</f>
        <v>0</v>
      </c>
      <c r="V106" s="138">
        <f>+V107/V105</f>
        <v>9.4954113149496949E-2</v>
      </c>
      <c r="X106" s="138">
        <f>+X107/X105</f>
        <v>7.574394127481035E-2</v>
      </c>
      <c r="Y106" s="138">
        <f>+Y107/Y105</f>
        <v>1.0335550660190609E-2</v>
      </c>
      <c r="Z106" s="138">
        <f>+Z107/Z105</f>
        <v>5.5317356315885496E-2</v>
      </c>
      <c r="AB106" s="138">
        <f>+AB107/AB105</f>
        <v>0</v>
      </c>
      <c r="AC106" s="138">
        <f>+AC107/AC105</f>
        <v>0</v>
      </c>
      <c r="AD106" s="138">
        <f>+AD107/AD105</f>
        <v>0</v>
      </c>
      <c r="AF106" s="138">
        <f>+AF107/AF105</f>
        <v>0</v>
      </c>
      <c r="AG106" s="138">
        <f>+AG107/AG105</f>
        <v>0</v>
      </c>
      <c r="AH106" s="138">
        <f>+AH107/AH105</f>
        <v>0</v>
      </c>
      <c r="AJ106" s="138">
        <f>+AJ107/AJ105</f>
        <v>0</v>
      </c>
      <c r="AK106" s="138">
        <f>+AK107/AK105</f>
        <v>0</v>
      </c>
      <c r="AL106" s="138">
        <f>+AL107/AL105</f>
        <v>0</v>
      </c>
      <c r="AN106" s="138">
        <f>+AN107/AN105</f>
        <v>0</v>
      </c>
      <c r="AO106" s="138">
        <f>+AO107/AO105</f>
        <v>0</v>
      </c>
      <c r="AP106" s="138">
        <f>+AP107/AP105</f>
        <v>0</v>
      </c>
      <c r="AR106" s="143">
        <v>0</v>
      </c>
      <c r="AS106" s="143">
        <v>0</v>
      </c>
      <c r="AT106" s="138">
        <f t="shared" ref="AT106" si="454">+AT107/AT105</f>
        <v>0</v>
      </c>
      <c r="AV106" s="143">
        <v>0</v>
      </c>
      <c r="AW106" s="143">
        <v>0</v>
      </c>
      <c r="AX106" s="138">
        <f t="shared" ref="AX106" si="455">+AX107/AX105</f>
        <v>0</v>
      </c>
      <c r="AZ106" s="143">
        <v>0</v>
      </c>
      <c r="BA106" s="143">
        <v>0</v>
      </c>
      <c r="BB106" s="138">
        <f t="shared" ref="BB106" si="456">+BB107/BB105</f>
        <v>0</v>
      </c>
      <c r="BD106" s="143">
        <v>0</v>
      </c>
      <c r="BE106" s="143">
        <v>0</v>
      </c>
      <c r="BF106" s="138">
        <f t="shared" ref="BF106" si="457">+BF107/BF105</f>
        <v>0</v>
      </c>
      <c r="BH106" s="143">
        <v>0</v>
      </c>
      <c r="BI106" s="143">
        <v>0</v>
      </c>
      <c r="BJ106" s="138">
        <f t="shared" ref="BJ106" si="458">+BJ107/BJ105</f>
        <v>0</v>
      </c>
      <c r="BL106" s="143">
        <v>0</v>
      </c>
      <c r="BM106" s="143">
        <v>0</v>
      </c>
      <c r="BN106" s="138">
        <f t="shared" ref="BN106" si="459">+BN107/BN105</f>
        <v>0</v>
      </c>
      <c r="BP106" s="143">
        <v>0</v>
      </c>
      <c r="BQ106" s="143">
        <v>0</v>
      </c>
      <c r="BR106" s="138">
        <f t="shared" ref="BR106" si="460">+BR107/BR105</f>
        <v>0</v>
      </c>
      <c r="BT106" s="143">
        <v>0</v>
      </c>
      <c r="BU106" s="143">
        <v>0</v>
      </c>
      <c r="BV106" s="138">
        <f t="shared" ref="BV106" si="461">+BV107/BV105</f>
        <v>0</v>
      </c>
      <c r="BX106" s="143">
        <v>0</v>
      </c>
      <c r="BY106" s="143">
        <v>0</v>
      </c>
      <c r="BZ106" s="138">
        <f t="shared" ref="BZ106" si="462">+BZ107/BZ105</f>
        <v>0</v>
      </c>
    </row>
    <row r="107" spans="1:78" s="135" customFormat="1" outlineLevel="1">
      <c r="A107" s="134"/>
      <c r="B107" s="498" t="s">
        <v>477</v>
      </c>
      <c r="D107" s="140">
        <f>+D120</f>
        <v>8.6489999999999991</v>
      </c>
      <c r="E107" s="140">
        <f>+E120</f>
        <v>4.1690000000000005</v>
      </c>
      <c r="F107" s="140">
        <f>+F120</f>
        <v>12.818</v>
      </c>
      <c r="H107" s="140">
        <f>+H120</f>
        <v>0</v>
      </c>
      <c r="I107" s="140">
        <f>+I120</f>
        <v>0</v>
      </c>
      <c r="J107" s="140">
        <f>+J120</f>
        <v>0</v>
      </c>
      <c r="L107" s="140">
        <f>+L120</f>
        <v>0</v>
      </c>
      <c r="M107" s="140">
        <f>+M120</f>
        <v>0</v>
      </c>
      <c r="N107" s="140">
        <f>+N120</f>
        <v>0</v>
      </c>
      <c r="P107" s="140">
        <f>+P120</f>
        <v>0</v>
      </c>
      <c r="Q107" s="140">
        <f>+Q120</f>
        <v>0</v>
      </c>
      <c r="R107" s="140">
        <f>+R120</f>
        <v>0</v>
      </c>
      <c r="T107" s="140">
        <f>+T120</f>
        <v>3.2850000000000001</v>
      </c>
      <c r="U107" s="140">
        <f>+U120</f>
        <v>0</v>
      </c>
      <c r="V107" s="140">
        <f>+V120</f>
        <v>3.2850000000000001</v>
      </c>
      <c r="X107" s="140">
        <f>+X120</f>
        <v>1.9850000000000001</v>
      </c>
      <c r="Y107" s="140">
        <f>+Y120</f>
        <v>0.123</v>
      </c>
      <c r="Z107" s="140">
        <f>+Z120</f>
        <v>2.1080000000000001</v>
      </c>
      <c r="AB107" s="140">
        <f>+AB120</f>
        <v>0</v>
      </c>
      <c r="AC107" s="140">
        <f>+AC120</f>
        <v>0</v>
      </c>
      <c r="AD107" s="140">
        <f>+AD120</f>
        <v>0</v>
      </c>
      <c r="AF107" s="140">
        <f>+AF120</f>
        <v>0</v>
      </c>
      <c r="AG107" s="140">
        <f>+AG120</f>
        <v>0</v>
      </c>
      <c r="AH107" s="140">
        <f>+AH120</f>
        <v>0</v>
      </c>
      <c r="AI107" s="323"/>
      <c r="AJ107" s="140">
        <f>+AJ120</f>
        <v>0</v>
      </c>
      <c r="AK107" s="140">
        <f>+AK120</f>
        <v>0</v>
      </c>
      <c r="AL107" s="140">
        <f>+AL120</f>
        <v>0</v>
      </c>
      <c r="AN107" s="140">
        <f>+AN120</f>
        <v>0</v>
      </c>
      <c r="AO107" s="140">
        <f>+AO120</f>
        <v>0</v>
      </c>
      <c r="AP107" s="140">
        <f>+AP120</f>
        <v>0</v>
      </c>
      <c r="AR107" s="232">
        <f t="shared" ref="AR107:AS107" si="463">+AR105*AR106</f>
        <v>0</v>
      </c>
      <c r="AS107" s="232">
        <f t="shared" si="463"/>
        <v>0</v>
      </c>
      <c r="AT107" s="232">
        <f t="shared" ref="AT107" si="464">+AR107+AS107</f>
        <v>0</v>
      </c>
      <c r="AV107" s="232">
        <f t="shared" ref="AV107:AW107" si="465">+AV105*AV106</f>
        <v>0</v>
      </c>
      <c r="AW107" s="232">
        <f t="shared" si="465"/>
        <v>0</v>
      </c>
      <c r="AX107" s="232">
        <f t="shared" ref="AX107" si="466">+AV107+AW107</f>
        <v>0</v>
      </c>
      <c r="AZ107" s="232">
        <f t="shared" ref="AZ107:BA107" si="467">+AZ105*AZ106</f>
        <v>0</v>
      </c>
      <c r="BA107" s="232">
        <f t="shared" si="467"/>
        <v>0</v>
      </c>
      <c r="BB107" s="232">
        <f t="shared" ref="BB107" si="468">+AZ107+BA107</f>
        <v>0</v>
      </c>
      <c r="BD107" s="232">
        <f t="shared" ref="BD107:BE107" si="469">+BD105*BD106</f>
        <v>0</v>
      </c>
      <c r="BE107" s="232">
        <f t="shared" si="469"/>
        <v>0</v>
      </c>
      <c r="BF107" s="232">
        <f t="shared" ref="BF107" si="470">+BD107+BE107</f>
        <v>0</v>
      </c>
      <c r="BH107" s="232">
        <f t="shared" ref="BH107:BI107" si="471">+BH105*BH106</f>
        <v>0</v>
      </c>
      <c r="BI107" s="232">
        <f t="shared" si="471"/>
        <v>0</v>
      </c>
      <c r="BJ107" s="232">
        <f t="shared" ref="BJ107" si="472">+BH107+BI107</f>
        <v>0</v>
      </c>
      <c r="BL107" s="232">
        <f t="shared" ref="BL107:BM107" si="473">+BL105*BL106</f>
        <v>0</v>
      </c>
      <c r="BM107" s="232">
        <f t="shared" si="473"/>
        <v>0</v>
      </c>
      <c r="BN107" s="232">
        <f t="shared" ref="BN107" si="474">+BL107+BM107</f>
        <v>0</v>
      </c>
      <c r="BP107" s="232">
        <f t="shared" ref="BP107:BQ107" si="475">+BP105*BP106</f>
        <v>0</v>
      </c>
      <c r="BQ107" s="232">
        <f t="shared" si="475"/>
        <v>0</v>
      </c>
      <c r="BR107" s="232">
        <f t="shared" ref="BR107" si="476">+BP107+BQ107</f>
        <v>0</v>
      </c>
      <c r="BT107" s="232">
        <f t="shared" ref="BT107:BU107" si="477">+BT105*BT106</f>
        <v>0</v>
      </c>
      <c r="BU107" s="232">
        <f t="shared" si="477"/>
        <v>0</v>
      </c>
      <c r="BV107" s="232">
        <f t="shared" ref="BV107" si="478">+BT107+BU107</f>
        <v>0</v>
      </c>
      <c r="BX107" s="232">
        <f t="shared" ref="BX107:BY107" si="479">+BX105*BX106</f>
        <v>0</v>
      </c>
      <c r="BY107" s="232">
        <f t="shared" si="479"/>
        <v>0</v>
      </c>
      <c r="BZ107" s="232">
        <f t="shared" ref="BZ107" si="480">+BX107+BY107</f>
        <v>0</v>
      </c>
    </row>
    <row r="108" spans="1:78" s="165" customFormat="1" outlineLevel="1">
      <c r="A108" s="303"/>
      <c r="B108" s="512" t="s">
        <v>305</v>
      </c>
      <c r="D108" s="165">
        <f>IFERROR(D107/D110,0)</f>
        <v>8.6079401256008836</v>
      </c>
      <c r="E108" s="165">
        <f>IFERROR(E107/E110,0)</f>
        <v>2.7688339151271717</v>
      </c>
      <c r="F108" s="165">
        <f>IFERROR(F107/F110,0)</f>
        <v>8.5130518407531977</v>
      </c>
      <c r="H108" s="165">
        <f>IFERROR(H107/H110,0)</f>
        <v>0</v>
      </c>
      <c r="I108" s="165">
        <f>IFERROR(I107/I110,0)</f>
        <v>0</v>
      </c>
      <c r="J108" s="165">
        <f>IFERROR(J107/J110,0)</f>
        <v>0</v>
      </c>
      <c r="L108" s="165">
        <f>IFERROR(L107/L110,0)</f>
        <v>0</v>
      </c>
      <c r="M108" s="165">
        <f>IFERROR(M107/M110,0)</f>
        <v>0</v>
      </c>
      <c r="N108" s="165">
        <f>IFERROR(N107/N110,0)</f>
        <v>0</v>
      </c>
      <c r="P108" s="165">
        <f>IFERROR(P107/P110,0)</f>
        <v>0</v>
      </c>
      <c r="Q108" s="165">
        <f>IFERROR(Q107/Q110,0)</f>
        <v>0</v>
      </c>
      <c r="R108" s="165">
        <f>IFERROR(R107/R110,0)</f>
        <v>0</v>
      </c>
      <c r="T108" s="165">
        <f>IFERROR(T107/T110,0)</f>
        <v>11.169936040640206</v>
      </c>
      <c r="U108" s="165">
        <f>IFERROR(U107/U110,0)</f>
        <v>0</v>
      </c>
      <c r="V108" s="165">
        <f>IFERROR(V107/V110,0)</f>
        <v>11.169936040640206</v>
      </c>
      <c r="X108" s="165">
        <f>IFERROR(X107/X110,0)</f>
        <v>15.051790291026556</v>
      </c>
      <c r="Y108" s="165">
        <f>IFERROR(Y107/Y110,0)</f>
        <v>17.680034497628309</v>
      </c>
      <c r="Z108" s="165">
        <f>IFERROR(Z107/Z110,0)</f>
        <v>15.183491194583501</v>
      </c>
      <c r="AB108" s="165">
        <f>IFERROR(AB107/AB110,0)</f>
        <v>0</v>
      </c>
      <c r="AC108" s="165">
        <f>IFERROR(AC107/AC110,0)</f>
        <v>0</v>
      </c>
      <c r="AD108" s="165">
        <f>IFERROR(AD107/AD110,0)</f>
        <v>0</v>
      </c>
      <c r="AF108" s="165">
        <f>IFERROR(AF107/AF110,0)</f>
        <v>0</v>
      </c>
      <c r="AG108" s="165">
        <f>IFERROR(AG107/AG110,0)</f>
        <v>0</v>
      </c>
      <c r="AH108" s="165">
        <f>IFERROR(AH107/AH110,0)</f>
        <v>0</v>
      </c>
      <c r="AJ108" s="165">
        <f>IFERROR(AJ107/AJ110,0)</f>
        <v>0</v>
      </c>
      <c r="AK108" s="165">
        <f>IFERROR(AK107/AK110,0)</f>
        <v>0</v>
      </c>
      <c r="AL108" s="165">
        <f>IFERROR(AL107/AL110,0)</f>
        <v>0</v>
      </c>
      <c r="AN108" s="165">
        <f>IFERROR(AN107/AN110,0)</f>
        <v>0</v>
      </c>
      <c r="AO108" s="165">
        <f>IFERROR(AO107/AO110,0)</f>
        <v>0</v>
      </c>
      <c r="AP108" s="165">
        <f>IFERROR(AP107/AP110,0)</f>
        <v>0</v>
      </c>
      <c r="AR108" s="165">
        <f>+AR127*(1-AR109)</f>
        <v>37.395919999999997</v>
      </c>
      <c r="AS108" s="165">
        <f>+AS127*(1-AS109)</f>
        <v>39.415299679999997</v>
      </c>
      <c r="AV108" s="165">
        <f>+AV127*(1-AV109)</f>
        <v>41.543725862719995</v>
      </c>
      <c r="AW108" s="165">
        <f>+AW127*(1-AW109)</f>
        <v>43.787087059306877</v>
      </c>
      <c r="AZ108" s="165">
        <f>+AZ127*(1-AZ109)</f>
        <v>46.151589760509452</v>
      </c>
      <c r="BA108" s="165">
        <f>+BA127*(1-BA109)</f>
        <v>48.643775607576963</v>
      </c>
      <c r="BD108" s="165">
        <f>+BD127*(1-BD109)</f>
        <v>51.27053949038612</v>
      </c>
      <c r="BE108" s="165">
        <f>+BE127*(1-BE109)</f>
        <v>54.039148622866975</v>
      </c>
      <c r="BH108" s="165">
        <f>+BH127*(1-BH109)</f>
        <v>56.957262648501796</v>
      </c>
      <c r="BI108" s="165">
        <f>+BI127*(1-BI109)</f>
        <v>60.032954831520897</v>
      </c>
      <c r="BL108" s="165">
        <f>+BL127*(1-BL109)</f>
        <v>63.274734392423028</v>
      </c>
      <c r="BM108" s="165">
        <f>+BM127*(1-BM109)</f>
        <v>66.691570049613873</v>
      </c>
      <c r="BP108" s="165">
        <f>+BP127*(1-BP109)</f>
        <v>70.292914832293022</v>
      </c>
      <c r="BQ108" s="165">
        <f>+BQ127*(1-BQ109)</f>
        <v>74.088732233236854</v>
      </c>
      <c r="BT108" s="165">
        <f>+BT127*(1-BT109)</f>
        <v>78.089523773831644</v>
      </c>
      <c r="BU108" s="165">
        <f>+BU127*(1-BU109)</f>
        <v>82.306358057618553</v>
      </c>
      <c r="BX108" s="165">
        <f>+BX127*(1-BX109)</f>
        <v>86.750901392729958</v>
      </c>
      <c r="BY108" s="165">
        <f>+BY127*(1-BY109)</f>
        <v>91.435450067937381</v>
      </c>
    </row>
    <row r="109" spans="1:78" outlineLevel="1">
      <c r="B109" s="371" t="s">
        <v>307</v>
      </c>
      <c r="D109" s="136"/>
      <c r="E109" s="136"/>
      <c r="F109" s="136"/>
      <c r="H109" s="136"/>
      <c r="I109" s="136"/>
      <c r="J109" s="136"/>
      <c r="L109" s="136"/>
      <c r="M109" s="136"/>
      <c r="N109" s="136"/>
      <c r="P109" s="136"/>
      <c r="Q109" s="136"/>
      <c r="R109" s="136"/>
      <c r="T109" s="143">
        <v>0</v>
      </c>
      <c r="U109" s="143"/>
      <c r="V109" s="136"/>
      <c r="X109" s="143">
        <v>0</v>
      </c>
      <c r="Y109" s="143">
        <v>0</v>
      </c>
      <c r="Z109" s="136"/>
      <c r="AB109" s="136"/>
      <c r="AC109" s="136"/>
      <c r="AD109" s="136"/>
      <c r="AF109" s="136"/>
      <c r="AG109" s="136"/>
      <c r="AH109" s="136"/>
      <c r="AJ109" s="136"/>
      <c r="AK109" s="136"/>
      <c r="AL109" s="136"/>
      <c r="AN109" s="136"/>
      <c r="AO109" s="136"/>
      <c r="AP109" s="136"/>
      <c r="AR109" s="143">
        <v>0</v>
      </c>
      <c r="AS109" s="143">
        <v>0</v>
      </c>
      <c r="AT109" s="164"/>
      <c r="AV109" s="143">
        <v>0</v>
      </c>
      <c r="AW109" s="143">
        <v>0</v>
      </c>
      <c r="AX109" s="164"/>
      <c r="AZ109" s="143">
        <v>0</v>
      </c>
      <c r="BA109" s="143">
        <v>0</v>
      </c>
      <c r="BB109" s="164"/>
      <c r="BD109" s="143">
        <v>0</v>
      </c>
      <c r="BE109" s="143">
        <v>0</v>
      </c>
      <c r="BF109" s="164"/>
      <c r="BH109" s="143">
        <v>0</v>
      </c>
      <c r="BI109" s="143">
        <v>0</v>
      </c>
      <c r="BJ109" s="164"/>
      <c r="BL109" s="143">
        <v>0</v>
      </c>
      <c r="BM109" s="143">
        <v>0</v>
      </c>
      <c r="BN109" s="164"/>
      <c r="BP109" s="143">
        <v>0</v>
      </c>
      <c r="BQ109" s="143">
        <v>0</v>
      </c>
      <c r="BR109" s="164"/>
      <c r="BT109" s="143">
        <v>0</v>
      </c>
      <c r="BU109" s="143">
        <v>0</v>
      </c>
      <c r="BV109" s="164"/>
      <c r="BX109" s="143">
        <v>0</v>
      </c>
      <c r="BY109" s="143">
        <v>0</v>
      </c>
      <c r="BZ109" s="164"/>
    </row>
    <row r="110" spans="1:78" s="135" customFormat="1" outlineLevel="1">
      <c r="A110" s="134"/>
      <c r="B110" s="498" t="s">
        <v>478</v>
      </c>
      <c r="D110" s="140">
        <f>+D137</f>
        <v>1.0047699999999999</v>
      </c>
      <c r="E110" s="140">
        <f>+E137</f>
        <v>1.5056879999999999</v>
      </c>
      <c r="F110" s="140">
        <f>+F137</f>
        <v>1.5056879999999999</v>
      </c>
      <c r="H110" s="140">
        <f>+H137</f>
        <v>0</v>
      </c>
      <c r="I110" s="140">
        <f>+I137</f>
        <v>0</v>
      </c>
      <c r="J110" s="140">
        <f>+J137</f>
        <v>0</v>
      </c>
      <c r="L110" s="140">
        <f>+L137</f>
        <v>0</v>
      </c>
      <c r="M110" s="140">
        <f>+M137</f>
        <v>0</v>
      </c>
      <c r="N110" s="140">
        <f>+N137</f>
        <v>0</v>
      </c>
      <c r="P110" s="140">
        <f>+P137</f>
        <v>0</v>
      </c>
      <c r="Q110" s="140">
        <f>+Q137</f>
        <v>0</v>
      </c>
      <c r="R110" s="140">
        <f>+R137</f>
        <v>0</v>
      </c>
      <c r="T110" s="140">
        <f>+T137</f>
        <v>0.29409299999999999</v>
      </c>
      <c r="U110" s="140">
        <f>+U137</f>
        <v>0</v>
      </c>
      <c r="V110" s="140">
        <f>+V137</f>
        <v>0.29409299999999999</v>
      </c>
      <c r="X110" s="140">
        <f>+X137</f>
        <v>0.131878</v>
      </c>
      <c r="Y110" s="140">
        <f>+Y137</f>
        <v>6.956999999999991E-3</v>
      </c>
      <c r="Z110" s="140">
        <f>+Z137</f>
        <v>0.13883499999999999</v>
      </c>
      <c r="AB110" s="140">
        <f>+AB137</f>
        <v>0</v>
      </c>
      <c r="AC110" s="140">
        <f>+AC137</f>
        <v>0</v>
      </c>
      <c r="AD110" s="140">
        <f>+AD137</f>
        <v>0</v>
      </c>
      <c r="AF110" s="140">
        <f>+AF137</f>
        <v>0</v>
      </c>
      <c r="AG110" s="140">
        <f>+AG137</f>
        <v>0</v>
      </c>
      <c r="AH110" s="140">
        <f>+AH137</f>
        <v>0</v>
      </c>
      <c r="AJ110" s="140">
        <f>+AJ137</f>
        <v>0</v>
      </c>
      <c r="AK110" s="140">
        <f>+AK137</f>
        <v>0</v>
      </c>
      <c r="AL110" s="140">
        <f>+AL137</f>
        <v>0</v>
      </c>
      <c r="AN110" s="140">
        <f>+AN137</f>
        <v>0</v>
      </c>
      <c r="AO110" s="140">
        <f>+AO137</f>
        <v>0</v>
      </c>
      <c r="AP110" s="140">
        <f>+AP137</f>
        <v>0</v>
      </c>
      <c r="AR110" s="494">
        <f t="shared" ref="AR110:AS110" si="481">+AR107/AR108</f>
        <v>0</v>
      </c>
      <c r="AS110" s="494">
        <f t="shared" si="481"/>
        <v>0</v>
      </c>
      <c r="AT110" s="166">
        <f t="shared" ref="AT110" si="482">+AR110+AS110</f>
        <v>0</v>
      </c>
      <c r="AV110" s="494">
        <f t="shared" ref="AV110:AW110" si="483">+AV107/AV108</f>
        <v>0</v>
      </c>
      <c r="AW110" s="494">
        <f t="shared" si="483"/>
        <v>0</v>
      </c>
      <c r="AX110" s="166">
        <f t="shared" ref="AX110" si="484">+AV110+AW110</f>
        <v>0</v>
      </c>
      <c r="AZ110" s="494">
        <f t="shared" ref="AZ110:BA110" si="485">+AZ107/AZ108</f>
        <v>0</v>
      </c>
      <c r="BA110" s="494">
        <f t="shared" si="485"/>
        <v>0</v>
      </c>
      <c r="BB110" s="166">
        <f t="shared" ref="BB110" si="486">+AZ110+BA110</f>
        <v>0</v>
      </c>
      <c r="BD110" s="494">
        <f t="shared" ref="BD110:BE110" si="487">+BD107/BD108</f>
        <v>0</v>
      </c>
      <c r="BE110" s="494">
        <f t="shared" si="487"/>
        <v>0</v>
      </c>
      <c r="BF110" s="166">
        <f t="shared" ref="BF110" si="488">+BD110+BE110</f>
        <v>0</v>
      </c>
      <c r="BH110" s="494">
        <f t="shared" ref="BH110:BI110" si="489">+BH107/BH108</f>
        <v>0</v>
      </c>
      <c r="BI110" s="494">
        <f t="shared" si="489"/>
        <v>0</v>
      </c>
      <c r="BJ110" s="166">
        <f t="shared" ref="BJ110" si="490">+BH110+BI110</f>
        <v>0</v>
      </c>
      <c r="BL110" s="494">
        <f t="shared" ref="BL110:BM110" si="491">+BL107/BL108</f>
        <v>0</v>
      </c>
      <c r="BM110" s="494">
        <f t="shared" si="491"/>
        <v>0</v>
      </c>
      <c r="BN110" s="166">
        <f t="shared" ref="BN110" si="492">+BL110+BM110</f>
        <v>0</v>
      </c>
      <c r="BP110" s="494">
        <f t="shared" ref="BP110:BQ110" si="493">+BP107/BP108</f>
        <v>0</v>
      </c>
      <c r="BQ110" s="494">
        <f t="shared" si="493"/>
        <v>0</v>
      </c>
      <c r="BR110" s="166">
        <f t="shared" ref="BR110" si="494">+BP110+BQ110</f>
        <v>0</v>
      </c>
      <c r="BT110" s="494">
        <f t="shared" ref="BT110:BU110" si="495">+BT107/BT108</f>
        <v>0</v>
      </c>
      <c r="BU110" s="494">
        <f t="shared" si="495"/>
        <v>0</v>
      </c>
      <c r="BV110" s="166">
        <f t="shared" ref="BV110" si="496">+BT110+BU110</f>
        <v>0</v>
      </c>
      <c r="BX110" s="494">
        <f t="shared" ref="BX110:BY110" si="497">+BX107/BX108</f>
        <v>0</v>
      </c>
      <c r="BY110" s="494">
        <f t="shared" si="497"/>
        <v>0</v>
      </c>
      <c r="BZ110" s="166">
        <f t="shared" ref="BZ110" si="498">+BX110+BY110</f>
        <v>0</v>
      </c>
    </row>
    <row r="111" spans="1:78" outlineLevel="1">
      <c r="B111" s="495"/>
      <c r="D111" s="177"/>
      <c r="E111" s="177"/>
      <c r="F111" s="496"/>
      <c r="H111" s="177"/>
      <c r="I111" s="177"/>
      <c r="J111" s="496"/>
      <c r="L111" s="177"/>
      <c r="M111" s="177"/>
      <c r="N111" s="496"/>
      <c r="P111" s="177"/>
      <c r="Q111" s="177"/>
      <c r="R111" s="496"/>
      <c r="T111" s="177"/>
      <c r="U111" s="177"/>
      <c r="V111" s="496"/>
      <c r="X111" s="177"/>
      <c r="Y111" s="177"/>
      <c r="Z111" s="496"/>
      <c r="AB111" s="177"/>
      <c r="AC111" s="177"/>
      <c r="AD111" s="496"/>
      <c r="AF111" s="136"/>
      <c r="AG111" s="177"/>
      <c r="AH111" s="496"/>
      <c r="AJ111" s="136"/>
      <c r="AK111" s="177"/>
      <c r="AL111" s="496"/>
      <c r="AN111" s="136"/>
      <c r="AO111" s="177"/>
      <c r="AP111" s="496"/>
      <c r="AR111" s="177"/>
      <c r="AS111" s="177"/>
      <c r="AT111" s="164"/>
      <c r="AV111" s="177"/>
      <c r="AW111" s="177"/>
      <c r="AX111" s="164"/>
      <c r="AZ111" s="177"/>
      <c r="BA111" s="177"/>
      <c r="BB111" s="164"/>
      <c r="BD111" s="177"/>
      <c r="BE111" s="177"/>
      <c r="BF111" s="164"/>
      <c r="BH111" s="177"/>
      <c r="BI111" s="177"/>
      <c r="BJ111" s="164"/>
      <c r="BL111" s="177"/>
      <c r="BM111" s="177"/>
      <c r="BN111" s="164"/>
      <c r="BP111" s="177"/>
      <c r="BQ111" s="177"/>
      <c r="BR111" s="164"/>
      <c r="BT111" s="177"/>
      <c r="BU111" s="177"/>
      <c r="BV111" s="164"/>
      <c r="BX111" s="177"/>
      <c r="BY111" s="177"/>
      <c r="BZ111" s="164"/>
    </row>
    <row r="112" spans="1:78" outlineLevel="1">
      <c r="B112" s="373" t="s">
        <v>308</v>
      </c>
      <c r="C112" s="256"/>
    </row>
    <row r="113" spans="1:78" outlineLevel="1">
      <c r="B113" s="247" t="s">
        <v>310</v>
      </c>
      <c r="C113" s="256"/>
      <c r="D113" s="497"/>
      <c r="E113" s="497"/>
      <c r="F113" s="497"/>
      <c r="H113" s="497"/>
      <c r="I113" s="497"/>
      <c r="J113" s="497"/>
      <c r="L113" s="497"/>
      <c r="M113" s="497"/>
      <c r="N113" s="497"/>
      <c r="P113" s="497">
        <f t="shared" ref="P113:R113" si="499">+P115/P114</f>
        <v>11.915353965013649</v>
      </c>
      <c r="Q113" s="497">
        <f t="shared" si="499"/>
        <v>4.6242004264391676</v>
      </c>
      <c r="R113" s="497">
        <f t="shared" si="499"/>
        <v>11.802033532091265</v>
      </c>
      <c r="T113" s="497">
        <f t="shared" ref="T113:V113" si="500">+T115/T114</f>
        <v>0</v>
      </c>
      <c r="U113" s="497">
        <f t="shared" si="500"/>
        <v>0</v>
      </c>
      <c r="V113" s="497">
        <f t="shared" si="500"/>
        <v>0</v>
      </c>
      <c r="X113" s="497">
        <f>+X115/X114</f>
        <v>13.076165631431644</v>
      </c>
      <c r="Y113" s="497">
        <f>+Y115/Y114</f>
        <v>0</v>
      </c>
      <c r="Z113" s="497">
        <f>+Z115/Z114</f>
        <v>12.567417557157764</v>
      </c>
      <c r="AB113" s="497">
        <f>+AB115/AB114</f>
        <v>0</v>
      </c>
      <c r="AC113" s="497">
        <f>+AC115/AC114</f>
        <v>19.04510784888905</v>
      </c>
      <c r="AD113" s="497">
        <f>+AD115/AD114</f>
        <v>18.986350871913931</v>
      </c>
      <c r="AF113" s="497">
        <f>+AF115/AF114</f>
        <v>19.245417804650867</v>
      </c>
      <c r="AG113" s="497">
        <f>+AG115/AG114</f>
        <v>23.508305767681705</v>
      </c>
      <c r="AH113" s="497">
        <f>+AH115/AH114</f>
        <v>21.077556119484683</v>
      </c>
      <c r="AJ113" s="497" t="str">
        <f>IFERROR(AJ115/AJ114,"")</f>
        <v/>
      </c>
      <c r="AK113" s="497">
        <f>+AK115/AK114</f>
        <v>26.914384808561522</v>
      </c>
      <c r="AL113" s="497">
        <f>+AL115/AL114</f>
        <v>26.914384808561522</v>
      </c>
      <c r="AM113" s="165"/>
      <c r="AN113" s="902">
        <f>IFERROR(AN115/AN114,"")</f>
        <v>27.32582371720498</v>
      </c>
      <c r="AO113" s="497">
        <f>+AO115/AO114</f>
        <v>0</v>
      </c>
      <c r="AP113" s="497">
        <f>+AP115/AP114</f>
        <v>27.332947597916966</v>
      </c>
      <c r="AQ113" s="165"/>
      <c r="AR113" s="545">
        <f>+AR127</f>
        <v>37.395919999999997</v>
      </c>
      <c r="AS113" s="545">
        <f>+AS127</f>
        <v>39.415299679999997</v>
      </c>
      <c r="AT113" s="165">
        <f>+AT127</f>
        <v>39.415299679999997</v>
      </c>
      <c r="AU113" s="165"/>
      <c r="AV113" s="545">
        <f>+AV127</f>
        <v>41.543725862719995</v>
      </c>
      <c r="AW113" s="545">
        <f>+AW127</f>
        <v>43.787087059306877</v>
      </c>
      <c r="AX113" s="165">
        <f>+AX127</f>
        <v>43.787087059306877</v>
      </c>
      <c r="AY113" s="165"/>
      <c r="AZ113" s="545">
        <f>+AZ127</f>
        <v>46.151589760509452</v>
      </c>
      <c r="BA113" s="545">
        <f>+BA127</f>
        <v>48.643775607576963</v>
      </c>
      <c r="BB113" s="165">
        <f>+BB127</f>
        <v>48.643775607576963</v>
      </c>
      <c r="BC113" s="165"/>
      <c r="BD113" s="545">
        <f>+BD127</f>
        <v>51.27053949038612</v>
      </c>
      <c r="BE113" s="545">
        <f>+BE127</f>
        <v>54.039148622866975</v>
      </c>
      <c r="BF113" s="165">
        <f>+BF127</f>
        <v>54.039148622866975</v>
      </c>
      <c r="BG113" s="165"/>
      <c r="BH113" s="545">
        <f>+BH127</f>
        <v>56.957262648501796</v>
      </c>
      <c r="BI113" s="545">
        <f>+BI127</f>
        <v>60.032954831520897</v>
      </c>
      <c r="BJ113" s="165">
        <f>+BJ127</f>
        <v>60.032954831520897</v>
      </c>
      <c r="BK113" s="165"/>
      <c r="BL113" s="545">
        <f>+BL127</f>
        <v>63.274734392423028</v>
      </c>
      <c r="BM113" s="545">
        <f>+BM127</f>
        <v>66.691570049613873</v>
      </c>
      <c r="BN113" s="165">
        <f>+BN127</f>
        <v>66.691570049613873</v>
      </c>
      <c r="BO113" s="165"/>
      <c r="BP113" s="269">
        <f>+BP127</f>
        <v>70.292914832293022</v>
      </c>
      <c r="BQ113" s="269">
        <f>+BQ127</f>
        <v>74.088732233236854</v>
      </c>
      <c r="BR113" s="269">
        <f>+BR127</f>
        <v>74.088732233236854</v>
      </c>
      <c r="BT113" s="269">
        <f>+BT127</f>
        <v>78.089523773831644</v>
      </c>
      <c r="BU113" s="269">
        <f>+BU127</f>
        <v>82.306358057618553</v>
      </c>
      <c r="BV113" s="269">
        <f>+BV127</f>
        <v>82.306358057618553</v>
      </c>
      <c r="BX113" s="269">
        <f>+BX127</f>
        <v>86.750901392729958</v>
      </c>
      <c r="BY113" s="269">
        <f>+BY127</f>
        <v>91.435450067937381</v>
      </c>
      <c r="BZ113" s="269">
        <f>+BZ127</f>
        <v>91.435450067937381</v>
      </c>
    </row>
    <row r="114" spans="1:78" outlineLevel="1">
      <c r="B114" s="247" t="s">
        <v>309</v>
      </c>
      <c r="C114" s="256"/>
      <c r="D114" s="241">
        <f t="shared" ref="D114:F114" si="501">+D139+D138</f>
        <v>1.1098999999995085E-2</v>
      </c>
      <c r="E114" s="241">
        <f t="shared" si="501"/>
        <v>8.4099000000001256E-2</v>
      </c>
      <c r="F114" s="241">
        <f t="shared" si="501"/>
        <v>8.4099000000001256E-2</v>
      </c>
      <c r="G114" s="473">
        <f t="shared" ref="G114:G115" si="502">+F114-E114-D114</f>
        <v>-1.1098999999995085E-2</v>
      </c>
      <c r="H114" s="241">
        <f t="shared" ref="H114:J114" si="503">+H139+H138</f>
        <v>0</v>
      </c>
      <c r="I114" s="241">
        <f t="shared" si="503"/>
        <v>0</v>
      </c>
      <c r="J114" s="241">
        <f t="shared" si="503"/>
        <v>0</v>
      </c>
      <c r="K114" s="473">
        <f t="shared" ref="K114:K115" si="504">+J114-I114-H114</f>
        <v>0</v>
      </c>
      <c r="L114" s="241">
        <f t="shared" ref="L114:N114" si="505">+L139+L138</f>
        <v>0</v>
      </c>
      <c r="M114" s="241">
        <f t="shared" si="505"/>
        <v>0</v>
      </c>
      <c r="N114" s="241">
        <f t="shared" si="505"/>
        <v>0</v>
      </c>
      <c r="O114" s="473">
        <f t="shared" ref="O114:O115" si="506">+N114-M114-L114</f>
        <v>0</v>
      </c>
      <c r="P114" s="241">
        <f t="shared" ref="P114:R114" si="507">+P139+P138</f>
        <v>9.5062220000000011</v>
      </c>
      <c r="Q114" s="241">
        <f t="shared" si="507"/>
        <v>0.15008000000000266</v>
      </c>
      <c r="R114" s="241">
        <f t="shared" si="507"/>
        <v>9.6563020000000037</v>
      </c>
      <c r="S114" s="473">
        <f t="shared" ref="S114:S115" si="508">+R114-Q114-P114</f>
        <v>0</v>
      </c>
      <c r="T114" s="241">
        <f t="shared" ref="T114:V114" si="509">+T139+T138</f>
        <v>-1.0491607582707729E-14</v>
      </c>
      <c r="U114" s="241">
        <f t="shared" si="509"/>
        <v>2.1886000000009176E-2</v>
      </c>
      <c r="V114" s="241">
        <f t="shared" si="509"/>
        <v>2.1885999999998684E-2</v>
      </c>
      <c r="W114" s="473">
        <f t="shared" ref="W114:W115" si="510">+V114-U114-T114</f>
        <v>0</v>
      </c>
      <c r="X114" s="241">
        <f>+X139+X138</f>
        <v>0.42856599999998973</v>
      </c>
      <c r="Y114" s="241">
        <f>+Y139+Y138</f>
        <v>1.734900000000994E-2</v>
      </c>
      <c r="Z114" s="241">
        <f>+Z139+Z138</f>
        <v>0.44591499999999967</v>
      </c>
      <c r="AA114" s="473">
        <f>+Z114-Y114-X114</f>
        <v>0</v>
      </c>
      <c r="AB114" s="241">
        <f>+AB139+AB138</f>
        <v>5.5549999999996658E-2</v>
      </c>
      <c r="AC114" s="241">
        <f>+AC139+AC138</f>
        <v>17.950068999999999</v>
      </c>
      <c r="AD114" s="241">
        <f>+AD139+AD138</f>
        <v>18.005618999999996</v>
      </c>
      <c r="AE114" s="473">
        <f>+AD114-AC114-AB114</f>
        <v>0</v>
      </c>
      <c r="AF114" s="241">
        <f>+AF139+AF138</f>
        <v>9.1213920000000002</v>
      </c>
      <c r="AG114" s="241">
        <f>+AG139+AG138</f>
        <v>6.8751019999999983</v>
      </c>
      <c r="AH114" s="241">
        <f>+AH139+AH138</f>
        <v>15.996493999999998</v>
      </c>
      <c r="AI114" s="473">
        <f>+AH114-AG114-AF114</f>
        <v>0</v>
      </c>
      <c r="AJ114" s="241">
        <f>+AJ139+AJ138</f>
        <v>0</v>
      </c>
      <c r="AK114" s="241">
        <f>+AK139+AK138</f>
        <v>7.2727279999999999</v>
      </c>
      <c r="AL114" s="241">
        <f>+AL139+AL138</f>
        <v>7.2727279999999999</v>
      </c>
      <c r="AM114" s="473">
        <f>+AL114-AK114-AJ114</f>
        <v>0</v>
      </c>
      <c r="AN114" s="155">
        <f>+AN139+AN138</f>
        <v>0.90932300000000055</v>
      </c>
      <c r="AO114" s="241">
        <f>+AO139+AO138</f>
        <v>-2.3699999999848842E-4</v>
      </c>
      <c r="AP114" s="241">
        <f>+AP139+AP138</f>
        <v>0.90908600000000206</v>
      </c>
      <c r="AQ114" s="473">
        <f t="shared" ref="AQ114:AQ115" si="511">+AP114-AO114-AN114</f>
        <v>0</v>
      </c>
      <c r="AR114" s="218">
        <f t="shared" ref="AR114:AS114" si="512">+AR115/AR113</f>
        <v>-0.27855411766845156</v>
      </c>
      <c r="AS114" s="218">
        <f t="shared" si="512"/>
        <v>-0.26248500161092775</v>
      </c>
      <c r="AT114" s="161">
        <f t="shared" ref="AT114:AT115" si="513">+AR114+AS114</f>
        <v>-0.54103911927937931</v>
      </c>
      <c r="AU114" s="473">
        <f t="shared" ref="AU114:AU115" si="514">+AT114-AS114-AR114</f>
        <v>0</v>
      </c>
      <c r="AV114" s="218">
        <f t="shared" ref="AV114:AW114" si="515">+AV115/AV113</f>
        <v>-0.25401774349444622</v>
      </c>
      <c r="AW114" s="218">
        <f t="shared" si="515"/>
        <v>-0.24100355170251064</v>
      </c>
      <c r="AX114" s="161">
        <f t="shared" ref="AX114:AX115" si="516">+AV114+AW114</f>
        <v>-0.49502129519695687</v>
      </c>
      <c r="AY114" s="473">
        <f t="shared" ref="AY114:AY115" si="517">+AX114-AW114-AV114</f>
        <v>0</v>
      </c>
      <c r="AZ114" s="218">
        <f t="shared" ref="AZ114:BA114" si="518">+AZ115/AZ113</f>
        <v>-0.23322924358307481</v>
      </c>
      <c r="BA114" s="218">
        <f t="shared" si="518"/>
        <v>-0.22128011725149413</v>
      </c>
      <c r="BB114" s="161">
        <f t="shared" ref="BB114:BB115" si="519">+AZ114+BA114</f>
        <v>-0.45450936083456894</v>
      </c>
      <c r="BC114" s="473">
        <f t="shared" ref="BC114:BC115" si="520">+BB114-BA114-AZ114</f>
        <v>0</v>
      </c>
      <c r="BD114" s="218">
        <f t="shared" ref="BD114:BE114" si="521">+BD115/BD113</f>
        <v>-0.21414204895305883</v>
      </c>
      <c r="BE114" s="218">
        <f t="shared" si="521"/>
        <v>-0.20317082443364212</v>
      </c>
      <c r="BF114" s="161">
        <f t="shared" ref="BF114:BF115" si="522">+BD114+BE114</f>
        <v>-0.41731287338670098</v>
      </c>
      <c r="BG114" s="473">
        <f t="shared" ref="BG114:BG115" si="523">+BF114-BE114-BD114</f>
        <v>0</v>
      </c>
      <c r="BH114" s="218">
        <f t="shared" ref="BH114:BI114" si="524">+BH115/BH113</f>
        <v>-0.19661692687126656</v>
      </c>
      <c r="BI114" s="218">
        <f t="shared" si="524"/>
        <v>-0.18654357388165707</v>
      </c>
      <c r="BJ114" s="161">
        <f t="shared" ref="BJ114:BJ115" si="525">+BH114+BI114</f>
        <v>-0.38316050075292363</v>
      </c>
      <c r="BK114" s="473">
        <f t="shared" ref="BK114:BK115" si="526">+BJ114-BI114-BH114</f>
        <v>0</v>
      </c>
      <c r="BL114" s="218">
        <f t="shared" ref="BL114:BM114" si="527">+BL115/BL113</f>
        <v>-0.1805260392403133</v>
      </c>
      <c r="BM114" s="218">
        <f t="shared" si="527"/>
        <v>-0.17127707707809608</v>
      </c>
      <c r="BN114" s="161">
        <f t="shared" ref="BN114:BN115" si="528">+BL114+BM114</f>
        <v>-0.35180311631840938</v>
      </c>
      <c r="BO114" s="473">
        <f t="shared" ref="BO114:BO115" si="529">+BN114-BM114-BL114</f>
        <v>0</v>
      </c>
      <c r="BP114" s="218">
        <f t="shared" ref="BP114:BQ114" si="530">+BP115/BP113</f>
        <v>-0.16575201007557688</v>
      </c>
      <c r="BQ114" s="218">
        <f t="shared" si="530"/>
        <v>-0.15725997160870669</v>
      </c>
      <c r="BR114" s="161">
        <f t="shared" ref="BR114:BR115" si="531">+BP114+BQ114</f>
        <v>-0.32301198168428358</v>
      </c>
      <c r="BS114" s="473">
        <f t="shared" ref="BS114:BS115" si="532">+BR114-BQ114-BP114</f>
        <v>0</v>
      </c>
      <c r="BT114" s="218">
        <f t="shared" ref="BT114:BU114" si="533">+BT115/BT113</f>
        <v>-0.15218706929874842</v>
      </c>
      <c r="BU114" s="218">
        <f t="shared" si="533"/>
        <v>-0.14439000882234196</v>
      </c>
      <c r="BV114" s="161">
        <f t="shared" ref="BV114:BV115" si="534">+BT114+BU114</f>
        <v>-0.29657707812109035</v>
      </c>
      <c r="BW114" s="473">
        <f t="shared" ref="BW114:BW115" si="535">+BV114-BU114-BT114</f>
        <v>0</v>
      </c>
      <c r="BX114" s="218">
        <f t="shared" ref="BX114:BY114" si="536">+BX115/BX113</f>
        <v>-0.1397322666022664</v>
      </c>
      <c r="BY114" s="218">
        <f t="shared" si="536"/>
        <v>-0.13257330797178973</v>
      </c>
      <c r="BZ114" s="161">
        <f t="shared" ref="BZ114:BZ115" si="537">+BX114+BY114</f>
        <v>-0.27230557457405613</v>
      </c>
    </row>
    <row r="115" spans="1:78" s="135" customFormat="1" outlineLevel="1">
      <c r="A115" s="134"/>
      <c r="B115" s="266" t="s">
        <v>311</v>
      </c>
      <c r="C115" s="299"/>
      <c r="D115" s="648">
        <f t="shared" ref="D115:F115" si="538">+D119</f>
        <v>0</v>
      </c>
      <c r="E115" s="648">
        <f t="shared" si="538"/>
        <v>0</v>
      </c>
      <c r="F115" s="648">
        <f t="shared" si="538"/>
        <v>0</v>
      </c>
      <c r="G115" s="649">
        <f t="shared" si="502"/>
        <v>0</v>
      </c>
      <c r="H115" s="648">
        <f t="shared" ref="H115:J115" si="539">+H119</f>
        <v>0</v>
      </c>
      <c r="I115" s="648">
        <f t="shared" si="539"/>
        <v>0</v>
      </c>
      <c r="J115" s="648">
        <f t="shared" si="539"/>
        <v>0</v>
      </c>
      <c r="K115" s="649">
        <f t="shared" si="504"/>
        <v>0</v>
      </c>
      <c r="L115" s="648">
        <f t="shared" ref="L115:N115" si="540">+L119</f>
        <v>0</v>
      </c>
      <c r="M115" s="648">
        <f t="shared" si="540"/>
        <v>0</v>
      </c>
      <c r="N115" s="648">
        <f t="shared" si="540"/>
        <v>0</v>
      </c>
      <c r="O115" s="649">
        <f t="shared" si="506"/>
        <v>0</v>
      </c>
      <c r="P115" s="648">
        <f t="shared" ref="P115:R115" si="541">+P119</f>
        <v>113.27</v>
      </c>
      <c r="Q115" s="648">
        <f t="shared" si="541"/>
        <v>0.69400000000000261</v>
      </c>
      <c r="R115" s="648">
        <f t="shared" si="541"/>
        <v>113.964</v>
      </c>
      <c r="S115" s="649">
        <f t="shared" si="508"/>
        <v>0</v>
      </c>
      <c r="T115" s="648">
        <f t="shared" ref="T115:V115" si="542">+T119</f>
        <v>0</v>
      </c>
      <c r="U115" s="648">
        <f t="shared" si="542"/>
        <v>0</v>
      </c>
      <c r="V115" s="648">
        <f t="shared" si="542"/>
        <v>0</v>
      </c>
      <c r="W115" s="649">
        <f t="shared" si="510"/>
        <v>0</v>
      </c>
      <c r="X115" s="648">
        <f>+X119</f>
        <v>5.6040000000000001</v>
      </c>
      <c r="Y115" s="648">
        <f>+Y119</f>
        <v>0</v>
      </c>
      <c r="Z115" s="648">
        <f>+Z119</f>
        <v>5.6040000000000001</v>
      </c>
      <c r="AA115" s="649">
        <f>+Z115-Y115-X115</f>
        <v>0</v>
      </c>
      <c r="AB115" s="648">
        <f>+AB119</f>
        <v>0</v>
      </c>
      <c r="AC115" s="648">
        <f>+AC119</f>
        <v>341.86099999999999</v>
      </c>
      <c r="AD115" s="648">
        <f>+AD119</f>
        <v>341.86099999999999</v>
      </c>
      <c r="AE115" s="649">
        <f>+AD115-AC115-AB115</f>
        <v>0</v>
      </c>
      <c r="AF115" s="648">
        <f>+AF119</f>
        <v>175.54499999999999</v>
      </c>
      <c r="AG115" s="648">
        <f>+AG119</f>
        <v>161.62199999999999</v>
      </c>
      <c r="AH115" s="648">
        <f>+AH119</f>
        <v>337.16699999999997</v>
      </c>
      <c r="AI115" s="649">
        <f>+AH115-AG115-AF115</f>
        <v>0</v>
      </c>
      <c r="AJ115" s="648">
        <f>+AJ119</f>
        <v>0</v>
      </c>
      <c r="AK115" s="648">
        <f>+AK119</f>
        <v>195.74100000000001</v>
      </c>
      <c r="AL115" s="648">
        <f>+AL119</f>
        <v>195.74100000000001</v>
      </c>
      <c r="AM115" s="649">
        <f>+AL115-AK115-AJ115</f>
        <v>0</v>
      </c>
      <c r="AN115" s="415">
        <f>+AN119</f>
        <v>24.847999999999999</v>
      </c>
      <c r="AO115" s="648">
        <f>+AO119</f>
        <v>0</v>
      </c>
      <c r="AP115" s="648">
        <f>+AP119</f>
        <v>24.847999999999999</v>
      </c>
      <c r="AQ115" s="649">
        <f t="shared" si="511"/>
        <v>0</v>
      </c>
      <c r="AR115" s="648">
        <f t="shared" ref="AR115:AS115" si="543">+AR119</f>
        <v>-10.4167875</v>
      </c>
      <c r="AS115" s="648">
        <f t="shared" si="543"/>
        <v>-10.345924999999999</v>
      </c>
      <c r="AT115" s="140">
        <f t="shared" si="513"/>
        <v>-20.762712499999999</v>
      </c>
      <c r="AU115" s="649">
        <f t="shared" si="514"/>
        <v>0</v>
      </c>
      <c r="AV115" s="648">
        <f t="shared" ref="AV115:AW115" si="544">+AV119</f>
        <v>-10.5528435</v>
      </c>
      <c r="AW115" s="648">
        <f t="shared" si="544"/>
        <v>-10.5528435</v>
      </c>
      <c r="AX115" s="140">
        <f t="shared" si="516"/>
        <v>-21.105687</v>
      </c>
      <c r="AY115" s="649">
        <f t="shared" si="517"/>
        <v>0</v>
      </c>
      <c r="AZ115" s="648">
        <f t="shared" ref="AZ115:BA115" si="545">+AZ119</f>
        <v>-10.76390037</v>
      </c>
      <c r="BA115" s="648">
        <f t="shared" si="545"/>
        <v>-10.76390037</v>
      </c>
      <c r="BB115" s="140">
        <f t="shared" si="519"/>
        <v>-21.52780074</v>
      </c>
      <c r="BC115" s="649">
        <f t="shared" si="520"/>
        <v>0</v>
      </c>
      <c r="BD115" s="648">
        <f t="shared" ref="BD115:BE115" si="546">+BD119</f>
        <v>-10.9791783774</v>
      </c>
      <c r="BE115" s="648">
        <f t="shared" si="546"/>
        <v>-10.9791783774</v>
      </c>
      <c r="BF115" s="140">
        <f t="shared" si="522"/>
        <v>-21.9583567548</v>
      </c>
      <c r="BG115" s="649">
        <f t="shared" si="523"/>
        <v>0</v>
      </c>
      <c r="BH115" s="648">
        <f t="shared" ref="BH115:BI115" si="547">+BH119</f>
        <v>-11.198761944948</v>
      </c>
      <c r="BI115" s="648">
        <f t="shared" si="547"/>
        <v>-11.198761944948</v>
      </c>
      <c r="BJ115" s="140">
        <f t="shared" si="525"/>
        <v>-22.397523889896</v>
      </c>
      <c r="BK115" s="649">
        <f t="shared" si="526"/>
        <v>0</v>
      </c>
      <c r="BL115" s="648">
        <f t="shared" ref="BL115:BM115" si="548">+BL119</f>
        <v>-11.42273718384696</v>
      </c>
      <c r="BM115" s="648">
        <f t="shared" si="548"/>
        <v>-11.42273718384696</v>
      </c>
      <c r="BN115" s="140">
        <f t="shared" si="528"/>
        <v>-22.845474367693921</v>
      </c>
      <c r="BO115" s="649">
        <f t="shared" si="529"/>
        <v>0</v>
      </c>
      <c r="BP115" s="648">
        <f t="shared" ref="BP115:BQ115" si="549">+BP119</f>
        <v>-11.6511919275239</v>
      </c>
      <c r="BQ115" s="648">
        <f t="shared" si="549"/>
        <v>-11.6511919275239</v>
      </c>
      <c r="BR115" s="140">
        <f t="shared" si="531"/>
        <v>-23.3023838550478</v>
      </c>
      <c r="BS115" s="649">
        <f t="shared" si="532"/>
        <v>0</v>
      </c>
      <c r="BT115" s="648">
        <f t="shared" ref="BT115:BU115" si="550">+BT119</f>
        <v>-11.884215766074378</v>
      </c>
      <c r="BU115" s="648">
        <f t="shared" si="550"/>
        <v>-11.884215766074378</v>
      </c>
      <c r="BV115" s="140">
        <f t="shared" si="534"/>
        <v>-23.768431532148757</v>
      </c>
      <c r="BW115" s="649">
        <f t="shared" si="535"/>
        <v>0</v>
      </c>
      <c r="BX115" s="648">
        <f t="shared" ref="BX115:BY115" si="551">+BX119</f>
        <v>-12.121900081395866</v>
      </c>
      <c r="BY115" s="648">
        <f t="shared" si="551"/>
        <v>-12.121900081395866</v>
      </c>
      <c r="BZ115" s="140">
        <f t="shared" si="537"/>
        <v>-24.243800162791732</v>
      </c>
    </row>
    <row r="116" spans="1:78" outlineLevel="1">
      <c r="AD116" s="258"/>
      <c r="AF116" s="258"/>
      <c r="AH116" s="258"/>
      <c r="AJ116" s="258"/>
      <c r="AL116" s="257"/>
      <c r="AN116" s="258"/>
      <c r="AP116" s="257"/>
      <c r="AR116" s="258"/>
      <c r="AS116" s="258"/>
      <c r="AT116" s="161"/>
      <c r="AV116" s="258"/>
      <c r="AW116" s="258"/>
      <c r="AX116" s="161"/>
      <c r="AZ116" s="258"/>
      <c r="BA116" s="258"/>
      <c r="BB116" s="161"/>
      <c r="BD116" s="258"/>
      <c r="BE116" s="258"/>
      <c r="BF116" s="161"/>
      <c r="BH116" s="258"/>
      <c r="BI116" s="258"/>
      <c r="BJ116" s="161"/>
      <c r="BL116" s="258"/>
      <c r="BM116" s="258"/>
      <c r="BN116" s="161"/>
      <c r="BP116" s="258"/>
      <c r="BQ116" s="258"/>
      <c r="BR116" s="161"/>
      <c r="BT116" s="258"/>
      <c r="BU116" s="258"/>
      <c r="BV116" s="161"/>
      <c r="BX116" s="258"/>
      <c r="BY116" s="258"/>
      <c r="BZ116" s="161"/>
    </row>
    <row r="117" spans="1:78" s="140" customFormat="1">
      <c r="A117" s="149"/>
      <c r="B117" s="159" t="s">
        <v>238</v>
      </c>
      <c r="D117" s="231">
        <v>137.53899999999999</v>
      </c>
      <c r="E117" s="140">
        <f>F117</f>
        <v>141.708</v>
      </c>
      <c r="F117" s="231">
        <v>141.708</v>
      </c>
      <c r="H117" s="231">
        <v>141.708</v>
      </c>
      <c r="I117" s="140">
        <f>J117</f>
        <v>141.708</v>
      </c>
      <c r="J117" s="231">
        <v>141.708</v>
      </c>
      <c r="L117" s="231">
        <v>141.708</v>
      </c>
      <c r="M117" s="140">
        <f>N117</f>
        <v>141.708</v>
      </c>
      <c r="N117" s="231">
        <v>141.708</v>
      </c>
      <c r="P117" s="231">
        <v>254.97800000000001</v>
      </c>
      <c r="Q117" s="140">
        <f>R117</f>
        <v>255.66200000000001</v>
      </c>
      <c r="R117" s="231">
        <v>255.66200000000001</v>
      </c>
      <c r="T117" s="231">
        <v>255.66200000000001</v>
      </c>
      <c r="U117" s="140">
        <f>V117</f>
        <v>258.947</v>
      </c>
      <c r="V117" s="231">
        <v>258.947</v>
      </c>
      <c r="W117" s="219"/>
      <c r="X117" s="231">
        <v>266.536</v>
      </c>
      <c r="Y117" s="140">
        <f>Z117</f>
        <v>266.65899999999999</v>
      </c>
      <c r="Z117" s="231">
        <v>266.65899999999999</v>
      </c>
      <c r="AA117" s="219"/>
      <c r="AB117" s="231">
        <v>266.65899999999999</v>
      </c>
      <c r="AC117" s="140">
        <f>AD117</f>
        <v>608.52</v>
      </c>
      <c r="AD117" s="231">
        <v>608.52</v>
      </c>
      <c r="AE117" s="219"/>
      <c r="AF117" s="231">
        <v>784.06500000000005</v>
      </c>
      <c r="AG117" s="140">
        <f>AH117</f>
        <v>945.68700000000001</v>
      </c>
      <c r="AH117" s="231">
        <v>945.68700000000001</v>
      </c>
      <c r="AI117" s="219"/>
      <c r="AJ117" s="231">
        <v>945.68700000000001</v>
      </c>
      <c r="AK117" s="140">
        <f>AL117</f>
        <v>1141.4280000000001</v>
      </c>
      <c r="AL117" s="231">
        <v>1141.4280000000001</v>
      </c>
      <c r="AM117" s="219"/>
      <c r="AN117" s="175">
        <v>1166.2760000000001</v>
      </c>
      <c r="AO117" s="140">
        <f>AP117</f>
        <v>1166.2760000000001</v>
      </c>
      <c r="AP117" s="915">
        <v>1166.2760000000001</v>
      </c>
      <c r="AQ117" s="219"/>
      <c r="AR117" s="492">
        <f t="shared" ref="AR117:AT117" si="552">+AR121</f>
        <v>1155.8592125</v>
      </c>
      <c r="AS117" s="492">
        <f t="shared" si="552"/>
        <v>1145.5132874999999</v>
      </c>
      <c r="AT117" s="492">
        <f t="shared" si="552"/>
        <v>1145.5132875000002</v>
      </c>
      <c r="AU117" s="219"/>
      <c r="AV117" s="492">
        <f t="shared" ref="AV117:AX117" si="553">+AV121</f>
        <v>1134.9604440000001</v>
      </c>
      <c r="AW117" s="492">
        <f t="shared" si="553"/>
        <v>1124.4076004999999</v>
      </c>
      <c r="AX117" s="492">
        <f t="shared" si="553"/>
        <v>1124.4076005000002</v>
      </c>
      <c r="AY117" s="219"/>
      <c r="AZ117" s="492">
        <f t="shared" ref="AZ117:BB117" si="554">+AZ121</f>
        <v>1113.6437001300001</v>
      </c>
      <c r="BA117" s="492">
        <f t="shared" si="554"/>
        <v>1102.87979976</v>
      </c>
      <c r="BB117" s="492">
        <f t="shared" si="554"/>
        <v>1102.8797997600002</v>
      </c>
      <c r="BC117" s="219"/>
      <c r="BD117" s="492">
        <f t="shared" ref="BD117:BF117" si="555">+BD121</f>
        <v>1091.9006213826001</v>
      </c>
      <c r="BE117" s="492">
        <f t="shared" si="555"/>
        <v>1080.9214430052</v>
      </c>
      <c r="BF117" s="492">
        <f t="shared" si="555"/>
        <v>1080.9214430052002</v>
      </c>
      <c r="BG117" s="219"/>
      <c r="BH117" s="492">
        <f t="shared" ref="BH117:BJ117" si="556">+BH121</f>
        <v>1069.7226810602522</v>
      </c>
      <c r="BI117" s="492">
        <f t="shared" si="556"/>
        <v>1058.5239191153041</v>
      </c>
      <c r="BJ117" s="492">
        <f t="shared" si="556"/>
        <v>1058.5239191153041</v>
      </c>
      <c r="BK117" s="219"/>
      <c r="BL117" s="492">
        <f t="shared" ref="BL117:BN117" si="557">+BL121</f>
        <v>1047.1011819314572</v>
      </c>
      <c r="BM117" s="492">
        <f t="shared" si="557"/>
        <v>1035.6784447476102</v>
      </c>
      <c r="BN117" s="492">
        <f t="shared" si="557"/>
        <v>1035.6784447476102</v>
      </c>
      <c r="BO117" s="219"/>
      <c r="BP117" s="492">
        <f t="shared" ref="BP117:BR117" si="558">+BP121</f>
        <v>1024.0272528200862</v>
      </c>
      <c r="BQ117" s="492">
        <f t="shared" si="558"/>
        <v>1012.3760608925624</v>
      </c>
      <c r="BR117" s="492">
        <f t="shared" si="558"/>
        <v>1012.3760608925625</v>
      </c>
      <c r="BS117" s="219"/>
      <c r="BT117" s="492">
        <f t="shared" ref="BT117:BV117" si="559">+BT121</f>
        <v>1000.4918451264881</v>
      </c>
      <c r="BU117" s="492">
        <f t="shared" si="559"/>
        <v>988.60762936041374</v>
      </c>
      <c r="BV117" s="492">
        <f t="shared" si="559"/>
        <v>988.60762936041374</v>
      </c>
      <c r="BW117" s="219"/>
      <c r="BX117" s="492">
        <f t="shared" ref="BX117:BZ117" si="560">+BX121</f>
        <v>976.48572927901785</v>
      </c>
      <c r="BY117" s="492">
        <f t="shared" si="560"/>
        <v>964.36382919762195</v>
      </c>
      <c r="BZ117" s="492">
        <f t="shared" si="560"/>
        <v>964.36382919762195</v>
      </c>
    </row>
    <row r="118" spans="1:78" s="161" customFormat="1">
      <c r="A118" s="148"/>
      <c r="B118" s="441" t="s">
        <v>297</v>
      </c>
      <c r="D118" s="230">
        <v>128.88999999999999</v>
      </c>
      <c r="E118" s="161">
        <f>D121</f>
        <v>137.53899999999999</v>
      </c>
      <c r="F118" s="263">
        <f>D118</f>
        <v>128.88999999999999</v>
      </c>
      <c r="H118" s="263">
        <f>F117</f>
        <v>141.708</v>
      </c>
      <c r="I118" s="161">
        <f>H121</f>
        <v>141.708</v>
      </c>
      <c r="J118" s="263">
        <f>H118</f>
        <v>141.708</v>
      </c>
      <c r="L118" s="263">
        <f>J117</f>
        <v>141.708</v>
      </c>
      <c r="M118" s="161">
        <f>L121</f>
        <v>141.708</v>
      </c>
      <c r="N118" s="263">
        <f>L118</f>
        <v>141.708</v>
      </c>
      <c r="P118" s="263">
        <f>N117</f>
        <v>141.708</v>
      </c>
      <c r="Q118" s="161">
        <f>P121</f>
        <v>254.97800000000001</v>
      </c>
      <c r="R118" s="263">
        <f>P118</f>
        <v>141.708</v>
      </c>
      <c r="T118" s="263">
        <f>R117</f>
        <v>255.66200000000001</v>
      </c>
      <c r="U118" s="161">
        <f>T121</f>
        <v>258.947</v>
      </c>
      <c r="V118" s="263">
        <f>T118</f>
        <v>255.66200000000001</v>
      </c>
      <c r="X118" s="263">
        <f>V117</f>
        <v>258.947</v>
      </c>
      <c r="Y118" s="161">
        <f>X121</f>
        <v>266.536</v>
      </c>
      <c r="Z118" s="263">
        <f>X118</f>
        <v>258.947</v>
      </c>
      <c r="AB118" s="263">
        <f>Z117</f>
        <v>266.65899999999999</v>
      </c>
      <c r="AC118" s="161">
        <f>AB121</f>
        <v>266.65899999999999</v>
      </c>
      <c r="AD118" s="263">
        <f>AB118</f>
        <v>266.65899999999999</v>
      </c>
      <c r="AF118" s="263">
        <f>AD117</f>
        <v>608.52</v>
      </c>
      <c r="AG118" s="161">
        <f>AF121</f>
        <v>784.06499999999994</v>
      </c>
      <c r="AH118" s="263">
        <f>AF118</f>
        <v>608.52</v>
      </c>
      <c r="AJ118" s="263">
        <f>AH117</f>
        <v>945.68700000000001</v>
      </c>
      <c r="AK118" s="161">
        <f>AJ121</f>
        <v>945.68700000000001</v>
      </c>
      <c r="AL118" s="263">
        <f>AJ118</f>
        <v>945.68700000000001</v>
      </c>
      <c r="AN118" s="172">
        <f>AL117</f>
        <v>1141.4280000000001</v>
      </c>
      <c r="AO118" s="161">
        <f>AN121</f>
        <v>1166.2760000000001</v>
      </c>
      <c r="AP118" s="263">
        <f>AN118</f>
        <v>1141.4280000000001</v>
      </c>
      <c r="AR118" s="263">
        <f t="shared" ref="AR118" si="561">AP117</f>
        <v>1166.2760000000001</v>
      </c>
      <c r="AS118" s="161">
        <f t="shared" ref="AS118" si="562">AR121</f>
        <v>1155.8592125</v>
      </c>
      <c r="AT118" s="263">
        <f t="shared" ref="AT118" si="563">AR118</f>
        <v>1166.2760000000001</v>
      </c>
      <c r="AV118" s="263">
        <f t="shared" ref="AV118" si="564">AT117</f>
        <v>1145.5132875000002</v>
      </c>
      <c r="AW118" s="161">
        <f t="shared" ref="AW118" si="565">AV121</f>
        <v>1134.9604440000001</v>
      </c>
      <c r="AX118" s="263">
        <f t="shared" ref="AX118" si="566">AV118</f>
        <v>1145.5132875000002</v>
      </c>
      <c r="AZ118" s="263">
        <f t="shared" ref="AZ118" si="567">AX117</f>
        <v>1124.4076005000002</v>
      </c>
      <c r="BA118" s="161">
        <f t="shared" ref="BA118" si="568">AZ121</f>
        <v>1113.6437001300001</v>
      </c>
      <c r="BB118" s="263">
        <f t="shared" ref="BB118" si="569">AZ118</f>
        <v>1124.4076005000002</v>
      </c>
      <c r="BD118" s="263">
        <f t="shared" ref="BD118" si="570">BB117</f>
        <v>1102.8797997600002</v>
      </c>
      <c r="BE118" s="161">
        <f t="shared" ref="BE118" si="571">BD121</f>
        <v>1091.9006213826001</v>
      </c>
      <c r="BF118" s="263">
        <f t="shared" ref="BF118" si="572">BD118</f>
        <v>1102.8797997600002</v>
      </c>
      <c r="BH118" s="263">
        <f t="shared" ref="BH118" si="573">BF117</f>
        <v>1080.9214430052002</v>
      </c>
      <c r="BI118" s="161">
        <f t="shared" ref="BI118" si="574">BH121</f>
        <v>1069.7226810602522</v>
      </c>
      <c r="BJ118" s="263">
        <f t="shared" ref="BJ118" si="575">BH118</f>
        <v>1080.9214430052002</v>
      </c>
      <c r="BL118" s="263">
        <f t="shared" ref="BL118" si="576">BJ117</f>
        <v>1058.5239191153041</v>
      </c>
      <c r="BM118" s="161">
        <f t="shared" ref="BM118" si="577">BL121</f>
        <v>1047.1011819314572</v>
      </c>
      <c r="BN118" s="263">
        <f t="shared" ref="BN118" si="578">BL118</f>
        <v>1058.5239191153041</v>
      </c>
      <c r="BP118" s="263">
        <f t="shared" ref="BP118" si="579">BN117</f>
        <v>1035.6784447476102</v>
      </c>
      <c r="BQ118" s="161">
        <f t="shared" ref="BQ118" si="580">BP121</f>
        <v>1024.0272528200862</v>
      </c>
      <c r="BR118" s="263">
        <f t="shared" ref="BR118" si="581">BP118</f>
        <v>1035.6784447476102</v>
      </c>
      <c r="BT118" s="263">
        <f t="shared" ref="BT118" si="582">BR117</f>
        <v>1012.3760608925625</v>
      </c>
      <c r="BU118" s="161">
        <f t="shared" ref="BU118" si="583">BT121</f>
        <v>1000.4918451264881</v>
      </c>
      <c r="BV118" s="263">
        <f t="shared" ref="BV118" si="584">BT118</f>
        <v>1012.3760608925625</v>
      </c>
      <c r="BX118" s="263">
        <f t="shared" ref="BX118" si="585">BV117</f>
        <v>988.60762936041374</v>
      </c>
      <c r="BY118" s="161">
        <f t="shared" ref="BY118" si="586">BX121</f>
        <v>976.48572927901785</v>
      </c>
      <c r="BZ118" s="263">
        <f t="shared" ref="BZ118" si="587">BX118</f>
        <v>988.60762936041374</v>
      </c>
    </row>
    <row r="119" spans="1:78" s="161" customFormat="1">
      <c r="A119" s="148"/>
      <c r="B119" s="441" t="s">
        <v>436</v>
      </c>
      <c r="D119" s="230">
        <v>0</v>
      </c>
      <c r="E119" s="161">
        <f>F119-D119</f>
        <v>0</v>
      </c>
      <c r="F119" s="230">
        <v>0</v>
      </c>
      <c r="H119" s="230">
        <v>0</v>
      </c>
      <c r="I119" s="161">
        <f>J119-H119</f>
        <v>0</v>
      </c>
      <c r="J119" s="230">
        <v>0</v>
      </c>
      <c r="L119" s="230">
        <v>0</v>
      </c>
      <c r="M119" s="161">
        <f>N119-L119</f>
        <v>0</v>
      </c>
      <c r="N119" s="230">
        <v>0</v>
      </c>
      <c r="P119" s="230">
        <f>116.353-3.083</f>
        <v>113.27</v>
      </c>
      <c r="Q119" s="161">
        <f>R119-P119</f>
        <v>0.69400000000000261</v>
      </c>
      <c r="R119" s="230">
        <f>116.363-2.399</f>
        <v>113.964</v>
      </c>
      <c r="T119" s="230">
        <v>0</v>
      </c>
      <c r="U119" s="161">
        <f>V119-T119</f>
        <v>0</v>
      </c>
      <c r="V119" s="230">
        <v>0</v>
      </c>
      <c r="X119" s="230">
        <v>5.6040000000000001</v>
      </c>
      <c r="Y119" s="161">
        <f>Z119-X119</f>
        <v>0</v>
      </c>
      <c r="Z119" s="230">
        <v>5.6040000000000001</v>
      </c>
      <c r="AB119" s="230">
        <v>0</v>
      </c>
      <c r="AC119" s="161">
        <f>AD119-AB119</f>
        <v>341.86099999999999</v>
      </c>
      <c r="AD119" s="230">
        <v>341.86099999999999</v>
      </c>
      <c r="AF119" s="230">
        <v>175.54499999999999</v>
      </c>
      <c r="AG119" s="161">
        <f>AH119-AF119</f>
        <v>161.62199999999999</v>
      </c>
      <c r="AH119" s="230">
        <v>337.16699999999997</v>
      </c>
      <c r="AJ119" s="230">
        <v>0</v>
      </c>
      <c r="AK119" s="161">
        <f>AL119-AJ119</f>
        <v>195.74100000000001</v>
      </c>
      <c r="AL119" s="230">
        <v>195.74100000000001</v>
      </c>
      <c r="AN119" s="181">
        <v>24.847999999999999</v>
      </c>
      <c r="AO119" s="161">
        <f>AP119-AN119</f>
        <v>0</v>
      </c>
      <c r="AP119" s="916">
        <v>24.847999999999999</v>
      </c>
      <c r="AR119" s="263">
        <f>CF!AR114</f>
        <v>-10.4167875</v>
      </c>
      <c r="AS119" s="161">
        <f>CF!AS114</f>
        <v>-10.345924999999999</v>
      </c>
      <c r="AT119" s="263">
        <f t="shared" ref="AT119:AT120" si="588">+AS119+AR119</f>
        <v>-20.762712499999999</v>
      </c>
      <c r="AV119" s="263">
        <f>CF!AV114</f>
        <v>-10.5528435</v>
      </c>
      <c r="AW119" s="161">
        <f>CF!AW114</f>
        <v>-10.5528435</v>
      </c>
      <c r="AX119" s="263">
        <f t="shared" ref="AX119:AX120" si="589">+AW119+AV119</f>
        <v>-21.105687</v>
      </c>
      <c r="AZ119" s="263">
        <f>CF!AZ114</f>
        <v>-10.76390037</v>
      </c>
      <c r="BA119" s="161">
        <f>CF!BA114</f>
        <v>-10.76390037</v>
      </c>
      <c r="BB119" s="263">
        <f t="shared" ref="BB119:BB120" si="590">+BA119+AZ119</f>
        <v>-21.52780074</v>
      </c>
      <c r="BD119" s="263">
        <f>CF!BD114</f>
        <v>-10.9791783774</v>
      </c>
      <c r="BE119" s="161">
        <f>CF!BE114</f>
        <v>-10.9791783774</v>
      </c>
      <c r="BF119" s="263">
        <f t="shared" ref="BF119:BF120" si="591">+BE119+BD119</f>
        <v>-21.9583567548</v>
      </c>
      <c r="BH119" s="263">
        <f>CF!BH114</f>
        <v>-11.198761944948</v>
      </c>
      <c r="BI119" s="161">
        <f>CF!BI114</f>
        <v>-11.198761944948</v>
      </c>
      <c r="BJ119" s="263">
        <f t="shared" ref="BJ119:BJ120" si="592">+BI119+BH119</f>
        <v>-22.397523889896</v>
      </c>
      <c r="BL119" s="263">
        <f>CF!BL114</f>
        <v>-11.42273718384696</v>
      </c>
      <c r="BM119" s="161">
        <f>CF!BM114</f>
        <v>-11.42273718384696</v>
      </c>
      <c r="BN119" s="263">
        <f t="shared" ref="BN119:BN120" si="593">+BM119+BL119</f>
        <v>-22.845474367693921</v>
      </c>
      <c r="BP119" s="263">
        <f>CF!BP114</f>
        <v>-11.6511919275239</v>
      </c>
      <c r="BQ119" s="161">
        <f>CF!BQ114</f>
        <v>-11.6511919275239</v>
      </c>
      <c r="BR119" s="263">
        <f t="shared" ref="BR119:BR120" si="594">+BQ119+BP119</f>
        <v>-23.3023838550478</v>
      </c>
      <c r="BT119" s="263">
        <f>CF!BT114</f>
        <v>-11.884215766074378</v>
      </c>
      <c r="BU119" s="161">
        <f>CF!BU114</f>
        <v>-11.884215766074378</v>
      </c>
      <c r="BV119" s="263">
        <f t="shared" ref="BV119:BV120" si="595">+BU119+BT119</f>
        <v>-23.768431532148757</v>
      </c>
      <c r="BX119" s="263">
        <f>CF!BX114</f>
        <v>-12.121900081395866</v>
      </c>
      <c r="BY119" s="161">
        <f>CF!BY114</f>
        <v>-12.121900081395866</v>
      </c>
      <c r="BZ119" s="263">
        <f t="shared" ref="BZ119:BZ120" si="596">+BY119+BX119</f>
        <v>-24.243800162791732</v>
      </c>
    </row>
    <row r="120" spans="1:78" s="161" customFormat="1">
      <c r="A120" s="148"/>
      <c r="B120" s="441" t="s">
        <v>437</v>
      </c>
      <c r="D120" s="230">
        <f>8.671-0.022</f>
        <v>8.6489999999999991</v>
      </c>
      <c r="E120" s="161">
        <f>F120-D120</f>
        <v>4.1690000000000005</v>
      </c>
      <c r="F120" s="230">
        <f>12.852-0.034</f>
        <v>12.818</v>
      </c>
      <c r="H120" s="230">
        <v>0</v>
      </c>
      <c r="I120" s="161">
        <f>J120-H120</f>
        <v>0</v>
      </c>
      <c r="J120" s="230">
        <v>0</v>
      </c>
      <c r="L120" s="230">
        <v>0</v>
      </c>
      <c r="M120" s="161">
        <f>N120-L120</f>
        <v>0</v>
      </c>
      <c r="N120" s="230">
        <v>0</v>
      </c>
      <c r="P120" s="230">
        <v>0</v>
      </c>
      <c r="Q120" s="161">
        <f>R120-P120</f>
        <v>0</v>
      </c>
      <c r="R120" s="230">
        <v>0</v>
      </c>
      <c r="T120" s="230">
        <v>3.2850000000000001</v>
      </c>
      <c r="U120" s="161">
        <f>V120-T120</f>
        <v>0</v>
      </c>
      <c r="V120" s="230">
        <v>3.2850000000000001</v>
      </c>
      <c r="X120" s="230">
        <v>1.9850000000000001</v>
      </c>
      <c r="Y120" s="161">
        <f>Z120-X120</f>
        <v>0.123</v>
      </c>
      <c r="Z120" s="230">
        <v>2.1080000000000001</v>
      </c>
      <c r="AB120" s="230">
        <v>0</v>
      </c>
      <c r="AC120" s="161">
        <f>AD120-AB120</f>
        <v>0</v>
      </c>
      <c r="AD120" s="230">
        <v>0</v>
      </c>
      <c r="AF120" s="230">
        <v>0</v>
      </c>
      <c r="AG120" s="161">
        <f>AH120-AF120</f>
        <v>0</v>
      </c>
      <c r="AH120" s="230">
        <v>0</v>
      </c>
      <c r="AJ120" s="230">
        <v>0</v>
      </c>
      <c r="AK120" s="161">
        <f>AL120-AJ120</f>
        <v>0</v>
      </c>
      <c r="AL120" s="230">
        <v>0</v>
      </c>
      <c r="AN120" s="181">
        <v>0</v>
      </c>
      <c r="AO120" s="161">
        <f>AP120-AN120</f>
        <v>0</v>
      </c>
      <c r="AP120" s="916">
        <v>0</v>
      </c>
      <c r="AR120" s="161">
        <f t="shared" ref="AR120:AS120" si="597">+AR107</f>
        <v>0</v>
      </c>
      <c r="AS120" s="161">
        <f t="shared" si="597"/>
        <v>0</v>
      </c>
      <c r="AT120" s="263">
        <f t="shared" si="588"/>
        <v>0</v>
      </c>
      <c r="AV120" s="161">
        <f t="shared" ref="AV120:AW120" si="598">+AV107</f>
        <v>0</v>
      </c>
      <c r="AW120" s="161">
        <f t="shared" si="598"/>
        <v>0</v>
      </c>
      <c r="AX120" s="263">
        <f t="shared" si="589"/>
        <v>0</v>
      </c>
      <c r="AZ120" s="161">
        <f t="shared" ref="AZ120:BA120" si="599">+AZ107</f>
        <v>0</v>
      </c>
      <c r="BA120" s="161">
        <f t="shared" si="599"/>
        <v>0</v>
      </c>
      <c r="BB120" s="263">
        <f t="shared" si="590"/>
        <v>0</v>
      </c>
      <c r="BD120" s="161">
        <f t="shared" ref="BD120:BE120" si="600">+BD107</f>
        <v>0</v>
      </c>
      <c r="BE120" s="161">
        <f t="shared" si="600"/>
        <v>0</v>
      </c>
      <c r="BF120" s="263">
        <f t="shared" si="591"/>
        <v>0</v>
      </c>
      <c r="BH120" s="161">
        <f t="shared" ref="BH120:BI120" si="601">+BH107</f>
        <v>0</v>
      </c>
      <c r="BI120" s="161">
        <f t="shared" si="601"/>
        <v>0</v>
      </c>
      <c r="BJ120" s="263">
        <f t="shared" si="592"/>
        <v>0</v>
      </c>
      <c r="BL120" s="161">
        <f t="shared" ref="BL120:BM120" si="602">+BL107</f>
        <v>0</v>
      </c>
      <c r="BM120" s="161">
        <f t="shared" si="602"/>
        <v>0</v>
      </c>
      <c r="BN120" s="263">
        <f t="shared" si="593"/>
        <v>0</v>
      </c>
      <c r="BP120" s="161">
        <f t="shared" ref="BP120:BQ120" si="603">+BP107</f>
        <v>0</v>
      </c>
      <c r="BQ120" s="161">
        <f t="shared" si="603"/>
        <v>0</v>
      </c>
      <c r="BR120" s="263">
        <f t="shared" si="594"/>
        <v>0</v>
      </c>
      <c r="BT120" s="161">
        <f t="shared" ref="BT120:BU120" si="604">+BT107</f>
        <v>0</v>
      </c>
      <c r="BU120" s="161">
        <f t="shared" si="604"/>
        <v>0</v>
      </c>
      <c r="BV120" s="263">
        <f t="shared" si="595"/>
        <v>0</v>
      </c>
      <c r="BX120" s="161">
        <f t="shared" ref="BX120:BY120" si="605">+BX107</f>
        <v>0</v>
      </c>
      <c r="BY120" s="161">
        <f t="shared" si="605"/>
        <v>0</v>
      </c>
      <c r="BZ120" s="263">
        <f t="shared" si="596"/>
        <v>0</v>
      </c>
    </row>
    <row r="121" spans="1:78" s="140" customFormat="1">
      <c r="A121" s="149"/>
      <c r="B121" s="159" t="s">
        <v>300</v>
      </c>
      <c r="D121" s="492">
        <f>SUM(D118:D120)</f>
        <v>137.53899999999999</v>
      </c>
      <c r="E121" s="492">
        <f>SUM(E118:E120)</f>
        <v>141.708</v>
      </c>
      <c r="F121" s="492">
        <f>SUM(F118:F120)</f>
        <v>141.708</v>
      </c>
      <c r="H121" s="492">
        <f>SUM(H118:H120)</f>
        <v>141.708</v>
      </c>
      <c r="I121" s="492">
        <f>SUM(I118:I120)</f>
        <v>141.708</v>
      </c>
      <c r="J121" s="492">
        <f>SUM(J118:J120)</f>
        <v>141.708</v>
      </c>
      <c r="L121" s="492">
        <f>SUM(L118:L120)</f>
        <v>141.708</v>
      </c>
      <c r="M121" s="492">
        <f>SUM(M118:M120)</f>
        <v>141.708</v>
      </c>
      <c r="N121" s="492">
        <f>SUM(N118:N120)</f>
        <v>141.708</v>
      </c>
      <c r="P121" s="492">
        <f>SUM(P118:P120)</f>
        <v>254.97800000000001</v>
      </c>
      <c r="Q121" s="492">
        <f>SUM(Q118:Q120)</f>
        <v>255.67200000000003</v>
      </c>
      <c r="R121" s="492">
        <f>SUM(R118:R120)</f>
        <v>255.672</v>
      </c>
      <c r="T121" s="492">
        <f>SUM(T118:T120)</f>
        <v>258.947</v>
      </c>
      <c r="U121" s="492">
        <f>SUM(U118:U120)</f>
        <v>258.947</v>
      </c>
      <c r="V121" s="492">
        <f>SUM(V118:V120)</f>
        <v>258.947</v>
      </c>
      <c r="X121" s="492">
        <f>SUM(X118:X120)</f>
        <v>266.536</v>
      </c>
      <c r="Y121" s="492">
        <f>SUM(Y118:Y120)</f>
        <v>266.65899999999999</v>
      </c>
      <c r="Z121" s="492">
        <f>SUM(Z118:Z120)</f>
        <v>266.65899999999999</v>
      </c>
      <c r="AB121" s="492">
        <f>SUM(AB118:AB120)</f>
        <v>266.65899999999999</v>
      </c>
      <c r="AC121" s="492">
        <f>SUM(AC118:AC120)</f>
        <v>608.52</v>
      </c>
      <c r="AD121" s="492">
        <f>SUM(AD118:AD120)</f>
        <v>608.52</v>
      </c>
      <c r="AF121" s="492">
        <f>SUM(AF118:AF120)</f>
        <v>784.06499999999994</v>
      </c>
      <c r="AG121" s="492">
        <f>SUM(AG118:AG120)</f>
        <v>945.6869999999999</v>
      </c>
      <c r="AH121" s="492">
        <f>SUM(AH118:AH120)</f>
        <v>945.6869999999999</v>
      </c>
      <c r="AI121" s="161"/>
      <c r="AJ121" s="492">
        <f>SUM(AJ118:AJ120)</f>
        <v>945.68700000000001</v>
      </c>
      <c r="AK121" s="492">
        <f>SUM(AK118:AK120)</f>
        <v>1141.4280000000001</v>
      </c>
      <c r="AL121" s="492">
        <f>SUM(AL118:AL120)</f>
        <v>1141.4280000000001</v>
      </c>
      <c r="AN121" s="903">
        <f>SUM(AN118:AN120)</f>
        <v>1166.2760000000001</v>
      </c>
      <c r="AO121" s="492">
        <f>SUM(AO118:AO120)</f>
        <v>1166.2760000000001</v>
      </c>
      <c r="AP121" s="492">
        <f>SUM(AP118:AP120)</f>
        <v>1166.2760000000001</v>
      </c>
      <c r="AR121" s="492">
        <f t="shared" ref="AR121:AT121" si="606">SUM(AR118:AR120)</f>
        <v>1155.8592125</v>
      </c>
      <c r="AS121" s="492">
        <f t="shared" si="606"/>
        <v>1145.5132874999999</v>
      </c>
      <c r="AT121" s="492">
        <f t="shared" si="606"/>
        <v>1145.5132875000002</v>
      </c>
      <c r="AV121" s="492">
        <f t="shared" ref="AV121:AX121" si="607">SUM(AV118:AV120)</f>
        <v>1134.9604440000001</v>
      </c>
      <c r="AW121" s="492">
        <f t="shared" si="607"/>
        <v>1124.4076004999999</v>
      </c>
      <c r="AX121" s="492">
        <f t="shared" si="607"/>
        <v>1124.4076005000002</v>
      </c>
      <c r="AZ121" s="492">
        <f t="shared" ref="AZ121:BB121" si="608">SUM(AZ118:AZ120)</f>
        <v>1113.6437001300001</v>
      </c>
      <c r="BA121" s="492">
        <f t="shared" si="608"/>
        <v>1102.87979976</v>
      </c>
      <c r="BB121" s="492">
        <f t="shared" si="608"/>
        <v>1102.8797997600002</v>
      </c>
      <c r="BD121" s="492">
        <f t="shared" ref="BD121:BF121" si="609">SUM(BD118:BD120)</f>
        <v>1091.9006213826001</v>
      </c>
      <c r="BE121" s="492">
        <f t="shared" si="609"/>
        <v>1080.9214430052</v>
      </c>
      <c r="BF121" s="492">
        <f t="shared" si="609"/>
        <v>1080.9214430052002</v>
      </c>
      <c r="BH121" s="492">
        <f t="shared" ref="BH121:BJ121" si="610">SUM(BH118:BH120)</f>
        <v>1069.7226810602522</v>
      </c>
      <c r="BI121" s="492">
        <f t="shared" si="610"/>
        <v>1058.5239191153041</v>
      </c>
      <c r="BJ121" s="492">
        <f t="shared" si="610"/>
        <v>1058.5239191153041</v>
      </c>
      <c r="BL121" s="492">
        <f t="shared" ref="BL121:BN121" si="611">SUM(BL118:BL120)</f>
        <v>1047.1011819314572</v>
      </c>
      <c r="BM121" s="492">
        <f t="shared" si="611"/>
        <v>1035.6784447476102</v>
      </c>
      <c r="BN121" s="492">
        <f t="shared" si="611"/>
        <v>1035.6784447476102</v>
      </c>
      <c r="BP121" s="492">
        <f t="shared" ref="BP121:BR121" si="612">SUM(BP118:BP120)</f>
        <v>1024.0272528200862</v>
      </c>
      <c r="BQ121" s="492">
        <f t="shared" si="612"/>
        <v>1012.3760608925624</v>
      </c>
      <c r="BR121" s="492">
        <f t="shared" si="612"/>
        <v>1012.3760608925625</v>
      </c>
      <c r="BT121" s="492">
        <f t="shared" ref="BT121:BV121" si="613">SUM(BT118:BT120)</f>
        <v>1000.4918451264881</v>
      </c>
      <c r="BU121" s="492">
        <f t="shared" si="613"/>
        <v>988.60762936041374</v>
      </c>
      <c r="BV121" s="492">
        <f t="shared" si="613"/>
        <v>988.60762936041374</v>
      </c>
      <c r="BX121" s="492">
        <f t="shared" ref="BX121:BZ121" si="614">SUM(BX118:BX120)</f>
        <v>976.48572927901785</v>
      </c>
      <c r="BY121" s="492">
        <f t="shared" si="614"/>
        <v>964.36382919762195</v>
      </c>
      <c r="BZ121" s="492">
        <f t="shared" si="614"/>
        <v>964.36382919762195</v>
      </c>
    </row>
    <row r="122" spans="1:78" s="140" customFormat="1">
      <c r="B122" s="244" t="s">
        <v>302</v>
      </c>
      <c r="C122" s="243"/>
      <c r="D122" s="341">
        <f>+'P&amp;L'!D121-'P&amp;L'!D117</f>
        <v>0</v>
      </c>
      <c r="E122" s="341">
        <f>+'P&amp;L'!E121-'P&amp;L'!E117</f>
        <v>0</v>
      </c>
      <c r="F122" s="341">
        <f>+'P&amp;L'!F121-'P&amp;L'!F117</f>
        <v>0</v>
      </c>
      <c r="G122" s="341"/>
      <c r="H122" s="341">
        <f>+'P&amp;L'!H121-'P&amp;L'!H117</f>
        <v>0</v>
      </c>
      <c r="I122" s="341">
        <f>+'P&amp;L'!I121-'P&amp;L'!I117</f>
        <v>0</v>
      </c>
      <c r="J122" s="341">
        <f>+'P&amp;L'!J121-'P&amp;L'!J117</f>
        <v>0</v>
      </c>
      <c r="K122" s="341"/>
      <c r="L122" s="341">
        <f>+'P&amp;L'!L121-'P&amp;L'!L117</f>
        <v>0</v>
      </c>
      <c r="M122" s="341">
        <f>+'P&amp;L'!M121-'P&amp;L'!M117</f>
        <v>0</v>
      </c>
      <c r="N122" s="341">
        <f>+'P&amp;L'!N121-'P&amp;L'!N117</f>
        <v>0</v>
      </c>
      <c r="O122" s="341"/>
      <c r="P122" s="341">
        <f>+'P&amp;L'!P121-'P&amp;L'!P117</f>
        <v>0</v>
      </c>
      <c r="Q122" s="341">
        <f>+'P&amp;L'!Q121-'P&amp;L'!Q117</f>
        <v>1.0000000000019327E-2</v>
      </c>
      <c r="R122" s="341">
        <f>+'P&amp;L'!R121-'P&amp;L'!R117</f>
        <v>9.9999999999909051E-3</v>
      </c>
      <c r="S122" s="341"/>
      <c r="T122" s="341">
        <f>+'P&amp;L'!T121-'P&amp;L'!T117</f>
        <v>3.2849999999999966</v>
      </c>
      <c r="U122" s="341">
        <f>+'P&amp;L'!U121-'P&amp;L'!U117</f>
        <v>0</v>
      </c>
      <c r="V122" s="341">
        <f>+'P&amp;L'!V121-'P&amp;L'!V117</f>
        <v>0</v>
      </c>
      <c r="W122" s="341"/>
      <c r="X122" s="341">
        <f>+'P&amp;L'!X121-'P&amp;L'!X117</f>
        <v>0</v>
      </c>
      <c r="Y122" s="341">
        <f>+'P&amp;L'!Y121-'P&amp;L'!Y117</f>
        <v>0</v>
      </c>
      <c r="Z122" s="341">
        <f>+'P&amp;L'!Z121-'P&amp;L'!Z117</f>
        <v>0</v>
      </c>
      <c r="AA122" s="341"/>
      <c r="AB122" s="341">
        <f>+'P&amp;L'!AB121-'P&amp;L'!AB117</f>
        <v>0</v>
      </c>
      <c r="AC122" s="341">
        <f>+'P&amp;L'!AC121-'P&amp;L'!AC117</f>
        <v>0</v>
      </c>
      <c r="AD122" s="341">
        <f>+'P&amp;L'!AD121-'P&amp;L'!AD117</f>
        <v>0</v>
      </c>
      <c r="AE122" s="341"/>
      <c r="AF122" s="341">
        <f>+'P&amp;L'!AF121-'P&amp;L'!AF117</f>
        <v>0</v>
      </c>
      <c r="AG122" s="341">
        <f>+'P&amp;L'!AG121-'P&amp;L'!AG117</f>
        <v>0</v>
      </c>
      <c r="AH122" s="341">
        <f>+'P&amp;L'!AH121-'P&amp;L'!AH117</f>
        <v>0</v>
      </c>
      <c r="AI122" s="341"/>
      <c r="AJ122" s="341">
        <f>+'P&amp;L'!AJ121-'P&amp;L'!AJ117</f>
        <v>0</v>
      </c>
      <c r="AK122" s="341">
        <f>+'P&amp;L'!AK121-'P&amp;L'!AK117</f>
        <v>0</v>
      </c>
      <c r="AL122" s="341">
        <f>+'P&amp;L'!AL121-'P&amp;L'!AL117</f>
        <v>0</v>
      </c>
      <c r="AM122" s="341"/>
      <c r="AN122" s="341">
        <f>+'P&amp;L'!AN121-'P&amp;L'!AN117</f>
        <v>0</v>
      </c>
      <c r="AO122" s="341">
        <f>+'P&amp;L'!AO121-'P&amp;L'!AO117</f>
        <v>0</v>
      </c>
      <c r="AP122" s="341">
        <f>+'P&amp;L'!AP121-'P&amp;L'!AP117</f>
        <v>0</v>
      </c>
      <c r="AQ122" s="341"/>
      <c r="AR122" s="341">
        <f>+'P&amp;L'!AR121-'P&amp;L'!AR117</f>
        <v>0</v>
      </c>
      <c r="AS122" s="341">
        <f>+'P&amp;L'!AS121-'P&amp;L'!AS117</f>
        <v>0</v>
      </c>
      <c r="AT122" s="341">
        <f>+'P&amp;L'!AT121-'P&amp;L'!AT117</f>
        <v>0</v>
      </c>
      <c r="AU122" s="341"/>
      <c r="AV122" s="341">
        <f>+'P&amp;L'!AV121-'P&amp;L'!AV117</f>
        <v>0</v>
      </c>
      <c r="AW122" s="341">
        <f>+'P&amp;L'!AW121-'P&amp;L'!AW117</f>
        <v>0</v>
      </c>
      <c r="AX122" s="341">
        <f>+'P&amp;L'!AX121-'P&amp;L'!AX117</f>
        <v>0</v>
      </c>
      <c r="AY122" s="341"/>
      <c r="AZ122" s="341">
        <f>+'P&amp;L'!AZ121-'P&amp;L'!AZ117</f>
        <v>0</v>
      </c>
      <c r="BA122" s="341">
        <f>+'P&amp;L'!BA121-'P&amp;L'!BA117</f>
        <v>0</v>
      </c>
      <c r="BB122" s="341">
        <f>+'P&amp;L'!BB121-'P&amp;L'!BB117</f>
        <v>0</v>
      </c>
      <c r="BC122" s="341"/>
      <c r="BD122" s="341">
        <f>+'P&amp;L'!BD121-'P&amp;L'!BD117</f>
        <v>0</v>
      </c>
      <c r="BE122" s="341">
        <f>+'P&amp;L'!BE121-'P&amp;L'!BE117</f>
        <v>0</v>
      </c>
      <c r="BF122" s="341">
        <f>+'P&amp;L'!BF121-'P&amp;L'!BF117</f>
        <v>0</v>
      </c>
      <c r="BG122" s="341"/>
      <c r="BH122" s="341">
        <f>+'P&amp;L'!BH121-'P&amp;L'!BH117</f>
        <v>0</v>
      </c>
      <c r="BI122" s="341">
        <f>+'P&amp;L'!BI121-'P&amp;L'!BI117</f>
        <v>0</v>
      </c>
      <c r="BJ122" s="341">
        <f>+'P&amp;L'!BJ121-'P&amp;L'!BJ117</f>
        <v>0</v>
      </c>
      <c r="BK122" s="341"/>
      <c r="BL122" s="341">
        <f>+'P&amp;L'!BL121-'P&amp;L'!BL117</f>
        <v>0</v>
      </c>
      <c r="BM122" s="341">
        <f>+'P&amp;L'!BM121-'P&amp;L'!BM117</f>
        <v>0</v>
      </c>
      <c r="BN122" s="341">
        <f>+'P&amp;L'!BN121-'P&amp;L'!BN117</f>
        <v>0</v>
      </c>
      <c r="BO122" s="341"/>
      <c r="BP122" s="341">
        <f>+'P&amp;L'!BP121-'P&amp;L'!BP117</f>
        <v>0</v>
      </c>
      <c r="BQ122" s="341">
        <f>+'P&amp;L'!BQ121-'P&amp;L'!BQ117</f>
        <v>0</v>
      </c>
      <c r="BR122" s="341">
        <f>+'P&amp;L'!BR121-'P&amp;L'!BR117</f>
        <v>0</v>
      </c>
      <c r="BS122" s="341"/>
      <c r="BT122" s="341">
        <f>+'P&amp;L'!BT121-'P&amp;L'!BT117</f>
        <v>0</v>
      </c>
      <c r="BU122" s="341">
        <f>+'P&amp;L'!BU121-'P&amp;L'!BU117</f>
        <v>0</v>
      </c>
      <c r="BV122" s="341">
        <f>+'P&amp;L'!BV121-'P&amp;L'!BV117</f>
        <v>0</v>
      </c>
      <c r="BW122" s="341"/>
      <c r="BX122" s="341">
        <f>+'P&amp;L'!BX121-'P&amp;L'!BX117</f>
        <v>0</v>
      </c>
      <c r="BY122" s="341">
        <f>+'P&amp;L'!BY121-'P&amp;L'!BY117</f>
        <v>0</v>
      </c>
      <c r="BZ122" s="341">
        <f>+'P&amp;L'!BZ121-'P&amp;L'!BZ117</f>
        <v>0</v>
      </c>
    </row>
    <row r="123" spans="1:78">
      <c r="AD123" s="258"/>
      <c r="AF123" s="258"/>
      <c r="AG123" s="258"/>
      <c r="AH123" s="161"/>
      <c r="AJ123" s="258"/>
      <c r="AK123" s="258"/>
      <c r="AL123" s="161"/>
      <c r="AN123" s="258"/>
      <c r="AO123" s="258"/>
      <c r="AP123" s="161"/>
      <c r="AR123" s="258"/>
      <c r="AS123" s="258"/>
      <c r="AT123" s="161"/>
      <c r="AV123" s="258"/>
      <c r="AW123" s="258"/>
      <c r="AX123" s="161"/>
      <c r="AZ123" s="258"/>
      <c r="BA123" s="258"/>
      <c r="BB123" s="161"/>
      <c r="BD123" s="258"/>
      <c r="BE123" s="258"/>
      <c r="BF123" s="161"/>
      <c r="BH123" s="258"/>
      <c r="BI123" s="258"/>
      <c r="BJ123" s="161"/>
      <c r="BL123" s="258"/>
      <c r="BM123" s="258"/>
      <c r="BN123" s="161"/>
      <c r="BP123" s="258"/>
      <c r="BQ123" s="258"/>
      <c r="BR123" s="161"/>
      <c r="BT123" s="258"/>
      <c r="BU123" s="258"/>
      <c r="BV123" s="161"/>
      <c r="BX123" s="258"/>
      <c r="BY123" s="258"/>
      <c r="BZ123" s="161"/>
    </row>
    <row r="124" spans="1:78" s="229" customFormat="1" ht="15.6">
      <c r="A124" s="228"/>
      <c r="B124" s="576" t="s">
        <v>251</v>
      </c>
    </row>
    <row r="126" spans="1:78" s="299" customFormat="1">
      <c r="A126" s="266"/>
      <c r="B126" s="266" t="s">
        <v>153</v>
      </c>
      <c r="D126" s="300"/>
      <c r="H126" s="300"/>
      <c r="L126" s="300"/>
      <c r="P126" s="300"/>
      <c r="T126" s="300"/>
      <c r="X126" s="300"/>
      <c r="AB126" s="300"/>
    </row>
    <row r="127" spans="1:78" s="269" customFormat="1">
      <c r="A127" s="268"/>
      <c r="B127" s="268" t="s">
        <v>69</v>
      </c>
      <c r="E127" s="269">
        <f t="shared" ref="E127:F127" si="615">+E128</f>
        <v>-2146826246</v>
      </c>
      <c r="F127" s="269">
        <f t="shared" si="615"/>
        <v>-2146826246</v>
      </c>
      <c r="G127" s="256"/>
      <c r="H127" s="269">
        <f>+H128</f>
        <v>-2146826246</v>
      </c>
      <c r="I127" s="269">
        <f t="shared" ref="I127" si="616">+I128</f>
        <v>-2146826246</v>
      </c>
      <c r="J127" s="269">
        <f t="shared" ref="J127" si="617">+J128</f>
        <v>-2146826246</v>
      </c>
      <c r="K127" s="256"/>
      <c r="L127" s="269">
        <f t="shared" ref="L127" si="618">+L128</f>
        <v>12.762700000000001</v>
      </c>
      <c r="M127" s="269">
        <f t="shared" ref="M127" si="619">+M128</f>
        <v>13.130100000000001</v>
      </c>
      <c r="N127" s="269">
        <f t="shared" ref="N127" si="620">+N128</f>
        <v>13.130100000000001</v>
      </c>
      <c r="O127" s="256"/>
      <c r="P127" s="269">
        <f t="shared" ref="P127" si="621">+P128</f>
        <v>12.1736</v>
      </c>
      <c r="Q127" s="269">
        <f t="shared" ref="Q127" si="622">+Q128</f>
        <v>10.224600000000001</v>
      </c>
      <c r="R127" s="269">
        <f t="shared" ref="R127" si="623">+R128</f>
        <v>10.224600000000001</v>
      </c>
      <c r="S127" s="256"/>
      <c r="T127" s="269">
        <f t="shared" ref="T127" si="624">+T128</f>
        <v>11.742599999999999</v>
      </c>
      <c r="U127" s="269">
        <f t="shared" ref="U127" si="625">+U128</f>
        <v>14.396699999999999</v>
      </c>
      <c r="V127" s="269">
        <f t="shared" ref="V127" si="626">+V128</f>
        <v>14.396699999999999</v>
      </c>
      <c r="W127" s="256"/>
      <c r="X127" s="269">
        <f t="shared" ref="X127" si="627">+X128</f>
        <v>15.856</v>
      </c>
      <c r="Y127" s="269">
        <f t="shared" ref="Y127" si="628">+Y128</f>
        <v>21.928100000000001</v>
      </c>
      <c r="Z127" s="269">
        <f t="shared" ref="Z127" si="629">+Z128</f>
        <v>21.928100000000001</v>
      </c>
      <c r="AA127" s="256"/>
      <c r="AB127" s="269">
        <f t="shared" ref="AB127" si="630">+AB128</f>
        <v>25.2285</v>
      </c>
      <c r="AC127" s="269">
        <f t="shared" ref="AC127" si="631">+AC128</f>
        <v>17.68</v>
      </c>
      <c r="AD127" s="269">
        <f t="shared" ref="AD127:AP127" si="632">+AD128</f>
        <v>17.68</v>
      </c>
      <c r="AE127" s="256"/>
      <c r="AF127" s="269">
        <f t="shared" si="632"/>
        <v>22.53</v>
      </c>
      <c r="AG127" s="269">
        <f t="shared" si="632"/>
        <v>29.4</v>
      </c>
      <c r="AH127" s="269">
        <f t="shared" si="632"/>
        <v>29.4</v>
      </c>
      <c r="AJ127" s="269">
        <f t="shared" si="632"/>
        <v>27.5</v>
      </c>
      <c r="AK127" s="269">
        <f t="shared" si="632"/>
        <v>31.69</v>
      </c>
      <c r="AL127" s="269">
        <f t="shared" si="632"/>
        <v>31.69</v>
      </c>
      <c r="AN127" s="269">
        <f t="shared" si="632"/>
        <v>31.2</v>
      </c>
      <c r="AO127" s="269">
        <f t="shared" si="632"/>
        <v>35.479999999999997</v>
      </c>
      <c r="AP127" s="269">
        <f t="shared" si="632"/>
        <v>35.479999999999997</v>
      </c>
      <c r="AR127" s="269">
        <f>AO127*(1+SOTP!$D$99/2)</f>
        <v>37.395919999999997</v>
      </c>
      <c r="AS127" s="269">
        <f>AR127*(1+SOTP!$D$99/2)</f>
        <v>39.415299679999997</v>
      </c>
      <c r="AT127" s="269">
        <f t="shared" ref="AT127" si="633">AS127</f>
        <v>39.415299679999997</v>
      </c>
      <c r="AV127" s="269">
        <f>AS127*(1+SOTP!$D$99/2)</f>
        <v>41.543725862719995</v>
      </c>
      <c r="AW127" s="269">
        <f>AV127*(1+SOTP!$D$99/2)</f>
        <v>43.787087059306877</v>
      </c>
      <c r="AX127" s="269">
        <f t="shared" ref="AX127" si="634">AW127</f>
        <v>43.787087059306877</v>
      </c>
      <c r="AZ127" s="269">
        <f>AW127*(1+SOTP!$D$99/2)</f>
        <v>46.151589760509452</v>
      </c>
      <c r="BA127" s="269">
        <f>AZ127*(1+SOTP!$D$99/2)</f>
        <v>48.643775607576963</v>
      </c>
      <c r="BB127" s="269">
        <f t="shared" ref="BB127" si="635">BA127</f>
        <v>48.643775607576963</v>
      </c>
      <c r="BD127" s="269">
        <f>BA127*(1+SOTP!$D$99/2)</f>
        <v>51.27053949038612</v>
      </c>
      <c r="BE127" s="269">
        <f>BD127*(1+SOTP!$D$99/2)</f>
        <v>54.039148622866975</v>
      </c>
      <c r="BF127" s="269">
        <f t="shared" ref="BF127" si="636">BE127</f>
        <v>54.039148622866975</v>
      </c>
      <c r="BH127" s="269">
        <f>BE127*(1+SOTP!$D$99/2)</f>
        <v>56.957262648501796</v>
      </c>
      <c r="BI127" s="269">
        <f>BH127*(1+SOTP!$D$99/2)</f>
        <v>60.032954831520897</v>
      </c>
      <c r="BJ127" s="269">
        <f t="shared" ref="BJ127" si="637">BI127</f>
        <v>60.032954831520897</v>
      </c>
      <c r="BL127" s="269">
        <f>BI127*(1+SOTP!$D$99/2)</f>
        <v>63.274734392423028</v>
      </c>
      <c r="BM127" s="269">
        <f>BL127*(1+SOTP!$D$99/2)</f>
        <v>66.691570049613873</v>
      </c>
      <c r="BN127" s="269">
        <f t="shared" ref="BN127" si="638">BM127</f>
        <v>66.691570049613873</v>
      </c>
      <c r="BP127" s="269">
        <f>BM127*(1+SOTP!$D$99/2)</f>
        <v>70.292914832293022</v>
      </c>
      <c r="BQ127" s="269">
        <f>BP127*(1+SOTP!$D$99/2)</f>
        <v>74.088732233236854</v>
      </c>
      <c r="BR127" s="269">
        <f t="shared" ref="BR127" si="639">BQ127</f>
        <v>74.088732233236854</v>
      </c>
      <c r="BT127" s="269">
        <f>BQ127*(1+SOTP!$D$99/2)</f>
        <v>78.089523773831644</v>
      </c>
      <c r="BU127" s="269">
        <f>BT127*(1+SOTP!$D$99/2)</f>
        <v>82.306358057618553</v>
      </c>
      <c r="BV127" s="269">
        <f t="shared" ref="BV127" si="640">BU127</f>
        <v>82.306358057618553</v>
      </c>
      <c r="BX127" s="269">
        <f>BU127*(1+SOTP!$D$99/2)</f>
        <v>86.750901392729958</v>
      </c>
      <c r="BY127" s="269">
        <f>BX127*(1+SOTP!$D$99/2)</f>
        <v>91.435450067937381</v>
      </c>
      <c r="BZ127" s="269">
        <f t="shared" ref="BZ127" si="641">BY127</f>
        <v>91.435450067937381</v>
      </c>
    </row>
    <row r="128" spans="1:78" s="269" customFormat="1">
      <c r="A128" s="268"/>
      <c r="B128" s="538" t="s">
        <v>31</v>
      </c>
      <c r="D128" s="368"/>
      <c r="E128" s="368">
        <v>-2146826246</v>
      </c>
      <c r="F128" s="368">
        <v>-2146826246</v>
      </c>
      <c r="G128" s="368"/>
      <c r="H128" s="368">
        <v>-2146826246</v>
      </c>
      <c r="I128" s="368">
        <v>-2146826246</v>
      </c>
      <c r="J128" s="368">
        <v>-2146826246</v>
      </c>
      <c r="K128" s="368"/>
      <c r="L128" s="368">
        <v>12.762700000000001</v>
      </c>
      <c r="M128" s="368">
        <v>13.130100000000001</v>
      </c>
      <c r="N128" s="368">
        <v>13.130100000000001</v>
      </c>
      <c r="O128" s="368"/>
      <c r="P128" s="368">
        <v>12.1736</v>
      </c>
      <c r="Q128" s="368">
        <v>10.224600000000001</v>
      </c>
      <c r="R128" s="368">
        <v>10.224600000000001</v>
      </c>
      <c r="S128" s="368"/>
      <c r="T128" s="368">
        <v>11.742599999999999</v>
      </c>
      <c r="U128" s="368">
        <v>14.396699999999999</v>
      </c>
      <c r="V128" s="368">
        <v>14.396699999999999</v>
      </c>
      <c r="W128" s="368"/>
      <c r="X128" s="368">
        <v>15.856</v>
      </c>
      <c r="Y128" s="368">
        <v>21.928100000000001</v>
      </c>
      <c r="Z128" s="368">
        <v>21.928100000000001</v>
      </c>
      <c r="AA128" s="368"/>
      <c r="AB128" s="368">
        <v>25.2285</v>
      </c>
      <c r="AC128" s="368">
        <v>17.68</v>
      </c>
      <c r="AD128" s="368">
        <v>17.68</v>
      </c>
      <c r="AE128" s="368"/>
      <c r="AF128" s="368">
        <v>22.53</v>
      </c>
      <c r="AG128" s="808">
        <v>29.4</v>
      </c>
      <c r="AH128" s="808">
        <v>29.4</v>
      </c>
      <c r="AJ128" s="368">
        <v>27.5</v>
      </c>
      <c r="AK128" s="808">
        <v>31.69</v>
      </c>
      <c r="AL128" s="808">
        <v>31.69</v>
      </c>
      <c r="AN128" s="904">
        <v>31.2</v>
      </c>
      <c r="AO128" s="808">
        <v>35.479999999999997</v>
      </c>
      <c r="AP128" s="808">
        <v>35.479999999999997</v>
      </c>
      <c r="AR128" s="269">
        <f>Sum!$DA$3</f>
        <v>38.1</v>
      </c>
      <c r="AS128" s="269">
        <f>Sum!$DA$3</f>
        <v>38.1</v>
      </c>
      <c r="AT128" s="269">
        <f>AS128</f>
        <v>38.1</v>
      </c>
      <c r="AV128" s="269">
        <f>Sum!$DA$3</f>
        <v>38.1</v>
      </c>
      <c r="AW128" s="269">
        <f>Sum!$DA$3</f>
        <v>38.1</v>
      </c>
      <c r="AX128" s="269">
        <f>AW128</f>
        <v>38.1</v>
      </c>
      <c r="AZ128" s="269">
        <f>Sum!$DA$3</f>
        <v>38.1</v>
      </c>
      <c r="BA128" s="269">
        <f>Sum!$DA$3</f>
        <v>38.1</v>
      </c>
      <c r="BB128" s="269">
        <f>BA128</f>
        <v>38.1</v>
      </c>
      <c r="BD128" s="269">
        <f>Sum!$DA$3</f>
        <v>38.1</v>
      </c>
      <c r="BE128" s="269">
        <f>Sum!$DA$3</f>
        <v>38.1</v>
      </c>
      <c r="BF128" s="269">
        <f>BE128</f>
        <v>38.1</v>
      </c>
      <c r="BH128" s="269">
        <f>Sum!$DA$3</f>
        <v>38.1</v>
      </c>
      <c r="BI128" s="269">
        <f>Sum!$DA$3</f>
        <v>38.1</v>
      </c>
      <c r="BJ128" s="269">
        <f>BI128</f>
        <v>38.1</v>
      </c>
      <c r="BL128" s="269">
        <f>Sum!$DA$3</f>
        <v>38.1</v>
      </c>
      <c r="BM128" s="269">
        <f>Sum!$DA$3</f>
        <v>38.1</v>
      </c>
      <c r="BN128" s="269">
        <f>BM128</f>
        <v>38.1</v>
      </c>
      <c r="BP128" s="269">
        <f>Sum!$DA$3</f>
        <v>38.1</v>
      </c>
      <c r="BQ128" s="269">
        <f>Sum!$DA$3</f>
        <v>38.1</v>
      </c>
      <c r="BR128" s="269">
        <f>BQ128</f>
        <v>38.1</v>
      </c>
      <c r="BT128" s="269">
        <f>Sum!$DA$3</f>
        <v>38.1</v>
      </c>
      <c r="BU128" s="269">
        <f>Sum!$DA$3</f>
        <v>38.1</v>
      </c>
      <c r="BV128" s="269">
        <f>BU128</f>
        <v>38.1</v>
      </c>
      <c r="BX128" s="269">
        <f>Sum!$DA$3</f>
        <v>38.1</v>
      </c>
      <c r="BY128" s="269">
        <f>Sum!$DA$3</f>
        <v>38.1</v>
      </c>
      <c r="BZ128" s="269">
        <f>BY128</f>
        <v>38.1</v>
      </c>
    </row>
    <row r="129" spans="1:78" s="269" customFormat="1">
      <c r="A129" s="268"/>
      <c r="B129" s="538"/>
      <c r="D129" s="256"/>
      <c r="E129" s="256"/>
      <c r="F129" s="256"/>
      <c r="G129" s="256"/>
      <c r="H129" s="256"/>
      <c r="I129" s="256"/>
      <c r="J129" s="256"/>
      <c r="K129" s="256"/>
      <c r="L129" s="256"/>
      <c r="M129" s="256"/>
      <c r="N129" s="256"/>
      <c r="O129" s="256"/>
      <c r="P129" s="256"/>
      <c r="Q129" s="256"/>
      <c r="R129" s="256"/>
      <c r="S129" s="256"/>
      <c r="T129" s="256"/>
      <c r="U129" s="256"/>
      <c r="V129" s="256"/>
      <c r="W129" s="256"/>
      <c r="X129" s="256"/>
    </row>
    <row r="130" spans="1:78">
      <c r="B130" s="247" t="s">
        <v>26</v>
      </c>
      <c r="C130" s="256"/>
      <c r="D130" s="256"/>
      <c r="E130" s="256"/>
      <c r="F130" s="256"/>
      <c r="G130" s="256"/>
      <c r="H130" s="256"/>
      <c r="I130" s="256"/>
      <c r="J130" s="256"/>
      <c r="K130" s="256"/>
      <c r="L130" s="256"/>
      <c r="M130" s="256"/>
      <c r="N130" s="256"/>
      <c r="O130" s="256"/>
      <c r="P130" s="256"/>
      <c r="Q130" s="256"/>
      <c r="R130" s="256"/>
      <c r="S130" s="256"/>
      <c r="T130" s="256"/>
      <c r="U130" s="256"/>
      <c r="V130" s="256"/>
      <c r="W130" s="256"/>
      <c r="X130" s="256"/>
      <c r="Y130" s="256"/>
      <c r="Z130" s="256"/>
      <c r="AA130" s="256"/>
      <c r="AB130" s="256"/>
      <c r="AC130" s="256"/>
      <c r="AD130" s="256"/>
      <c r="AG130" s="256"/>
      <c r="AH130" s="256"/>
      <c r="AK130" s="256"/>
      <c r="AL130" s="256"/>
      <c r="AO130" s="256"/>
      <c r="AP130" s="256"/>
    </row>
    <row r="131" spans="1:78" s="155" customFormat="1">
      <c r="A131" s="163"/>
      <c r="B131" s="254" t="s">
        <v>31</v>
      </c>
      <c r="C131" s="241"/>
      <c r="D131" s="231">
        <v>63.272557999999997</v>
      </c>
      <c r="E131" s="155">
        <f t="shared" ref="E131" si="642">+F131</f>
        <v>63.846476000000003</v>
      </c>
      <c r="F131" s="231">
        <v>63.846476000000003</v>
      </c>
      <c r="H131" s="231">
        <v>63.846476000000003</v>
      </c>
      <c r="I131" s="155">
        <f t="shared" ref="I131" si="643">+J131</f>
        <v>63.846476000000003</v>
      </c>
      <c r="J131" s="231">
        <v>63.846476000000003</v>
      </c>
      <c r="L131" s="231">
        <v>63.846476000000003</v>
      </c>
      <c r="M131" s="155">
        <f t="shared" ref="M131" si="644">+N131</f>
        <v>63.846476000000003</v>
      </c>
      <c r="N131" s="231">
        <v>63.846476000000003</v>
      </c>
      <c r="P131" s="231">
        <v>73.352698000000004</v>
      </c>
      <c r="Q131" s="155">
        <f t="shared" ref="Q131" si="645">+R131</f>
        <v>73.502778000000006</v>
      </c>
      <c r="R131" s="231">
        <v>73.502778000000006</v>
      </c>
      <c r="T131" s="231">
        <v>73.796870999999996</v>
      </c>
      <c r="U131" s="155">
        <f t="shared" ref="U131" si="646">+V131</f>
        <v>73.818757000000005</v>
      </c>
      <c r="V131" s="231">
        <v>73.818757000000005</v>
      </c>
      <c r="X131" s="231">
        <v>74.379200999999995</v>
      </c>
      <c r="Y131" s="155">
        <f t="shared" ref="Y131" si="647">+Z131</f>
        <v>74.403507000000005</v>
      </c>
      <c r="Z131" s="231">
        <v>74.403507000000005</v>
      </c>
      <c r="AB131" s="231">
        <v>74.459057000000001</v>
      </c>
      <c r="AC131" s="155">
        <f>+AD131</f>
        <v>92.409126000000001</v>
      </c>
      <c r="AD131" s="231">
        <v>92.409126000000001</v>
      </c>
      <c r="AF131" s="230">
        <v>101.530518</v>
      </c>
      <c r="AG131" s="155">
        <f>+AH131</f>
        <v>108.40562</v>
      </c>
      <c r="AH131" s="231">
        <v>108.40562</v>
      </c>
      <c r="AJ131" s="230">
        <v>108.40562</v>
      </c>
      <c r="AK131" s="155">
        <f>+AL131</f>
        <v>115.678348</v>
      </c>
      <c r="AL131" s="231">
        <v>115.678348</v>
      </c>
      <c r="AM131" s="260"/>
      <c r="AN131" s="181">
        <v>116.587434</v>
      </c>
      <c r="AO131" s="155">
        <f>+AP131</f>
        <v>116.587434</v>
      </c>
      <c r="AP131" s="915">
        <v>116.587434</v>
      </c>
      <c r="AQ131" s="260"/>
      <c r="AR131" s="260">
        <f t="shared" ref="AR131:AT131" si="648">+AR140</f>
        <v>116.30887988233155</v>
      </c>
      <c r="AS131" s="260">
        <f t="shared" si="648"/>
        <v>116.04639488072063</v>
      </c>
      <c r="AT131" s="260">
        <f t="shared" si="648"/>
        <v>116.04639488072063</v>
      </c>
      <c r="AU131" s="260"/>
      <c r="AV131" s="260">
        <f t="shared" ref="AV131:AX131" si="649">+AV140</f>
        <v>115.79237713722618</v>
      </c>
      <c r="AW131" s="260">
        <f t="shared" si="649"/>
        <v>115.55137358552368</v>
      </c>
      <c r="AX131" s="260">
        <f t="shared" si="649"/>
        <v>115.55137358552368</v>
      </c>
      <c r="AY131" s="260"/>
      <c r="AZ131" s="260">
        <f t="shared" ref="AZ131:BB131" si="650">+AZ140</f>
        <v>115.31814434194061</v>
      </c>
      <c r="BA131" s="260">
        <f t="shared" si="650"/>
        <v>115.09686422468911</v>
      </c>
      <c r="BB131" s="260">
        <f t="shared" si="650"/>
        <v>115.09686422468911</v>
      </c>
      <c r="BC131" s="260"/>
      <c r="BD131" s="260">
        <f t="shared" ref="BD131:BF131" si="651">+BD140</f>
        <v>114.88272217573605</v>
      </c>
      <c r="BE131" s="260">
        <f t="shared" si="651"/>
        <v>114.67955135130241</v>
      </c>
      <c r="BF131" s="260">
        <f t="shared" si="651"/>
        <v>114.67955135130241</v>
      </c>
      <c r="BG131" s="260"/>
      <c r="BH131" s="260">
        <f t="shared" ref="BH131:BJ131" si="652">+BH140</f>
        <v>114.48293442443114</v>
      </c>
      <c r="BI131" s="260">
        <f t="shared" si="652"/>
        <v>114.29639085054949</v>
      </c>
      <c r="BJ131" s="260">
        <f t="shared" si="652"/>
        <v>114.29639085054949</v>
      </c>
      <c r="BK131" s="260"/>
      <c r="BL131" s="260">
        <f t="shared" ref="BL131:BN131" si="653">+BL140</f>
        <v>114.11586481130917</v>
      </c>
      <c r="BM131" s="260">
        <f t="shared" si="653"/>
        <v>113.94458773423106</v>
      </c>
      <c r="BN131" s="260">
        <f t="shared" si="653"/>
        <v>113.94458773423106</v>
      </c>
      <c r="BO131" s="260"/>
      <c r="BP131" s="260">
        <f t="shared" ref="BP131:BR131" si="654">+BP140</f>
        <v>113.77883572415548</v>
      </c>
      <c r="BQ131" s="260">
        <f t="shared" si="654"/>
        <v>113.62157575254678</v>
      </c>
      <c r="BR131" s="260">
        <f t="shared" si="654"/>
        <v>113.62157575254678</v>
      </c>
      <c r="BS131" s="260"/>
      <c r="BT131" s="260">
        <f t="shared" ref="BT131:BV131" si="655">+BT140</f>
        <v>113.46938868324803</v>
      </c>
      <c r="BU131" s="260">
        <f t="shared" si="655"/>
        <v>113.32499867442569</v>
      </c>
      <c r="BV131" s="260">
        <f t="shared" si="655"/>
        <v>113.32499867442569</v>
      </c>
      <c r="BW131" s="260"/>
      <c r="BX131" s="260">
        <f t="shared" ref="BX131:BZ131" si="656">+BX140</f>
        <v>113.18526640782342</v>
      </c>
      <c r="BY131" s="260">
        <f t="shared" si="656"/>
        <v>113.05269309985162</v>
      </c>
      <c r="BZ131" s="260">
        <f t="shared" si="656"/>
        <v>113.05269309985162</v>
      </c>
    </row>
    <row r="132" spans="1:78" s="155" customFormat="1">
      <c r="A132" s="163"/>
      <c r="B132" s="254" t="s">
        <v>303</v>
      </c>
      <c r="C132" s="241"/>
      <c r="D132" s="230">
        <v>63.846476000000003</v>
      </c>
      <c r="E132" s="230">
        <v>72.468319704952606</v>
      </c>
      <c r="F132" s="230">
        <v>63.040999999999997</v>
      </c>
      <c r="G132" s="230"/>
      <c r="H132" s="230">
        <v>63.846476000000003</v>
      </c>
      <c r="I132" s="230">
        <v>72.468319704952606</v>
      </c>
      <c r="J132" s="230">
        <v>63.845999999999997</v>
      </c>
      <c r="K132" s="230"/>
      <c r="L132" s="230">
        <v>63.846476000000003</v>
      </c>
      <c r="M132" s="230">
        <v>72.468319704952606</v>
      </c>
      <c r="N132" s="230">
        <v>63.845999999999997</v>
      </c>
      <c r="O132" s="230"/>
      <c r="P132" s="230">
        <v>65.794313000000002</v>
      </c>
      <c r="Q132" s="230">
        <v>72.468319704952606</v>
      </c>
      <c r="R132" s="230">
        <v>69.593000000000004</v>
      </c>
      <c r="S132" s="230"/>
      <c r="T132" s="230">
        <v>73.638636000000005</v>
      </c>
      <c r="U132" s="230">
        <v>73.502778000000006</v>
      </c>
      <c r="V132" s="230">
        <v>73.724000000000004</v>
      </c>
      <c r="W132" s="230"/>
      <c r="X132" s="230">
        <v>74.139223000000001</v>
      </c>
      <c r="Y132" s="230">
        <v>73.818757000000005</v>
      </c>
      <c r="Z132" s="230">
        <v>74.265625999999997</v>
      </c>
      <c r="AA132" s="230"/>
      <c r="AB132" s="230">
        <v>74.418903999999998</v>
      </c>
      <c r="AC132" s="230">
        <v>74.403507000000005</v>
      </c>
      <c r="AD132" s="230">
        <v>76.545636999999999</v>
      </c>
      <c r="AF132" s="230">
        <v>96.838915</v>
      </c>
      <c r="AG132" s="155">
        <f>+(AH132-AF132*AF$4)/AG$4</f>
        <v>102.88477701657459</v>
      </c>
      <c r="AH132" s="230">
        <v>99.837000000000003</v>
      </c>
      <c r="AJ132" s="230">
        <v>108.40562</v>
      </c>
      <c r="AK132" s="155">
        <f>+(AL132-AJ132*AJ$4)/AK$4</f>
        <v>109.76380175824177</v>
      </c>
      <c r="AL132" s="230">
        <v>109.081</v>
      </c>
      <c r="AM132" s="260"/>
      <c r="AN132" s="181">
        <v>116.567671</v>
      </c>
      <c r="AO132" s="155">
        <f>+(AP132-AN132*AN$4)/AO$4</f>
        <v>116.58648362430937</v>
      </c>
      <c r="AP132" s="916">
        <v>116.577</v>
      </c>
      <c r="AQ132" s="260"/>
      <c r="AR132" s="260">
        <f t="shared" ref="AR132:AS132" si="657">+AVERAGE(AR140,AR136)</f>
        <v>116.44815694116578</v>
      </c>
      <c r="AS132" s="260">
        <f t="shared" si="657"/>
        <v>116.1776373815261</v>
      </c>
      <c r="AT132" s="260">
        <f t="shared" ref="AT132:AT133" si="658">+AVERAGE(AR132,AS132)</f>
        <v>116.31289716134594</v>
      </c>
      <c r="AU132" s="260"/>
      <c r="AV132" s="260">
        <f t="shared" ref="AV132:AW132" si="659">+AVERAGE(AV140,AV136)</f>
        <v>115.9193860089734</v>
      </c>
      <c r="AW132" s="260">
        <f t="shared" si="659"/>
        <v>115.67187536137493</v>
      </c>
      <c r="AX132" s="260">
        <f t="shared" ref="AX132:AX133" si="660">+AVERAGE(AV132,AW132)</f>
        <v>115.79563068517416</v>
      </c>
      <c r="AY132" s="260"/>
      <c r="AZ132" s="260">
        <f t="shared" ref="AZ132:BA132" si="661">+AVERAGE(AZ140,AZ136)</f>
        <v>115.43475896373215</v>
      </c>
      <c r="BA132" s="260">
        <f t="shared" si="661"/>
        <v>115.20750428331486</v>
      </c>
      <c r="BB132" s="260">
        <f t="shared" ref="BB132:BB133" si="662">+AVERAGE(AZ132,BA132)</f>
        <v>115.32113162352351</v>
      </c>
      <c r="BC132" s="260"/>
      <c r="BD132" s="260">
        <f t="shared" ref="BD132:BE132" si="663">+AVERAGE(BD140,BD136)</f>
        <v>114.98979320021257</v>
      </c>
      <c r="BE132" s="260">
        <f t="shared" si="663"/>
        <v>114.78113676351923</v>
      </c>
      <c r="BF132" s="260">
        <f t="shared" ref="BF132:BF133" si="664">+AVERAGE(BD132,BE132)</f>
        <v>114.88546498186591</v>
      </c>
      <c r="BG132" s="260"/>
      <c r="BH132" s="260">
        <f t="shared" ref="BH132:BI132" si="665">+AVERAGE(BH140,BH136)</f>
        <v>114.58124288786678</v>
      </c>
      <c r="BI132" s="260">
        <f t="shared" si="665"/>
        <v>114.38966263749032</v>
      </c>
      <c r="BJ132" s="260">
        <f t="shared" ref="BJ132:BJ133" si="666">+AVERAGE(BH132,BI132)</f>
        <v>114.48545276267855</v>
      </c>
      <c r="BK132" s="260"/>
      <c r="BL132" s="260">
        <f t="shared" ref="BL132:BM132" si="667">+AVERAGE(BL140,BL136)</f>
        <v>114.20612783092932</v>
      </c>
      <c r="BM132" s="260">
        <f t="shared" si="667"/>
        <v>114.03022627277011</v>
      </c>
      <c r="BN132" s="260">
        <f t="shared" ref="BN132:BN133" si="668">+AVERAGE(BL132,BM132)</f>
        <v>114.11817705184971</v>
      </c>
      <c r="BO132" s="260"/>
      <c r="BP132" s="260">
        <f t="shared" ref="BP132:BQ132" si="669">+AVERAGE(BP140,BP136)</f>
        <v>113.86171172919327</v>
      </c>
      <c r="BQ132" s="260">
        <f t="shared" si="669"/>
        <v>113.70020573835113</v>
      </c>
      <c r="BR132" s="260">
        <f t="shared" ref="BR132:BR133" si="670">+AVERAGE(BP132,BQ132)</f>
        <v>113.7809587337722</v>
      </c>
      <c r="BS132" s="260"/>
      <c r="BT132" s="260">
        <f t="shared" ref="BT132:BU132" si="671">+AVERAGE(BT140,BT136)</f>
        <v>113.5454822178974</v>
      </c>
      <c r="BU132" s="260">
        <f t="shared" si="671"/>
        <v>113.39719367883686</v>
      </c>
      <c r="BV132" s="260">
        <f t="shared" ref="BV132:BV133" si="672">+AVERAGE(BT132,BU132)</f>
        <v>113.47133794836714</v>
      </c>
      <c r="BW132" s="260"/>
      <c r="BX132" s="260">
        <f t="shared" ref="BX132:BY132" si="673">+AVERAGE(BX140,BX136)</f>
        <v>113.25513254112455</v>
      </c>
      <c r="BY132" s="260">
        <f t="shared" si="673"/>
        <v>113.11897975383752</v>
      </c>
      <c r="BZ132" s="260">
        <f t="shared" ref="BZ132:BZ133" si="674">+AVERAGE(BX132,BY132)</f>
        <v>113.18705614748103</v>
      </c>
    </row>
    <row r="133" spans="1:78" s="155" customFormat="1">
      <c r="A133" s="163"/>
      <c r="B133" s="254" t="s">
        <v>304</v>
      </c>
      <c r="C133" s="241"/>
      <c r="D133" s="230">
        <v>63.846476000000003</v>
      </c>
      <c r="E133" s="230">
        <v>72.659256379275604</v>
      </c>
      <c r="F133" s="230">
        <v>63.201000000000001</v>
      </c>
      <c r="G133" s="230"/>
      <c r="H133" s="230">
        <v>63.846476000000003</v>
      </c>
      <c r="I133" s="230">
        <v>72.659256379275604</v>
      </c>
      <c r="J133" s="230">
        <v>64.058999999999997</v>
      </c>
      <c r="K133" s="230"/>
      <c r="L133" s="230">
        <v>63.846476000000003</v>
      </c>
      <c r="M133" s="230">
        <v>72.659256379275604</v>
      </c>
      <c r="N133" s="230">
        <v>64.087999999999994</v>
      </c>
      <c r="O133" s="230"/>
      <c r="P133" s="230">
        <v>73.352698000000004</v>
      </c>
      <c r="Q133" s="230">
        <v>72.659256379275604</v>
      </c>
      <c r="R133" s="230">
        <v>69.674000000000007</v>
      </c>
      <c r="S133" s="230"/>
      <c r="T133" s="230">
        <v>73.72372</v>
      </c>
      <c r="U133" s="230">
        <v>73.72372</v>
      </c>
      <c r="V133" s="230">
        <v>73.896000000000001</v>
      </c>
      <c r="W133" s="230"/>
      <c r="X133" s="230">
        <v>74.265625999999997</v>
      </c>
      <c r="Y133" s="230">
        <v>74.265625999999997</v>
      </c>
      <c r="Z133" s="230">
        <v>74.488</v>
      </c>
      <c r="AA133" s="230"/>
      <c r="AB133" s="230">
        <v>74.418903999999998</v>
      </c>
      <c r="AC133" s="230">
        <v>78.672370000000001</v>
      </c>
      <c r="AD133" s="230">
        <v>76.814999999999998</v>
      </c>
      <c r="AF133" s="230">
        <v>96.838915</v>
      </c>
      <c r="AG133" s="155">
        <f>+(AH133-AF133*AF$4)/AG$4</f>
        <v>103.75190408839777</v>
      </c>
      <c r="AH133" s="230">
        <v>100.267</v>
      </c>
      <c r="AJ133" s="250">
        <f>+AJ89/AJ152*100</f>
        <v>109.8699690402478</v>
      </c>
      <c r="AK133" s="155">
        <f>+(AL133-AJ133*AJ$4)/AK$4</f>
        <v>109.80769064062861</v>
      </c>
      <c r="AL133" s="230">
        <v>109.839</v>
      </c>
      <c r="AN133" s="905">
        <f>+AN89/AN152*100</f>
        <v>118.03023566029329</v>
      </c>
      <c r="AO133" s="155">
        <f>+(AP133-AN133*AN$4)/AO$4</f>
        <v>116.95089303042008</v>
      </c>
      <c r="AP133" s="916">
        <v>117.495</v>
      </c>
      <c r="AR133" s="260">
        <f t="shared" ref="AR133" si="675">+AR132*(AO133/AO132)</f>
        <v>116.81213398545472</v>
      </c>
      <c r="AS133" s="260">
        <f t="shared" ref="AS133" si="676">+AS132*(AR133/AR132)</f>
        <v>116.54076887434969</v>
      </c>
      <c r="AT133" s="260">
        <f t="shared" si="658"/>
        <v>116.67645142990222</v>
      </c>
      <c r="AV133" s="260">
        <f t="shared" ref="AV133" si="677">+AV132*(AS133/AS132)</f>
        <v>116.28171029648148</v>
      </c>
      <c r="AW133" s="260">
        <f t="shared" ref="AW133" si="678">+AW132*(AV133/AV132)</f>
        <v>116.033426015394</v>
      </c>
      <c r="AX133" s="260">
        <f t="shared" si="660"/>
        <v>116.15756815593774</v>
      </c>
      <c r="AZ133" s="260">
        <f t="shared" ref="AZ133" si="679">+AZ132*(AW133/AW132)</f>
        <v>115.79556847312658</v>
      </c>
      <c r="BA133" s="260">
        <f t="shared" ref="BA133" si="680">+BA132*(AZ133/AZ132)</f>
        <v>115.56760347243413</v>
      </c>
      <c r="BB133" s="260">
        <f t="shared" si="662"/>
        <v>115.68158597278035</v>
      </c>
      <c r="BD133" s="260">
        <f t="shared" ref="BD133" si="681">+BD132*(BA133/BA132)</f>
        <v>115.34921189907233</v>
      </c>
      <c r="BE133" s="260">
        <f t="shared" ref="BE133" si="682">+BE132*(BD133/BD132)</f>
        <v>115.13990327384209</v>
      </c>
      <c r="BF133" s="260">
        <f t="shared" si="664"/>
        <v>115.2445575864572</v>
      </c>
      <c r="BH133" s="260">
        <f t="shared" ref="BH133" si="683">+BH132*(BE133/BE132)</f>
        <v>114.93938459841658</v>
      </c>
      <c r="BI133" s="260">
        <f t="shared" ref="BI133" si="684">+BI132*(BH133/BH132)</f>
        <v>114.74720553381147</v>
      </c>
      <c r="BJ133" s="260">
        <f t="shared" si="666"/>
        <v>114.84329506611402</v>
      </c>
      <c r="BL133" s="260">
        <f t="shared" ref="BL133" si="685">+BL132*(BI133/BI132)</f>
        <v>114.56309706032287</v>
      </c>
      <c r="BM133" s="260">
        <f t="shared" ref="BM133" si="686">+BM132*(BL133/BL132)</f>
        <v>114.38664569415548</v>
      </c>
      <c r="BN133" s="260">
        <f t="shared" si="668"/>
        <v>114.47487137723917</v>
      </c>
      <c r="BP133" s="260">
        <f t="shared" ref="BP133" si="687">+BP132*(BM133/BM132)</f>
        <v>114.21760443184731</v>
      </c>
      <c r="BQ133" s="260">
        <f t="shared" ref="BQ133" si="688">+BQ132*(BP133/BP132)</f>
        <v>114.05559362860859</v>
      </c>
      <c r="BR133" s="260">
        <f t="shared" si="670"/>
        <v>114.13659903022796</v>
      </c>
      <c r="BT133" s="260">
        <f t="shared" ref="BT133" si="689">+BT132*(BQ133/BQ132)</f>
        <v>113.9003864954371</v>
      </c>
      <c r="BU133" s="260">
        <f t="shared" ref="BU133" si="690">+BU132*(BT133/BT132)</f>
        <v>113.75163445720605</v>
      </c>
      <c r="BV133" s="260">
        <f t="shared" si="672"/>
        <v>113.82601047632158</v>
      </c>
      <c r="BX133" s="260">
        <f t="shared" ref="BX133" si="691">+BX132*(BU133/BU132)</f>
        <v>113.60912928504639</v>
      </c>
      <c r="BY133" s="260">
        <f t="shared" ref="BY133" si="692">+BY132*(BX133/BX132)</f>
        <v>113.47255093079127</v>
      </c>
      <c r="BZ133" s="260">
        <f t="shared" si="674"/>
        <v>113.54084010791883</v>
      </c>
    </row>
    <row r="134" spans="1:78" s="155" customFormat="1">
      <c r="A134" s="163"/>
      <c r="B134" s="254"/>
      <c r="C134" s="241"/>
      <c r="D134" s="230"/>
      <c r="E134" s="230"/>
      <c r="F134" s="230"/>
      <c r="G134" s="230"/>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c r="AF134" s="260"/>
      <c r="AG134" s="230"/>
      <c r="AH134" s="230"/>
      <c r="AJ134" s="260"/>
      <c r="AK134" s="230"/>
      <c r="AL134" s="230"/>
      <c r="AN134" s="260"/>
      <c r="AO134" s="230"/>
      <c r="AP134" s="230"/>
      <c r="AR134" s="260"/>
      <c r="AS134" s="260"/>
      <c r="AT134" s="260"/>
      <c r="AV134" s="260"/>
      <c r="AW134" s="260"/>
      <c r="AX134" s="260"/>
      <c r="AZ134" s="260"/>
      <c r="BA134" s="260"/>
      <c r="BB134" s="260"/>
      <c r="BD134" s="260"/>
      <c r="BE134" s="260"/>
      <c r="BF134" s="260"/>
      <c r="BH134" s="260"/>
      <c r="BI134" s="260"/>
      <c r="BJ134" s="260"/>
      <c r="BL134" s="260"/>
      <c r="BM134" s="260"/>
      <c r="BN134" s="260"/>
      <c r="BP134" s="260"/>
      <c r="BQ134" s="260"/>
      <c r="BR134" s="260"/>
      <c r="BT134" s="260"/>
      <c r="BU134" s="260"/>
      <c r="BV134" s="260"/>
      <c r="BX134" s="260"/>
      <c r="BY134" s="260"/>
      <c r="BZ134" s="260"/>
    </row>
    <row r="135" spans="1:78" s="155" customFormat="1">
      <c r="A135" s="163"/>
      <c r="B135" s="349" t="s">
        <v>279</v>
      </c>
      <c r="C135" s="241"/>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c r="AF135" s="260"/>
      <c r="AG135" s="230"/>
      <c r="AH135" s="230"/>
      <c r="AJ135" s="260"/>
      <c r="AK135" s="230"/>
      <c r="AL135" s="230"/>
      <c r="AN135" s="260"/>
      <c r="AO135" s="230"/>
      <c r="AP135" s="230"/>
      <c r="AR135" s="260"/>
      <c r="AS135" s="260"/>
      <c r="AT135" s="260"/>
      <c r="AV135" s="260"/>
      <c r="AW135" s="260"/>
      <c r="AX135" s="260"/>
      <c r="AZ135" s="260"/>
      <c r="BA135" s="260"/>
      <c r="BB135" s="260"/>
      <c r="BD135" s="260"/>
      <c r="BE135" s="260"/>
      <c r="BF135" s="260"/>
      <c r="BH135" s="260"/>
      <c r="BI135" s="260"/>
      <c r="BJ135" s="260"/>
      <c r="BL135" s="260"/>
      <c r="BM135" s="260"/>
      <c r="BN135" s="260"/>
      <c r="BP135" s="260"/>
      <c r="BQ135" s="260"/>
      <c r="BR135" s="260"/>
      <c r="BT135" s="260"/>
      <c r="BU135" s="260"/>
      <c r="BV135" s="260"/>
      <c r="BX135" s="260"/>
      <c r="BY135" s="260"/>
      <c r="BZ135" s="260"/>
    </row>
    <row r="136" spans="1:78" s="155" customFormat="1">
      <c r="A136" s="163"/>
      <c r="B136" s="372" t="s">
        <v>280</v>
      </c>
      <c r="C136" s="241"/>
      <c r="D136" s="231">
        <v>62.256689000000001</v>
      </c>
      <c r="E136" s="407">
        <f>+D140</f>
        <v>63.272557999999997</v>
      </c>
      <c r="F136" s="231">
        <v>62.256689000000001</v>
      </c>
      <c r="G136" s="230"/>
      <c r="H136" s="407">
        <f>+F140</f>
        <v>63.846476000000003</v>
      </c>
      <c r="I136" s="407">
        <f>+H140</f>
        <v>63.846476000000003</v>
      </c>
      <c r="J136" s="407">
        <f>+F140</f>
        <v>63.846476000000003</v>
      </c>
      <c r="K136" s="230"/>
      <c r="L136" s="407">
        <f>+J140</f>
        <v>63.846476000000003</v>
      </c>
      <c r="M136" s="407">
        <f>+L140</f>
        <v>63.846476000000003</v>
      </c>
      <c r="N136" s="407">
        <f>+J140</f>
        <v>63.846476000000003</v>
      </c>
      <c r="O136" s="230"/>
      <c r="P136" s="407">
        <f>+N140</f>
        <v>63.846476000000003</v>
      </c>
      <c r="Q136" s="407">
        <f>+P140</f>
        <v>73.352698000000004</v>
      </c>
      <c r="R136" s="407">
        <f>+N140</f>
        <v>63.846476000000003</v>
      </c>
      <c r="S136" s="230"/>
      <c r="T136" s="407">
        <f>+R140</f>
        <v>73.502778000000006</v>
      </c>
      <c r="U136" s="407">
        <f>+T140</f>
        <v>73.796870999999996</v>
      </c>
      <c r="V136" s="407">
        <f>+R140</f>
        <v>73.502778000000006</v>
      </c>
      <c r="W136" s="230"/>
      <c r="X136" s="407">
        <f>+V140</f>
        <v>73.818757000000005</v>
      </c>
      <c r="Y136" s="407">
        <f>+X140</f>
        <v>74.379200999999995</v>
      </c>
      <c r="Z136" s="407">
        <f>+V140</f>
        <v>73.818757000000005</v>
      </c>
      <c r="AA136" s="230"/>
      <c r="AB136" s="407">
        <f>+Z140</f>
        <v>74.403507000000005</v>
      </c>
      <c r="AC136" s="407">
        <f>+AB140</f>
        <v>74.459057000000001</v>
      </c>
      <c r="AD136" s="407">
        <f>+Z140</f>
        <v>74.403507000000005</v>
      </c>
      <c r="AF136" s="260">
        <f>+AD140</f>
        <v>92.409126000000001</v>
      </c>
      <c r="AG136" s="407">
        <f>+AF140</f>
        <v>101.530518</v>
      </c>
      <c r="AH136" s="407">
        <f>+AD140</f>
        <v>92.409126000000001</v>
      </c>
      <c r="AJ136" s="260">
        <f>+AH140</f>
        <v>108.40562</v>
      </c>
      <c r="AK136" s="407">
        <f>+AJ140</f>
        <v>108.40562</v>
      </c>
      <c r="AL136" s="407">
        <f>+AH140</f>
        <v>108.40562</v>
      </c>
      <c r="AN136" s="260">
        <f>+AL140</f>
        <v>115.678348</v>
      </c>
      <c r="AO136" s="407">
        <f>+AN140</f>
        <v>116.587671</v>
      </c>
      <c r="AP136" s="407">
        <f>+AL140</f>
        <v>115.678348</v>
      </c>
      <c r="AR136" s="260">
        <f t="shared" ref="AR136" si="693">+AO140</f>
        <v>116.587434</v>
      </c>
      <c r="AS136" s="260">
        <f t="shared" ref="AS136" si="694">+AR140</f>
        <v>116.30887988233155</v>
      </c>
      <c r="AT136" s="260">
        <f t="shared" ref="AT136" si="695">+AR136</f>
        <v>116.587434</v>
      </c>
      <c r="AV136" s="260">
        <f t="shared" ref="AV136" si="696">+AS140</f>
        <v>116.04639488072063</v>
      </c>
      <c r="AW136" s="260">
        <f t="shared" ref="AW136" si="697">+AV140</f>
        <v>115.79237713722618</v>
      </c>
      <c r="AX136" s="260">
        <f t="shared" ref="AX136" si="698">+AV136</f>
        <v>116.04639488072063</v>
      </c>
      <c r="AZ136" s="260">
        <f t="shared" ref="AZ136" si="699">+AW140</f>
        <v>115.55137358552368</v>
      </c>
      <c r="BA136" s="260">
        <f t="shared" ref="BA136" si="700">+AZ140</f>
        <v>115.31814434194061</v>
      </c>
      <c r="BB136" s="260">
        <f t="shared" ref="BB136" si="701">+AZ136</f>
        <v>115.55137358552368</v>
      </c>
      <c r="BD136" s="260">
        <f t="shared" ref="BD136" si="702">+BA140</f>
        <v>115.09686422468911</v>
      </c>
      <c r="BE136" s="260">
        <f t="shared" ref="BE136" si="703">+BD140</f>
        <v>114.88272217573605</v>
      </c>
      <c r="BF136" s="260">
        <f t="shared" ref="BF136" si="704">+BD136</f>
        <v>115.09686422468911</v>
      </c>
      <c r="BH136" s="260">
        <f t="shared" ref="BH136" si="705">+BE140</f>
        <v>114.67955135130241</v>
      </c>
      <c r="BI136" s="260">
        <f t="shared" ref="BI136" si="706">+BH140</f>
        <v>114.48293442443114</v>
      </c>
      <c r="BJ136" s="260">
        <f t="shared" ref="BJ136" si="707">+BH136</f>
        <v>114.67955135130241</v>
      </c>
      <c r="BL136" s="260">
        <f t="shared" ref="BL136" si="708">+BI140</f>
        <v>114.29639085054949</v>
      </c>
      <c r="BM136" s="260">
        <f t="shared" ref="BM136" si="709">+BL140</f>
        <v>114.11586481130917</v>
      </c>
      <c r="BN136" s="260">
        <f t="shared" ref="BN136" si="710">+BL136</f>
        <v>114.29639085054949</v>
      </c>
      <c r="BP136" s="260">
        <f t="shared" ref="BP136" si="711">+BM140</f>
        <v>113.94458773423106</v>
      </c>
      <c r="BQ136" s="260">
        <f t="shared" ref="BQ136" si="712">+BP140</f>
        <v>113.77883572415548</v>
      </c>
      <c r="BR136" s="260">
        <f t="shared" ref="BR136" si="713">+BP136</f>
        <v>113.94458773423106</v>
      </c>
      <c r="BT136" s="260">
        <f t="shared" ref="BT136" si="714">+BQ140</f>
        <v>113.62157575254678</v>
      </c>
      <c r="BU136" s="260">
        <f t="shared" ref="BU136" si="715">+BT140</f>
        <v>113.46938868324803</v>
      </c>
      <c r="BV136" s="260">
        <f t="shared" ref="BV136" si="716">+BT136</f>
        <v>113.62157575254678</v>
      </c>
      <c r="BX136" s="260">
        <f t="shared" ref="BX136" si="717">+BU140</f>
        <v>113.32499867442569</v>
      </c>
      <c r="BY136" s="260">
        <f t="shared" ref="BY136" si="718">+BX140</f>
        <v>113.18526640782342</v>
      </c>
      <c r="BZ136" s="260">
        <f t="shared" ref="BZ136" si="719">+BX136</f>
        <v>113.32499867442569</v>
      </c>
    </row>
    <row r="137" spans="1:78" s="155" customFormat="1">
      <c r="A137" s="163"/>
      <c r="B137" s="372" t="s">
        <v>281</v>
      </c>
      <c r="C137" s="241"/>
      <c r="D137" s="230">
        <v>1.0047699999999999</v>
      </c>
      <c r="E137" s="241">
        <f>F137</f>
        <v>1.5056879999999999</v>
      </c>
      <c r="F137" s="230">
        <f>1.00477+0.500918</f>
        <v>1.5056879999999999</v>
      </c>
      <c r="G137" s="230"/>
      <c r="H137" s="230">
        <v>0</v>
      </c>
      <c r="I137" s="241">
        <f>+J137-H137</f>
        <v>0</v>
      </c>
      <c r="J137" s="230">
        <v>0</v>
      </c>
      <c r="K137" s="230"/>
      <c r="L137" s="230">
        <v>0</v>
      </c>
      <c r="M137" s="241">
        <f>+N137-L137</f>
        <v>0</v>
      </c>
      <c r="N137" s="230">
        <v>0</v>
      </c>
      <c r="O137" s="230"/>
      <c r="P137" s="230">
        <v>0</v>
      </c>
      <c r="Q137" s="241">
        <f>+R137-P137</f>
        <v>0</v>
      </c>
      <c r="R137" s="230">
        <v>0</v>
      </c>
      <c r="S137" s="230"/>
      <c r="T137" s="230">
        <v>0.29409299999999999</v>
      </c>
      <c r="U137" s="241">
        <f>+V137-T137</f>
        <v>0</v>
      </c>
      <c r="V137" s="230">
        <v>0.29409299999999999</v>
      </c>
      <c r="W137" s="230"/>
      <c r="X137" s="230">
        <v>0.131878</v>
      </c>
      <c r="Y137" s="241">
        <f>+Z137-X137</f>
        <v>6.956999999999991E-3</v>
      </c>
      <c r="Z137" s="230">
        <v>0.13883499999999999</v>
      </c>
      <c r="AA137" s="230"/>
      <c r="AB137" s="230">
        <v>0</v>
      </c>
      <c r="AC137" s="241">
        <f>+AD137-AB137</f>
        <v>0</v>
      </c>
      <c r="AD137" s="230">
        <v>0</v>
      </c>
      <c r="AF137" s="230">
        <v>0</v>
      </c>
      <c r="AG137" s="241">
        <f>+AH137-AF137</f>
        <v>0</v>
      </c>
      <c r="AH137" s="230">
        <v>0</v>
      </c>
      <c r="AJ137" s="230">
        <v>0</v>
      </c>
      <c r="AK137" s="241">
        <f>+AL137-AJ137</f>
        <v>0</v>
      </c>
      <c r="AL137" s="230">
        <v>0</v>
      </c>
      <c r="AN137" s="181">
        <v>0</v>
      </c>
      <c r="AO137" s="241">
        <f>+AP137-AN137</f>
        <v>0</v>
      </c>
      <c r="AP137" s="916">
        <v>0</v>
      </c>
      <c r="AR137" s="260">
        <f t="shared" ref="AR137:AS137" si="720">+AR110</f>
        <v>0</v>
      </c>
      <c r="AS137" s="260">
        <f t="shared" si="720"/>
        <v>0</v>
      </c>
      <c r="AT137" s="260">
        <f t="shared" ref="AT137:AT139" si="721">+SUM(AR137:AS137)</f>
        <v>0</v>
      </c>
      <c r="AV137" s="260">
        <f t="shared" ref="AV137:AW137" si="722">+AV110</f>
        <v>0</v>
      </c>
      <c r="AW137" s="260">
        <f t="shared" si="722"/>
        <v>0</v>
      </c>
      <c r="AX137" s="260">
        <f t="shared" ref="AX137:AX139" si="723">+SUM(AV137:AW137)</f>
        <v>0</v>
      </c>
      <c r="AZ137" s="260">
        <f t="shared" ref="AZ137:BA137" si="724">+AZ110</f>
        <v>0</v>
      </c>
      <c r="BA137" s="260">
        <f t="shared" si="724"/>
        <v>0</v>
      </c>
      <c r="BB137" s="260">
        <f t="shared" ref="BB137:BB139" si="725">+SUM(AZ137:BA137)</f>
        <v>0</v>
      </c>
      <c r="BD137" s="260">
        <f t="shared" ref="BD137:BE137" si="726">+BD110</f>
        <v>0</v>
      </c>
      <c r="BE137" s="260">
        <f t="shared" si="726"/>
        <v>0</v>
      </c>
      <c r="BF137" s="260">
        <f t="shared" ref="BF137:BF139" si="727">+SUM(BD137:BE137)</f>
        <v>0</v>
      </c>
      <c r="BH137" s="260">
        <f t="shared" ref="BH137:BI137" si="728">+BH110</f>
        <v>0</v>
      </c>
      <c r="BI137" s="260">
        <f t="shared" si="728"/>
        <v>0</v>
      </c>
      <c r="BJ137" s="260">
        <f t="shared" ref="BJ137:BJ139" si="729">+SUM(BH137:BI137)</f>
        <v>0</v>
      </c>
      <c r="BL137" s="260">
        <f t="shared" ref="BL137:BM137" si="730">+BL110</f>
        <v>0</v>
      </c>
      <c r="BM137" s="260">
        <f t="shared" si="730"/>
        <v>0</v>
      </c>
      <c r="BN137" s="260">
        <f t="shared" ref="BN137:BN139" si="731">+SUM(BL137:BM137)</f>
        <v>0</v>
      </c>
      <c r="BP137" s="260">
        <f t="shared" ref="BP137:BQ137" si="732">+BP110</f>
        <v>0</v>
      </c>
      <c r="BQ137" s="260">
        <f t="shared" si="732"/>
        <v>0</v>
      </c>
      <c r="BR137" s="260">
        <f t="shared" ref="BR137:BR139" si="733">+SUM(BP137:BQ137)</f>
        <v>0</v>
      </c>
      <c r="BT137" s="260">
        <f t="shared" ref="BT137:BU137" si="734">+BT110</f>
        <v>0</v>
      </c>
      <c r="BU137" s="260">
        <f t="shared" si="734"/>
        <v>0</v>
      </c>
      <c r="BV137" s="260">
        <f t="shared" ref="BV137:BV139" si="735">+SUM(BT137:BU137)</f>
        <v>0</v>
      </c>
      <c r="BX137" s="260">
        <f t="shared" ref="BX137:BY137" si="736">+BX110</f>
        <v>0</v>
      </c>
      <c r="BY137" s="260">
        <f t="shared" si="736"/>
        <v>0</v>
      </c>
      <c r="BZ137" s="260">
        <f t="shared" ref="BZ137:BZ139" si="737">+SUM(BX137:BY137)</f>
        <v>0</v>
      </c>
    </row>
    <row r="138" spans="1:78" s="155" customFormat="1">
      <c r="A138" s="163"/>
      <c r="B138" s="372" t="s">
        <v>476</v>
      </c>
      <c r="C138" s="241"/>
      <c r="D138" s="230"/>
      <c r="E138" s="241"/>
      <c r="F138" s="230"/>
      <c r="G138" s="230"/>
      <c r="H138" s="230"/>
      <c r="I138" s="241"/>
      <c r="J138" s="230"/>
      <c r="K138" s="230"/>
      <c r="L138" s="230"/>
      <c r="M138" s="241"/>
      <c r="N138" s="230"/>
      <c r="O138" s="230"/>
      <c r="P138" s="230">
        <v>9.4595880000000001</v>
      </c>
      <c r="Q138" s="241">
        <f>+R138-P138</f>
        <v>0</v>
      </c>
      <c r="R138" s="230">
        <v>9.4595880000000001</v>
      </c>
      <c r="S138" s="230"/>
      <c r="T138" s="230">
        <v>0</v>
      </c>
      <c r="U138" s="241">
        <f>+V138-T138</f>
        <v>0</v>
      </c>
      <c r="V138" s="230">
        <v>0</v>
      </c>
      <c r="W138" s="230"/>
      <c r="X138" s="230">
        <v>0</v>
      </c>
      <c r="Y138" s="241">
        <f>+Z138-X138</f>
        <v>0.428566</v>
      </c>
      <c r="Z138" s="230">
        <v>0.428566</v>
      </c>
      <c r="AA138" s="230"/>
      <c r="AB138" s="230">
        <v>0</v>
      </c>
      <c r="AC138" s="241">
        <f>+AD138-AB138</f>
        <v>17.950068999999999</v>
      </c>
      <c r="AD138" s="230">
        <v>17.950068999999999</v>
      </c>
      <c r="AF138" s="230">
        <v>9.018974</v>
      </c>
      <c r="AG138" s="241">
        <f>+AH138-AF138</f>
        <v>6.875102</v>
      </c>
      <c r="AH138" s="230">
        <f>6.875102+9.018974</f>
        <v>15.894076</v>
      </c>
      <c r="AJ138" s="230">
        <v>0</v>
      </c>
      <c r="AK138" s="241">
        <f>+AL138-AJ138</f>
        <v>7.2727279999999999</v>
      </c>
      <c r="AL138" s="230">
        <v>7.2727279999999999</v>
      </c>
      <c r="AN138" s="181">
        <v>0.90908599999999995</v>
      </c>
      <c r="AO138" s="241">
        <f>+AP138-AN138</f>
        <v>0</v>
      </c>
      <c r="AP138" s="916">
        <v>0.90908599999999995</v>
      </c>
      <c r="AR138" s="260">
        <f t="shared" ref="AR138:AS138" si="738">+AR114</f>
        <v>-0.27855411766845156</v>
      </c>
      <c r="AS138" s="260">
        <f t="shared" si="738"/>
        <v>-0.26248500161092775</v>
      </c>
      <c r="AT138" s="260">
        <f t="shared" si="721"/>
        <v>-0.54103911927937931</v>
      </c>
      <c r="AV138" s="260">
        <f t="shared" ref="AV138:AW138" si="739">+AV114</f>
        <v>-0.25401774349444622</v>
      </c>
      <c r="AW138" s="260">
        <f t="shared" si="739"/>
        <v>-0.24100355170251064</v>
      </c>
      <c r="AX138" s="260">
        <f t="shared" si="723"/>
        <v>-0.49502129519695687</v>
      </c>
      <c r="AZ138" s="260">
        <f t="shared" ref="AZ138:BA138" si="740">+AZ114</f>
        <v>-0.23322924358307481</v>
      </c>
      <c r="BA138" s="260">
        <f t="shared" si="740"/>
        <v>-0.22128011725149413</v>
      </c>
      <c r="BB138" s="260">
        <f t="shared" si="725"/>
        <v>-0.45450936083456894</v>
      </c>
      <c r="BD138" s="260">
        <f t="shared" ref="BD138:BE138" si="741">+BD114</f>
        <v>-0.21414204895305883</v>
      </c>
      <c r="BE138" s="260">
        <f t="shared" si="741"/>
        <v>-0.20317082443364212</v>
      </c>
      <c r="BF138" s="260">
        <f t="shared" si="727"/>
        <v>-0.41731287338670098</v>
      </c>
      <c r="BH138" s="260">
        <f t="shared" ref="BH138:BI138" si="742">+BH114</f>
        <v>-0.19661692687126656</v>
      </c>
      <c r="BI138" s="260">
        <f t="shared" si="742"/>
        <v>-0.18654357388165707</v>
      </c>
      <c r="BJ138" s="260">
        <f t="shared" si="729"/>
        <v>-0.38316050075292363</v>
      </c>
      <c r="BL138" s="260">
        <f t="shared" ref="BL138:BM138" si="743">+BL114</f>
        <v>-0.1805260392403133</v>
      </c>
      <c r="BM138" s="260">
        <f t="shared" si="743"/>
        <v>-0.17127707707809608</v>
      </c>
      <c r="BN138" s="260">
        <f t="shared" si="731"/>
        <v>-0.35180311631840938</v>
      </c>
      <c r="BP138" s="260">
        <f t="shared" ref="BP138:BQ138" si="744">+BP114</f>
        <v>-0.16575201007557688</v>
      </c>
      <c r="BQ138" s="260">
        <f t="shared" si="744"/>
        <v>-0.15725997160870669</v>
      </c>
      <c r="BR138" s="260">
        <f t="shared" si="733"/>
        <v>-0.32301198168428358</v>
      </c>
      <c r="BT138" s="260">
        <f t="shared" ref="BT138:BU138" si="745">+BT114</f>
        <v>-0.15218706929874842</v>
      </c>
      <c r="BU138" s="260">
        <f t="shared" si="745"/>
        <v>-0.14439000882234196</v>
      </c>
      <c r="BV138" s="260">
        <f t="shared" si="735"/>
        <v>-0.29657707812109035</v>
      </c>
      <c r="BX138" s="260">
        <f t="shared" ref="BX138:BY138" si="746">+BX114</f>
        <v>-0.1397322666022664</v>
      </c>
      <c r="BY138" s="260">
        <f t="shared" si="746"/>
        <v>-0.13257330797178973</v>
      </c>
      <c r="BZ138" s="260">
        <f t="shared" si="737"/>
        <v>-0.27230557457405613</v>
      </c>
    </row>
    <row r="139" spans="1:78" s="155" customFormat="1">
      <c r="A139" s="163"/>
      <c r="B139" s="372" t="s">
        <v>387</v>
      </c>
      <c r="C139" s="241"/>
      <c r="D139" s="407">
        <f>+D140-D136-D137</f>
        <v>1.1098999999995085E-2</v>
      </c>
      <c r="E139" s="241">
        <f t="shared" ref="E139:E140" si="747">F139</f>
        <v>8.4099000000001256E-2</v>
      </c>
      <c r="F139" s="407">
        <f>+F140-F136-F137</f>
        <v>8.4099000000001256E-2</v>
      </c>
      <c r="G139" s="230"/>
      <c r="H139" s="407">
        <f>+H140-H136-H137</f>
        <v>0</v>
      </c>
      <c r="I139" s="241">
        <f t="shared" ref="I139:I140" si="748">J139</f>
        <v>0</v>
      </c>
      <c r="J139" s="407">
        <f>+J140-J136-J137</f>
        <v>0</v>
      </c>
      <c r="K139" s="230"/>
      <c r="L139" s="407">
        <f>+L140-L136-L137</f>
        <v>0</v>
      </c>
      <c r="M139" s="241">
        <f t="shared" ref="M139" si="749">N139</f>
        <v>0</v>
      </c>
      <c r="N139" s="407">
        <f>+N140-N136-N137</f>
        <v>0</v>
      </c>
      <c r="O139" s="230"/>
      <c r="P139" s="407">
        <f>+P140-P136-P137-P138</f>
        <v>4.6634000000000952E-2</v>
      </c>
      <c r="Q139" s="241">
        <f>+R139-P139</f>
        <v>0.15008000000000266</v>
      </c>
      <c r="R139" s="407">
        <f>+R140-R136-R137-R138</f>
        <v>0.19671400000000361</v>
      </c>
      <c r="S139" s="230"/>
      <c r="T139" s="407">
        <f>+T140-T136-T137-T138</f>
        <v>-1.0491607582707729E-14</v>
      </c>
      <c r="U139" s="241">
        <f>+V139-T139</f>
        <v>2.1886000000009176E-2</v>
      </c>
      <c r="V139" s="407">
        <f>+V140-V136-V137-V138</f>
        <v>2.1885999999998684E-2</v>
      </c>
      <c r="W139" s="230"/>
      <c r="X139" s="407">
        <f>+X140-X136-X137-X138</f>
        <v>0.42856599999998973</v>
      </c>
      <c r="Y139" s="241">
        <f>+Z139-X139</f>
        <v>-0.41121699999999006</v>
      </c>
      <c r="Z139" s="407">
        <f>+Z140-Z136-Z137-Z138</f>
        <v>1.734899999999967E-2</v>
      </c>
      <c r="AA139" s="230"/>
      <c r="AB139" s="407">
        <f>+AB140-AB136-AB137-AB138</f>
        <v>5.5549999999996658E-2</v>
      </c>
      <c r="AC139" s="241">
        <f>+AD139-AB139</f>
        <v>0</v>
      </c>
      <c r="AD139" s="407">
        <f>+AD140-AD136-AD137-AD138</f>
        <v>5.5549999999996658E-2</v>
      </c>
      <c r="AF139" s="407">
        <f>+AF140-AF136-AF137-AF138</f>
        <v>0.10241800000000012</v>
      </c>
      <c r="AG139" s="241">
        <f>+AH139-AF139</f>
        <v>-1.7763568394002505E-15</v>
      </c>
      <c r="AH139" s="407">
        <f>+AH140-AH136-AH137-AH138</f>
        <v>0.10241799999999834</v>
      </c>
      <c r="AJ139" s="407">
        <f>+AJ140-AJ136-AJ137-AJ138</f>
        <v>0</v>
      </c>
      <c r="AK139" s="241">
        <f>+AL139-AJ139</f>
        <v>0</v>
      </c>
      <c r="AL139" s="407">
        <f>+AL140-AL136-AL137-AL138</f>
        <v>0</v>
      </c>
      <c r="AN139" s="260">
        <f>+AN140-AN136-AN137-AN138</f>
        <v>2.3700000000059784E-4</v>
      </c>
      <c r="AO139" s="241">
        <f>+AP139-AN139</f>
        <v>-2.3699999999848842E-4</v>
      </c>
      <c r="AP139" s="407">
        <f>+AP140-AP136-AP137-AP138</f>
        <v>2.1094237467877974E-15</v>
      </c>
      <c r="AR139" s="491">
        <v>0</v>
      </c>
      <c r="AS139" s="491">
        <v>0</v>
      </c>
      <c r="AT139" s="260">
        <f t="shared" si="721"/>
        <v>0</v>
      </c>
      <c r="AV139" s="491">
        <v>0</v>
      </c>
      <c r="AW139" s="491">
        <v>0</v>
      </c>
      <c r="AX139" s="260">
        <f t="shared" si="723"/>
        <v>0</v>
      </c>
      <c r="AZ139" s="491">
        <v>0</v>
      </c>
      <c r="BA139" s="491">
        <v>0</v>
      </c>
      <c r="BB139" s="260">
        <f t="shared" si="725"/>
        <v>0</v>
      </c>
      <c r="BD139" s="491">
        <v>0</v>
      </c>
      <c r="BE139" s="491">
        <v>0</v>
      </c>
      <c r="BF139" s="260">
        <f t="shared" si="727"/>
        <v>0</v>
      </c>
      <c r="BH139" s="491">
        <v>0</v>
      </c>
      <c r="BI139" s="491">
        <v>0</v>
      </c>
      <c r="BJ139" s="260">
        <f t="shared" si="729"/>
        <v>0</v>
      </c>
      <c r="BL139" s="491">
        <v>0</v>
      </c>
      <c r="BM139" s="491">
        <v>0</v>
      </c>
      <c r="BN139" s="260">
        <f t="shared" si="731"/>
        <v>0</v>
      </c>
      <c r="BP139" s="491">
        <v>0</v>
      </c>
      <c r="BQ139" s="491">
        <v>0</v>
      </c>
      <c r="BR139" s="260">
        <f t="shared" si="733"/>
        <v>0</v>
      </c>
      <c r="BT139" s="491">
        <v>0</v>
      </c>
      <c r="BU139" s="491">
        <v>0</v>
      </c>
      <c r="BV139" s="260">
        <f t="shared" si="735"/>
        <v>0</v>
      </c>
      <c r="BX139" s="491">
        <v>0</v>
      </c>
      <c r="BY139" s="491">
        <v>0</v>
      </c>
      <c r="BZ139" s="260">
        <f t="shared" si="737"/>
        <v>0</v>
      </c>
    </row>
    <row r="140" spans="1:78" s="157" customFormat="1">
      <c r="A140" s="297"/>
      <c r="B140" s="348" t="s">
        <v>392</v>
      </c>
      <c r="C140" s="350"/>
      <c r="D140" s="231">
        <v>63.272557999999997</v>
      </c>
      <c r="E140" s="241">
        <f t="shared" si="747"/>
        <v>63.846476000000003</v>
      </c>
      <c r="F140" s="231">
        <v>63.846476000000003</v>
      </c>
      <c r="G140" s="231"/>
      <c r="H140" s="231">
        <v>63.846476000000003</v>
      </c>
      <c r="I140" s="241">
        <f t="shared" si="748"/>
        <v>63.846476000000003</v>
      </c>
      <c r="J140" s="231">
        <v>63.846476000000003</v>
      </c>
      <c r="K140" s="231"/>
      <c r="L140" s="231">
        <v>63.846476000000003</v>
      </c>
      <c r="M140" s="241">
        <f>SUM(M136:M139)</f>
        <v>63.846476000000003</v>
      </c>
      <c r="N140" s="231">
        <v>63.846476000000003</v>
      </c>
      <c r="O140" s="231"/>
      <c r="P140" s="231">
        <v>73.352698000000004</v>
      </c>
      <c r="Q140" s="241">
        <f>SUM(Q136:Q139)</f>
        <v>73.502778000000006</v>
      </c>
      <c r="R140" s="231">
        <v>73.502778000000006</v>
      </c>
      <c r="S140" s="231"/>
      <c r="T140" s="231">
        <v>73.796870999999996</v>
      </c>
      <c r="U140" s="241">
        <f>SUM(U136:U139)</f>
        <v>73.818757000000005</v>
      </c>
      <c r="V140" s="231">
        <v>73.818757000000005</v>
      </c>
      <c r="W140" s="231"/>
      <c r="X140" s="231">
        <v>74.379200999999995</v>
      </c>
      <c r="Y140" s="241">
        <f>SUM(Y136:Y139)</f>
        <v>74.403507000000005</v>
      </c>
      <c r="Z140" s="231">
        <v>74.403507000000005</v>
      </c>
      <c r="AA140" s="231"/>
      <c r="AB140" s="231">
        <v>74.459057000000001</v>
      </c>
      <c r="AC140" s="241">
        <f>SUM(AC136:AC139)</f>
        <v>92.409126000000001</v>
      </c>
      <c r="AD140" s="231">
        <v>92.409126000000001</v>
      </c>
      <c r="AF140" s="231">
        <v>101.530518</v>
      </c>
      <c r="AG140" s="241">
        <f>SUM(AG136:AG139)</f>
        <v>108.40562</v>
      </c>
      <c r="AH140" s="231">
        <v>108.40562</v>
      </c>
      <c r="AJ140" s="231">
        <v>108.40562</v>
      </c>
      <c r="AK140" s="241">
        <f>SUM(AK136:AK139)</f>
        <v>115.678348</v>
      </c>
      <c r="AL140" s="231">
        <v>115.678348</v>
      </c>
      <c r="AN140" s="175">
        <v>116.587671</v>
      </c>
      <c r="AO140" s="241">
        <f>SUM(AO136:AO139)</f>
        <v>116.587434</v>
      </c>
      <c r="AP140" s="915">
        <v>116.587434</v>
      </c>
      <c r="AR140" s="351">
        <f t="shared" ref="AR140:AS140" si="750">SUM(AR136:AR139)</f>
        <v>116.30887988233155</v>
      </c>
      <c r="AS140" s="351">
        <f t="shared" si="750"/>
        <v>116.04639488072063</v>
      </c>
      <c r="AT140" s="351">
        <f t="shared" ref="AT140" si="751">+AS140</f>
        <v>116.04639488072063</v>
      </c>
      <c r="AV140" s="351">
        <f t="shared" ref="AV140:AW140" si="752">SUM(AV136:AV139)</f>
        <v>115.79237713722618</v>
      </c>
      <c r="AW140" s="351">
        <f t="shared" si="752"/>
        <v>115.55137358552368</v>
      </c>
      <c r="AX140" s="351">
        <f t="shared" ref="AX140" si="753">+AW140</f>
        <v>115.55137358552368</v>
      </c>
      <c r="AZ140" s="351">
        <f t="shared" ref="AZ140:BA140" si="754">SUM(AZ136:AZ139)</f>
        <v>115.31814434194061</v>
      </c>
      <c r="BA140" s="351">
        <f t="shared" si="754"/>
        <v>115.09686422468911</v>
      </c>
      <c r="BB140" s="351">
        <f t="shared" ref="BB140" si="755">+BA140</f>
        <v>115.09686422468911</v>
      </c>
      <c r="BD140" s="351">
        <f t="shared" ref="BD140:BE140" si="756">SUM(BD136:BD139)</f>
        <v>114.88272217573605</v>
      </c>
      <c r="BE140" s="351">
        <f t="shared" si="756"/>
        <v>114.67955135130241</v>
      </c>
      <c r="BF140" s="351">
        <f t="shared" ref="BF140" si="757">+BE140</f>
        <v>114.67955135130241</v>
      </c>
      <c r="BH140" s="351">
        <f t="shared" ref="BH140:BI140" si="758">SUM(BH136:BH139)</f>
        <v>114.48293442443114</v>
      </c>
      <c r="BI140" s="351">
        <f t="shared" si="758"/>
        <v>114.29639085054949</v>
      </c>
      <c r="BJ140" s="351">
        <f t="shared" ref="BJ140" si="759">+BI140</f>
        <v>114.29639085054949</v>
      </c>
      <c r="BL140" s="351">
        <f t="shared" ref="BL140:BM140" si="760">SUM(BL136:BL139)</f>
        <v>114.11586481130917</v>
      </c>
      <c r="BM140" s="351">
        <f t="shared" si="760"/>
        <v>113.94458773423106</v>
      </c>
      <c r="BN140" s="351">
        <f t="shared" ref="BN140" si="761">+BM140</f>
        <v>113.94458773423106</v>
      </c>
      <c r="BP140" s="351">
        <f t="shared" ref="BP140:BQ140" si="762">SUM(BP136:BP139)</f>
        <v>113.77883572415548</v>
      </c>
      <c r="BQ140" s="351">
        <f t="shared" si="762"/>
        <v>113.62157575254678</v>
      </c>
      <c r="BR140" s="351">
        <f t="shared" ref="BR140" si="763">+BQ140</f>
        <v>113.62157575254678</v>
      </c>
      <c r="BT140" s="351">
        <f t="shared" ref="BT140:BU140" si="764">SUM(BT136:BT139)</f>
        <v>113.46938868324803</v>
      </c>
      <c r="BU140" s="351">
        <f t="shared" si="764"/>
        <v>113.32499867442569</v>
      </c>
      <c r="BV140" s="351">
        <f t="shared" ref="BV140" si="765">+BU140</f>
        <v>113.32499867442569</v>
      </c>
      <c r="BX140" s="351">
        <f t="shared" ref="BX140:BY140" si="766">SUM(BX136:BX139)</f>
        <v>113.18526640782342</v>
      </c>
      <c r="BY140" s="351">
        <f t="shared" si="766"/>
        <v>113.05269309985162</v>
      </c>
      <c r="BZ140" s="351">
        <f t="shared" ref="BZ140" si="767">+BY140</f>
        <v>113.05269309985162</v>
      </c>
    </row>
    <row r="141" spans="1:78" s="140" customFormat="1">
      <c r="B141" s="244" t="s">
        <v>393</v>
      </c>
      <c r="C141" s="243"/>
      <c r="D141" s="341">
        <f t="shared" ref="D141" si="768">+D140-D131</f>
        <v>0</v>
      </c>
      <c r="E141" s="341">
        <f t="shared" ref="E141:F141" si="769">+E140-E131</f>
        <v>0</v>
      </c>
      <c r="F141" s="341">
        <f t="shared" si="769"/>
        <v>0</v>
      </c>
      <c r="G141" s="243"/>
      <c r="H141" s="341">
        <f t="shared" ref="H141" si="770">+H140-H131</f>
        <v>0</v>
      </c>
      <c r="I141" s="341">
        <f t="shared" ref="I141:J141" si="771">+I140-I131</f>
        <v>0</v>
      </c>
      <c r="J141" s="341">
        <f t="shared" si="771"/>
        <v>0</v>
      </c>
      <c r="K141" s="243"/>
      <c r="L141" s="341">
        <f t="shared" ref="L141" si="772">+L140-L131</f>
        <v>0</v>
      </c>
      <c r="M141" s="341">
        <f t="shared" ref="M141:N141" si="773">+M140-M131</f>
        <v>0</v>
      </c>
      <c r="N141" s="341">
        <f t="shared" si="773"/>
        <v>0</v>
      </c>
      <c r="O141" s="243"/>
      <c r="P141" s="341">
        <f t="shared" ref="P141" si="774">+P140-P131</f>
        <v>0</v>
      </c>
      <c r="Q141" s="341">
        <f t="shared" ref="Q141:R141" si="775">+Q140-Q131</f>
        <v>0</v>
      </c>
      <c r="R141" s="341">
        <f t="shared" si="775"/>
        <v>0</v>
      </c>
      <c r="S141" s="243"/>
      <c r="T141" s="341">
        <f t="shared" ref="T141" si="776">+T140-T131</f>
        <v>0</v>
      </c>
      <c r="U141" s="341">
        <f t="shared" ref="U141:V141" si="777">+U140-U131</f>
        <v>0</v>
      </c>
      <c r="V141" s="341">
        <f t="shared" si="777"/>
        <v>0</v>
      </c>
      <c r="W141" s="243"/>
      <c r="X141" s="341">
        <f t="shared" ref="X141" si="778">+X140-X131</f>
        <v>0</v>
      </c>
      <c r="Y141" s="341">
        <f t="shared" ref="Y141:Z141" si="779">+Y140-Y131</f>
        <v>0</v>
      </c>
      <c r="Z141" s="341">
        <f t="shared" si="779"/>
        <v>0</v>
      </c>
      <c r="AA141" s="243"/>
      <c r="AB141" s="341">
        <f t="shared" ref="AB141:AC141" si="780">+AB140-AB131</f>
        <v>0</v>
      </c>
      <c r="AC141" s="341">
        <f t="shared" si="780"/>
        <v>0</v>
      </c>
      <c r="AD141" s="341">
        <f>+AD140-AD131</f>
        <v>0</v>
      </c>
      <c r="AE141" s="243"/>
      <c r="AF141" s="341">
        <f>+AF140-AF131</f>
        <v>0</v>
      </c>
      <c r="AG141" s="341">
        <f t="shared" ref="AG141" si="781">+AG140-AG131</f>
        <v>0</v>
      </c>
      <c r="AH141" s="341">
        <f>+AH140-AH131</f>
        <v>0</v>
      </c>
      <c r="AI141" s="243"/>
      <c r="AJ141" s="341">
        <f>+AJ140-AJ131</f>
        <v>0</v>
      </c>
      <c r="AK141" s="341">
        <f t="shared" ref="AK141" si="782">+AK140-AK131</f>
        <v>0</v>
      </c>
      <c r="AL141" s="341">
        <f>+AL140-AL131</f>
        <v>0</v>
      </c>
      <c r="AM141" s="243"/>
      <c r="AN141" s="341">
        <f>+AN140-AN131</f>
        <v>2.3699999999848842E-4</v>
      </c>
      <c r="AO141" s="341">
        <f t="shared" ref="AO141" si="783">+AO140-AO131</f>
        <v>0</v>
      </c>
      <c r="AP141" s="341">
        <f>+AP140-AP131</f>
        <v>0</v>
      </c>
      <c r="AQ141" s="243"/>
      <c r="AR141" s="243"/>
      <c r="AS141" s="243"/>
      <c r="AT141" s="243"/>
      <c r="AU141" s="243"/>
      <c r="AV141" s="243"/>
      <c r="AW141" s="243"/>
      <c r="AX141" s="243"/>
      <c r="AY141" s="243"/>
      <c r="AZ141" s="243"/>
      <c r="BA141" s="243"/>
      <c r="BB141" s="243"/>
      <c r="BC141" s="243"/>
      <c r="BD141" s="243"/>
      <c r="BE141" s="243"/>
      <c r="BF141" s="243"/>
      <c r="BG141" s="243"/>
      <c r="BH141" s="243"/>
      <c r="BI141" s="243"/>
      <c r="BJ141" s="243"/>
      <c r="BK141" s="243"/>
      <c r="BL141" s="243"/>
      <c r="BM141" s="243"/>
      <c r="BN141" s="243"/>
      <c r="BO141" s="243"/>
      <c r="BP141" s="243"/>
      <c r="BQ141" s="243"/>
      <c r="BR141" s="243"/>
      <c r="BS141" s="243"/>
      <c r="BT141" s="243"/>
      <c r="BU141" s="243"/>
      <c r="BV141" s="243"/>
      <c r="BW141" s="243"/>
      <c r="BX141" s="243"/>
      <c r="BY141" s="243"/>
      <c r="BZ141" s="243"/>
    </row>
    <row r="142" spans="1:78" s="157" customFormat="1">
      <c r="A142" s="297"/>
      <c r="B142" s="348"/>
      <c r="C142" s="350"/>
      <c r="D142" s="231"/>
      <c r="E142" s="241"/>
      <c r="F142" s="231"/>
      <c r="G142" s="231"/>
      <c r="H142" s="231"/>
      <c r="I142" s="241"/>
      <c r="J142" s="231"/>
      <c r="K142" s="231"/>
      <c r="L142" s="231"/>
      <c r="M142" s="241"/>
      <c r="N142" s="231"/>
      <c r="O142" s="231"/>
      <c r="P142" s="231"/>
      <c r="Q142" s="241"/>
      <c r="R142" s="231"/>
      <c r="S142" s="231"/>
      <c r="T142" s="231"/>
      <c r="U142" s="241"/>
      <c r="V142" s="231"/>
      <c r="W142" s="231"/>
      <c r="X142" s="231"/>
      <c r="Y142" s="241"/>
      <c r="Z142" s="231"/>
      <c r="AA142" s="231"/>
      <c r="AB142" s="231"/>
      <c r="AC142" s="241"/>
      <c r="AD142" s="231"/>
      <c r="AF142" s="231"/>
      <c r="AG142" s="241"/>
      <c r="AH142" s="231"/>
      <c r="AJ142" s="351"/>
      <c r="AK142" s="241"/>
      <c r="AL142" s="231"/>
      <c r="AN142" s="351"/>
      <c r="AO142" s="351"/>
      <c r="AP142" s="351"/>
      <c r="AR142" s="351"/>
      <c r="AS142" s="351"/>
      <c r="AT142" s="351"/>
      <c r="AV142" s="351"/>
      <c r="AW142" s="351"/>
      <c r="AX142" s="351"/>
      <c r="AZ142" s="351"/>
      <c r="BA142" s="351"/>
      <c r="BB142" s="351"/>
      <c r="BD142" s="351"/>
      <c r="BE142" s="351"/>
      <c r="BF142" s="351"/>
      <c r="BH142" s="351"/>
      <c r="BI142" s="351"/>
      <c r="BJ142" s="351"/>
      <c r="BL142" s="351"/>
      <c r="BM142" s="351"/>
      <c r="BN142" s="351"/>
      <c r="BP142" s="351"/>
      <c r="BQ142" s="351"/>
      <c r="BR142" s="351"/>
      <c r="BT142" s="351"/>
      <c r="BU142" s="351"/>
      <c r="BV142" s="351"/>
      <c r="BX142" s="351"/>
      <c r="BY142" s="351"/>
      <c r="BZ142" s="351"/>
    </row>
    <row r="143" spans="1:78">
      <c r="B143" s="247"/>
      <c r="C143" s="256"/>
      <c r="D143" s="256"/>
      <c r="E143" s="256"/>
      <c r="F143" s="256"/>
      <c r="G143" s="256"/>
      <c r="H143" s="256"/>
      <c r="I143" s="256"/>
      <c r="J143" s="256"/>
      <c r="K143" s="256"/>
      <c r="L143" s="256"/>
      <c r="M143" s="256"/>
      <c r="N143" s="256"/>
      <c r="O143" s="256"/>
      <c r="P143" s="256"/>
      <c r="Q143" s="256"/>
      <c r="R143" s="256"/>
      <c r="S143" s="256"/>
      <c r="T143" s="256"/>
      <c r="U143" s="256"/>
      <c r="V143" s="256"/>
      <c r="W143" s="256"/>
      <c r="X143" s="256"/>
      <c r="Y143" s="256"/>
      <c r="Z143" s="256"/>
      <c r="AA143" s="256"/>
      <c r="AB143" s="256"/>
      <c r="AC143" s="256"/>
      <c r="AD143" s="256"/>
    </row>
    <row r="144" spans="1:78">
      <c r="B144" s="266" t="s">
        <v>254</v>
      </c>
    </row>
    <row r="145" spans="1:78">
      <c r="B145" s="254" t="s">
        <v>32</v>
      </c>
      <c r="D145" s="258">
        <f>+D$89/D132*100</f>
        <v>44.33447509303403</v>
      </c>
      <c r="E145" s="258">
        <f>+E$89/E132*100</f>
        <v>36.620139818401739</v>
      </c>
      <c r="F145" s="258">
        <f>+F$89/F132*100</f>
        <v>78.212591805333062</v>
      </c>
      <c r="H145" s="258">
        <f>+H$89/H132*100</f>
        <v>22.978558753971036</v>
      </c>
      <c r="I145" s="258">
        <f>+I$89/I132*100</f>
        <v>35.608663351189136</v>
      </c>
      <c r="J145" s="258">
        <f>+J$89/J132*100</f>
        <v>58.949660119662809</v>
      </c>
      <c r="L145" s="258">
        <f>+L$89/L132*100</f>
        <v>38.589443840252073</v>
      </c>
      <c r="M145" s="258">
        <f>+M$89/M132*100</f>
        <v>39.820158819037573</v>
      </c>
      <c r="N145" s="258">
        <f>+N$89/N132*100</f>
        <v>80.756821100773678</v>
      </c>
      <c r="P145" s="258">
        <f>+P$89/P132*100</f>
        <v>6.7771814867951017</v>
      </c>
      <c r="Q145" s="258">
        <f>+Q$89/Q132*100</f>
        <v>56.986280581827387</v>
      </c>
      <c r="R145" s="258">
        <f>+R$89/R132*100</f>
        <v>65.276680125874691</v>
      </c>
      <c r="T145" s="258">
        <f>+T$89/T132*100</f>
        <v>10.514860704372678</v>
      </c>
      <c r="U145" s="258">
        <f>+U$89/U132*100</f>
        <v>50.425305013641811</v>
      </c>
      <c r="V145" s="258">
        <f>+V$89/V132*100</f>
        <v>60.776680592480034</v>
      </c>
      <c r="X145" s="258">
        <f>+X$89/X132*100</f>
        <v>31.427359307501785</v>
      </c>
      <c r="Y145" s="258">
        <f>+Y$89/Y132*100</f>
        <v>64.203194318213747</v>
      </c>
      <c r="Z145" s="258">
        <f>+Z$89/Z132*100</f>
        <v>95.190741407067762</v>
      </c>
      <c r="AB145" s="258">
        <f>+AB$89/AB132*100</f>
        <v>39.773496261111312</v>
      </c>
      <c r="AC145" s="258">
        <f>+AC$89/AC132*100</f>
        <v>68.891913925508902</v>
      </c>
      <c r="AD145" s="258">
        <f>+AD$89/AD132*100</f>
        <v>105.63240854602844</v>
      </c>
      <c r="AF145" s="258">
        <f>+AF$89/AF132*100</f>
        <v>2.3399683897738455</v>
      </c>
      <c r="AG145" s="258">
        <f>+AG$89/AG132*100</f>
        <v>61.201473945806519</v>
      </c>
      <c r="AH145" s="258">
        <f>+AH$89/AH132*100</f>
        <v>65.239340124402844</v>
      </c>
      <c r="AJ145" s="258">
        <f>+AJ$89/AJ132*100</f>
        <v>49.104465248203972</v>
      </c>
      <c r="AK145" s="258">
        <f t="shared" ref="AK145:AL145" si="784">+AK$89/AK132*100</f>
        <v>76.36579515040907</v>
      </c>
      <c r="AL145" s="258">
        <f t="shared" si="784"/>
        <v>125.66441451765209</v>
      </c>
      <c r="AN145" s="258">
        <f>+AN$89/AN132*100</f>
        <v>22.77218011844807</v>
      </c>
      <c r="AO145" s="258">
        <f t="shared" ref="AO145:AP145" si="785">+AO$89/AO132*100</f>
        <v>131.70051555443283</v>
      </c>
      <c r="AP145" s="258">
        <f t="shared" si="785"/>
        <v>154.48158727707849</v>
      </c>
      <c r="AR145" s="258">
        <f t="shared" ref="AR145:AT145" si="786">+AR$89/AR132*100</f>
        <v>65.051870925658221</v>
      </c>
      <c r="AS145" s="258">
        <f t="shared" si="786"/>
        <v>99.733271613659696</v>
      </c>
      <c r="AT145" s="258">
        <f t="shared" si="786"/>
        <v>164.74481168405239</v>
      </c>
      <c r="AV145" s="258">
        <f t="shared" ref="AV145:AX145" si="787">+AV$89/AV132*100</f>
        <v>71.488923692792753</v>
      </c>
      <c r="AW145" s="258">
        <f t="shared" si="787"/>
        <v>110.43892023156927</v>
      </c>
      <c r="AX145" s="258">
        <f t="shared" si="787"/>
        <v>181.88621653820661</v>
      </c>
      <c r="AZ145" s="258">
        <f t="shared" ref="AZ145:BB145" si="788">+AZ$89/AZ132*100</f>
        <v>79.171613901672956</v>
      </c>
      <c r="BA145" s="258">
        <f t="shared" si="788"/>
        <v>120.75589002448908</v>
      </c>
      <c r="BB145" s="258">
        <f t="shared" si="788"/>
        <v>199.88653042352809</v>
      </c>
      <c r="BD145" s="258">
        <f t="shared" ref="BD145:BF145" si="789">+BD$89/BD132*100</f>
        <v>83.653448176128947</v>
      </c>
      <c r="BE145" s="258">
        <f t="shared" si="789"/>
        <v>127.3304093672125</v>
      </c>
      <c r="BF145" s="258">
        <f t="shared" si="789"/>
        <v>210.94419421826709</v>
      </c>
      <c r="BH145" s="258">
        <f t="shared" ref="BH145:BJ145" si="790">+BH$89/BH132*100</f>
        <v>88.337589593892645</v>
      </c>
      <c r="BI145" s="258">
        <f t="shared" si="790"/>
        <v>134.2030839781832</v>
      </c>
      <c r="BJ145" s="258">
        <f t="shared" si="790"/>
        <v>222.50229785408831</v>
      </c>
      <c r="BL145" s="258">
        <f t="shared" ref="BL145:BN145" si="791">+BL$89/BL132*100</f>
        <v>93.233789440389785</v>
      </c>
      <c r="BM145" s="258">
        <f t="shared" si="791"/>
        <v>141.38851394346014</v>
      </c>
      <c r="BN145" s="258">
        <f t="shared" si="791"/>
        <v>234.58519057986172</v>
      </c>
      <c r="BP145" s="258">
        <f t="shared" ref="BP145:BR145" si="792">+BP$89/BP132*100</f>
        <v>98.352338549721523</v>
      </c>
      <c r="BQ145" s="258">
        <f t="shared" si="792"/>
        <v>148.90208532237517</v>
      </c>
      <c r="BR145" s="258">
        <f t="shared" si="792"/>
        <v>247.21854753993097</v>
      </c>
      <c r="BT145" s="258">
        <f t="shared" ref="BT145:BV145" si="793">+BT$89/BT132*100</f>
        <v>103.70409020021374</v>
      </c>
      <c r="BU145" s="258">
        <f t="shared" si="793"/>
        <v>156.76000420624825</v>
      </c>
      <c r="BV145" s="258">
        <f t="shared" si="793"/>
        <v>260.42942669160675</v>
      </c>
      <c r="BX145" s="258">
        <f t="shared" ref="BX145:BZ145" si="794">+BX$89/BX132*100</f>
        <v>109.30048449254792</v>
      </c>
      <c r="BY145" s="258">
        <f t="shared" si="794"/>
        <v>164.97933296906012</v>
      </c>
      <c r="BZ145" s="258">
        <f t="shared" si="794"/>
        <v>274.24632939914255</v>
      </c>
    </row>
    <row r="146" spans="1:78">
      <c r="B146" s="254" t="s">
        <v>282</v>
      </c>
      <c r="D146" s="258">
        <f>+D$39/D132*100</f>
        <v>24.251925822812758</v>
      </c>
      <c r="E146" s="258">
        <f>+E$39/E132*100</f>
        <v>42.575845729028835</v>
      </c>
      <c r="F146" s="258">
        <f>+F$39/F132*100</f>
        <v>64.719785536396969</v>
      </c>
      <c r="H146" s="258">
        <f>+H$39/H132*100</f>
        <v>23.263617556589995</v>
      </c>
      <c r="I146" s="258">
        <f>+I$39/I132*100</f>
        <v>40.103041050659115</v>
      </c>
      <c r="J146" s="258">
        <f>+J$39/J132*100</f>
        <v>64.336058641105026</v>
      </c>
      <c r="L146" s="258">
        <f>+L$39/L132*100</f>
        <v>24.416382824323797</v>
      </c>
      <c r="M146" s="258">
        <f>+M$39/M132*100</f>
        <v>43.798448934963865</v>
      </c>
      <c r="N146" s="258">
        <f>+N$39/N132*100</f>
        <v>71.099207467969748</v>
      </c>
      <c r="P146" s="258">
        <f>+P$39/P132*100</f>
        <v>29.849084372991364</v>
      </c>
      <c r="Q146" s="258">
        <f>+Q$39/Q132*100</f>
        <v>42.533068415954318</v>
      </c>
      <c r="R146" s="258">
        <f>+R$39/R132*100</f>
        <v>72.038854482491018</v>
      </c>
      <c r="T146" s="258">
        <f>+T$39/T132*100</f>
        <v>31.129039380903293</v>
      </c>
      <c r="U146" s="258">
        <f>+U$39/U132*100</f>
        <v>38.164543930570908</v>
      </c>
      <c r="V146" s="258">
        <f>+V$39/V132*100</f>
        <v>69.143019912104577</v>
      </c>
      <c r="X146" s="258">
        <f>+X$39/X132*100</f>
        <v>40.553432830014955</v>
      </c>
      <c r="Y146" s="258">
        <f>+Y$39/Y132*100</f>
        <v>47.830661792368048</v>
      </c>
      <c r="Z146" s="258">
        <f>+Z$39/Z132*100</f>
        <v>88.027265803967083</v>
      </c>
      <c r="AB146" s="258">
        <f>+AB$39/AB132*100</f>
        <v>41.032584946427079</v>
      </c>
      <c r="AC146" s="258">
        <f>+AC$39/AC132*100</f>
        <v>58.469018133782313</v>
      </c>
      <c r="AD146" s="258">
        <f>+AD$39/AD132*100</f>
        <v>96.725303886359868</v>
      </c>
      <c r="AF146" s="258">
        <f>+AF$39/AF132*100</f>
        <v>48.246100237698833</v>
      </c>
      <c r="AG146" s="258">
        <f>+AG$39/AG132*100</f>
        <v>80.173182458967318</v>
      </c>
      <c r="AH146" s="258">
        <f>+AH$39/AH132*100</f>
        <v>129.31778799443097</v>
      </c>
      <c r="AJ146" s="258">
        <f>+AJ$39/AJ132*100</f>
        <v>64.858261038496039</v>
      </c>
      <c r="AK146" s="258">
        <f t="shared" ref="AK146:AL146" si="795">+AK$39/AK132*100</f>
        <v>91.730605524912761</v>
      </c>
      <c r="AL146" s="258">
        <f t="shared" si="795"/>
        <v>156.78165766723816</v>
      </c>
      <c r="AN146" s="258">
        <f>+AN$39/AN132*100</f>
        <v>68.210164377394108</v>
      </c>
      <c r="AO146" s="258">
        <f t="shared" ref="AO146:AP146" si="796">+AO$39/AO132*100</f>
        <v>103.56603634181793</v>
      </c>
      <c r="AP146" s="258">
        <f t="shared" si="796"/>
        <v>171.79803906430922</v>
      </c>
      <c r="AR146" s="258">
        <f t="shared" ref="AR146:AT146" si="797">+AR$39/AR132*100</f>
        <v>78.791890879845937</v>
      </c>
      <c r="AS146" s="258">
        <f t="shared" si="797"/>
        <v>113.50528519614991</v>
      </c>
      <c r="AT146" s="258">
        <f t="shared" si="797"/>
        <v>192.25680801547426</v>
      </c>
      <c r="AV146" s="258">
        <f t="shared" ref="AV146:AX146" si="798">+AV$39/AV132*100</f>
        <v>85.29161929951502</v>
      </c>
      <c r="AW146" s="258">
        <f t="shared" si="798"/>
        <v>124.27115036531076</v>
      </c>
      <c r="AX146" s="258">
        <f t="shared" si="798"/>
        <v>209.52111071396513</v>
      </c>
      <c r="AZ146" s="258">
        <f t="shared" ref="AZ146:BB146" si="799">+AZ$39/AZ132*100</f>
        <v>93.032257042121628</v>
      </c>
      <c r="BA146" s="258">
        <f t="shared" si="799"/>
        <v>134.64387423136267</v>
      </c>
      <c r="BB146" s="258">
        <f t="shared" si="799"/>
        <v>227.63513083135877</v>
      </c>
      <c r="BD146" s="258">
        <f t="shared" ref="BD146:BF146" si="800">+BD$39/BD132*100</f>
        <v>97.56772661312192</v>
      </c>
      <c r="BE146" s="258">
        <f t="shared" si="800"/>
        <v>141.269982062824</v>
      </c>
      <c r="BF146" s="258">
        <f t="shared" si="800"/>
        <v>238.79802238099512</v>
      </c>
      <c r="BH146" s="258">
        <f t="shared" ref="BH146:BJ146" si="801">+BH$39/BH132*100</f>
        <v>102.30148071319056</v>
      </c>
      <c r="BI146" s="258">
        <f t="shared" si="801"/>
        <v>148.19036187645381</v>
      </c>
      <c r="BJ146" s="258">
        <f t="shared" si="801"/>
        <v>250.45344730390883</v>
      </c>
      <c r="BL146" s="258">
        <f t="shared" ref="BL146:BN146" si="802">+BL$39/BL132*100</f>
        <v>107.24354557509245</v>
      </c>
      <c r="BM146" s="258">
        <f t="shared" si="802"/>
        <v>155.41988134750846</v>
      </c>
      <c r="BN146" s="258">
        <f t="shared" si="802"/>
        <v>262.62629746282636</v>
      </c>
      <c r="BP146" s="258">
        <f t="shared" ref="BP146:BR146" si="803">+BP$39/BP132*100</f>
        <v>112.40447228020165</v>
      </c>
      <c r="BQ146" s="258">
        <f t="shared" si="803"/>
        <v>162.97417947216016</v>
      </c>
      <c r="BR146" s="258">
        <f t="shared" si="803"/>
        <v>275.34276125382178</v>
      </c>
      <c r="BT146" s="258">
        <f t="shared" ref="BT146:BV146" si="804">+BT$39/BT132*100</f>
        <v>117.79535978441041</v>
      </c>
      <c r="BU146" s="258">
        <f t="shared" si="804"/>
        <v>170.86970082300502</v>
      </c>
      <c r="BV146" s="258">
        <f t="shared" si="804"/>
        <v>288.63038085199651</v>
      </c>
      <c r="BX146" s="258">
        <f t="shared" ref="BX146:BZ146" si="805">+BX$39/BX132*100</f>
        <v>123.42787955271454</v>
      </c>
      <c r="BY146" s="258">
        <f t="shared" si="805"/>
        <v>179.12373210952109</v>
      </c>
      <c r="BZ146" s="258">
        <f t="shared" si="805"/>
        <v>302.51811337266025</v>
      </c>
    </row>
    <row r="147" spans="1:78">
      <c r="B147" s="254" t="s">
        <v>33</v>
      </c>
      <c r="D147" s="258">
        <f>+D$89/D133*100</f>
        <v>44.33447509303403</v>
      </c>
      <c r="E147" s="258">
        <f>+E$89/E133*100</f>
        <v>36.523908064065161</v>
      </c>
      <c r="F147" s="258">
        <f>+F$89/F133*100</f>
        <v>78.014588376766199</v>
      </c>
      <c r="H147" s="258">
        <f>+H$89/H133*100</f>
        <v>22.978558753971036</v>
      </c>
      <c r="I147" s="258">
        <f>+I$89/I133*100</f>
        <v>35.515089592026598</v>
      </c>
      <c r="J147" s="258">
        <f>+J$89/J133*100</f>
        <v>58.753648979846574</v>
      </c>
      <c r="L147" s="258">
        <f>+L$89/L133*100</f>
        <v>38.589443840252073</v>
      </c>
      <c r="M147" s="258">
        <f>+M$89/M133*100</f>
        <v>39.715517936722001</v>
      </c>
      <c r="N147" s="258">
        <f>+N$89/N133*100</f>
        <v>80.451878666833053</v>
      </c>
      <c r="P147" s="258">
        <f>+P$89/P133*100</f>
        <v>6.0788493423923171</v>
      </c>
      <c r="Q147" s="258">
        <f>+Q$89/Q133*100</f>
        <v>56.836529931483057</v>
      </c>
      <c r="R147" s="258">
        <f>+R$89/R133*100</f>
        <v>65.200792261101668</v>
      </c>
      <c r="T147" s="258">
        <f>+T$89/T133*100</f>
        <v>10.502725581400439</v>
      </c>
      <c r="U147" s="258">
        <f>+U$89/U133*100</f>
        <v>50.27418583869617</v>
      </c>
      <c r="V147" s="258">
        <f>+V$89/V133*100</f>
        <v>60.635217061816583</v>
      </c>
      <c r="X147" s="258">
        <f>+X$89/X133*100</f>
        <v>31.373868712828202</v>
      </c>
      <c r="Y147" s="258">
        <f>+Y$89/Y133*100</f>
        <v>63.816872694239493</v>
      </c>
      <c r="Z147" s="258">
        <f>+Z$89/Z133*100</f>
        <v>94.906562130813114</v>
      </c>
      <c r="AB147" s="258">
        <f>+AB$89/AB133*100</f>
        <v>39.773496261111312</v>
      </c>
      <c r="AC147" s="258">
        <f>+AC$89/AC133*100</f>
        <v>65.153750929328808</v>
      </c>
      <c r="AD147" s="258">
        <f>+AD$89/AD133*100</f>
        <v>105.26199310030582</v>
      </c>
      <c r="AF147" s="258">
        <f>+AF$89/AF133*100</f>
        <v>2.3399683897738455</v>
      </c>
      <c r="AG147" s="258">
        <f>+AG$89/AG133*100</f>
        <v>60.689970515000333</v>
      </c>
      <c r="AH147" s="258">
        <f>+AH$89/AH133*100</f>
        <v>64.959557980192955</v>
      </c>
      <c r="AJ147" s="258">
        <f>+AJ$89/AJ133*100</f>
        <v>48.449999999999996</v>
      </c>
      <c r="AK147" s="258">
        <f>+AK$89/AK133*100</f>
        <v>76.335272612486833</v>
      </c>
      <c r="AL147" s="258">
        <f>+AL$89/AL133*100</f>
        <v>124.79720317919872</v>
      </c>
      <c r="AN147" s="258">
        <f>+AN$89/AN133*100</f>
        <v>22.49</v>
      </c>
      <c r="AO147" s="258">
        <f>+AO$89/AO133*100</f>
        <v>131.29014753231621</v>
      </c>
      <c r="AP147" s="258">
        <f>+AP$89/AP133*100</f>
        <v>153.27460743010323</v>
      </c>
      <c r="AR147" s="258">
        <f>+AR$89/AR133*100</f>
        <v>64.849174622653138</v>
      </c>
      <c r="AS147" s="258">
        <f>+AS$89/AS133*100</f>
        <v>99.422510906011581</v>
      </c>
      <c r="AT147" s="258">
        <f>+AT$89/AT133*100</f>
        <v>164.23148034104167</v>
      </c>
      <c r="AV147" s="258">
        <f>+AV$89/AV133*100</f>
        <v>71.266170060465981</v>
      </c>
      <c r="AW147" s="258">
        <f>+AW$89/AW133*100</f>
        <v>110.09480159946419</v>
      </c>
      <c r="AX147" s="258">
        <f>+AX$89/AX133*100</f>
        <v>181.31947398130134</v>
      </c>
      <c r="AZ147" s="258">
        <f>+AZ$89/AZ133*100</f>
        <v>78.924921635755567</v>
      </c>
      <c r="BA147" s="258">
        <f>+BA$89/BA133*100</f>
        <v>120.37962455931859</v>
      </c>
      <c r="BB147" s="258">
        <f>+BB$89/BB133*100</f>
        <v>199.26370036251927</v>
      </c>
      <c r="BD147" s="258">
        <f>+BD$89/BD133*100</f>
        <v>83.392790881609201</v>
      </c>
      <c r="BE147" s="258">
        <f>+BE$89/BE133*100</f>
        <v>126.93365823812729</v>
      </c>
      <c r="BF147" s="258">
        <f>+BF$89/BF133*100</f>
        <v>210.28690938233527</v>
      </c>
      <c r="BH147" s="258">
        <f>+BH$89/BH133*100</f>
        <v>88.062336898277991</v>
      </c>
      <c r="BI147" s="258">
        <f>+BI$89/BI133*100</f>
        <v>133.78491815778202</v>
      </c>
      <c r="BJ147" s="258">
        <f>+BJ$89/BJ133*100</f>
        <v>221.8089989136673</v>
      </c>
      <c r="BL147" s="258">
        <f>+BL$89/BL133*100</f>
        <v>92.943280586980805</v>
      </c>
      <c r="BM147" s="258">
        <f>+BM$89/BM133*100</f>
        <v>140.94795891166905</v>
      </c>
      <c r="BN147" s="258">
        <f>+BN$89/BN133*100</f>
        <v>233.85424233511989</v>
      </c>
      <c r="BP147" s="258">
        <f>+BP$89/BP133*100</f>
        <v>98.045880716422374</v>
      </c>
      <c r="BQ147" s="258">
        <f>+BQ$89/BQ133*100</f>
        <v>148.43811861741924</v>
      </c>
      <c r="BR147" s="258">
        <f>+BR$89/BR133*100</f>
        <v>246.44823478938918</v>
      </c>
      <c r="BT147" s="258">
        <f>+BT$89/BT133*100</f>
        <v>103.38095674700203</v>
      </c>
      <c r="BU147" s="258">
        <f>+BU$89/BU133*100</f>
        <v>156.27155286949909</v>
      </c>
      <c r="BV147" s="258">
        <f>+BV$89/BV133*100</f>
        <v>259.61794992340657</v>
      </c>
      <c r="BX147" s="258">
        <f>+BX$89/BX133*100</f>
        <v>108.95991313298434</v>
      </c>
      <c r="BY147" s="258">
        <f>+BY$89/BY133*100</f>
        <v>164.4652708769292</v>
      </c>
      <c r="BZ147" s="258">
        <f>+BZ$89/BZ133*100</f>
        <v>273.39180029350854</v>
      </c>
    </row>
    <row r="148" spans="1:78" s="135" customFormat="1">
      <c r="A148" s="134"/>
      <c r="B148" s="348" t="s">
        <v>283</v>
      </c>
      <c r="D148" s="415">
        <f>+D$39/D133*100</f>
        <v>24.251925822812758</v>
      </c>
      <c r="E148" s="415">
        <f>+E$39/E133*100</f>
        <v>42.463963350993531</v>
      </c>
      <c r="F148" s="415">
        <f>+F$39/F133*100</f>
        <v>64.555940570560608</v>
      </c>
      <c r="H148" s="415">
        <f>+H$39/H133*100</f>
        <v>23.263617556589995</v>
      </c>
      <c r="I148" s="415">
        <f>+I$39/I133*100</f>
        <v>39.99765679997973</v>
      </c>
      <c r="J148" s="415">
        <f>+J$39/J133*100</f>
        <v>64.12213740458003</v>
      </c>
      <c r="L148" s="415">
        <f>+L$39/L133*100</f>
        <v>24.416382824323797</v>
      </c>
      <c r="M148" s="415">
        <f>+M$39/M133*100</f>
        <v>43.68335375512202</v>
      </c>
      <c r="N148" s="415">
        <f>+N$39/N133*100</f>
        <v>70.830732742479043</v>
      </c>
      <c r="P148" s="415">
        <f>+P$39/P133*100</f>
        <v>26.773384668141347</v>
      </c>
      <c r="Q148" s="415">
        <f>+Q$39/Q133*100</f>
        <v>42.421298449720382</v>
      </c>
      <c r="R148" s="415">
        <f>+R$39/R133*100</f>
        <v>71.95510520423683</v>
      </c>
      <c r="T148" s="415">
        <f>+T$39/T133*100</f>
        <v>31.093113586780529</v>
      </c>
      <c r="U148" s="415">
        <f>+U$39/U133*100</f>
        <v>38.050168927992253</v>
      </c>
      <c r="V148" s="415">
        <f>+V$39/V133*100</f>
        <v>68.982082927357339</v>
      </c>
      <c r="X148" s="415">
        <f>+X$39/X133*100</f>
        <v>40.484409301282945</v>
      </c>
      <c r="Y148" s="415">
        <f>+Y$39/Y133*100</f>
        <v>47.542856502684053</v>
      </c>
      <c r="Z148" s="415">
        <f>+Z$39/Z133*100</f>
        <v>87.764472129739119</v>
      </c>
      <c r="AB148" s="415">
        <f>+AB$39/AB133*100</f>
        <v>41.032584946427079</v>
      </c>
      <c r="AC148" s="415">
        <f>+AC$39/AC133*100</f>
        <v>55.296414738744993</v>
      </c>
      <c r="AD148" s="415">
        <f>+AD$39/AD133*100</f>
        <v>96.38612250211537</v>
      </c>
      <c r="AF148" s="415">
        <f>+AF$39/AF133*100</f>
        <v>48.246100237698833</v>
      </c>
      <c r="AG148" s="415">
        <f>+AG$39/AG133*100</f>
        <v>79.503119219596243</v>
      </c>
      <c r="AH148" s="415">
        <f>+AH$39/AH133*100</f>
        <v>128.76320224999259</v>
      </c>
      <c r="AJ148" s="415">
        <f>+AJ$39/AJ133*100</f>
        <v>63.993828899909808</v>
      </c>
      <c r="AK148" s="415">
        <f>+AK$39/AK133*100</f>
        <v>91.693941847408325</v>
      </c>
      <c r="AL148" s="415">
        <f>+AL$39/AL133*100</f>
        <v>155.69970593322958</v>
      </c>
      <c r="AN148" s="415">
        <f>+AN$39/AN133*100</f>
        <v>67.36494217366743</v>
      </c>
      <c r="AO148" s="415">
        <f>+AO$39/AO133*100</f>
        <v>103.2433330531244</v>
      </c>
      <c r="AP148" s="415">
        <f>+AP$39/AP133*100</f>
        <v>170.45576407506681</v>
      </c>
      <c r="AR148" s="415">
        <f>+AR$39/AR133*100</f>
        <v>78.546381799770799</v>
      </c>
      <c r="AS148" s="415">
        <f>+AS$39/AS133*100</f>
        <v>113.15161202190576</v>
      </c>
      <c r="AT148" s="415">
        <f>+AT$39/AT133*100</f>
        <v>191.65775154472598</v>
      </c>
      <c r="AV148" s="415">
        <f>+AV$39/AV133*100</f>
        <v>85.025857597917124</v>
      </c>
      <c r="AW148" s="415">
        <f>+AW$39/AW133*100</f>
        <v>123.88393163676679</v>
      </c>
      <c r="AX148" s="415">
        <f>+AX$39/AX133*100</f>
        <v>208.86826008970289</v>
      </c>
      <c r="AZ148" s="415">
        <f>+AZ$39/AZ133*100</f>
        <v>92.742376147163071</v>
      </c>
      <c r="BA148" s="415">
        <f>+BA$39/BA133*100</f>
        <v>134.22433494462689</v>
      </c>
      <c r="BB148" s="415">
        <f>+BB$39/BB133*100</f>
        <v>226.92583840368474</v>
      </c>
      <c r="BD148" s="415">
        <f>+BD$39/BD133*100</f>
        <v>97.263713566368935</v>
      </c>
      <c r="BE148" s="415">
        <f>+BE$39/BE133*100</f>
        <v>140.82979636666693</v>
      </c>
      <c r="BF148" s="415">
        <f>+BF$39/BF133*100</f>
        <v>238.05394729733044</v>
      </c>
      <c r="BH148" s="415">
        <f>+BH$39/BH133*100</f>
        <v>101.98271767628715</v>
      </c>
      <c r="BI148" s="415">
        <f>+BI$39/BI133*100</f>
        <v>147.72861284347562</v>
      </c>
      <c r="BJ148" s="415">
        <f>+BJ$39/BJ133*100</f>
        <v>249.6730548705936</v>
      </c>
      <c r="BL148" s="415">
        <f>+BL$39/BL133*100</f>
        <v>106.9093834687624</v>
      </c>
      <c r="BM148" s="415">
        <f>+BM$39/BM133*100</f>
        <v>154.93560572385064</v>
      </c>
      <c r="BN148" s="415">
        <f>+BN$39/BN133*100</f>
        <v>261.8079754251948</v>
      </c>
      <c r="BP148" s="415">
        <f>+BP$39/BP133*100</f>
        <v>112.05422914886307</v>
      </c>
      <c r="BQ148" s="415">
        <f>+BQ$39/BQ133*100</f>
        <v>162.46636527413273</v>
      </c>
      <c r="BR148" s="415">
        <f>+BR$39/BR133*100</f>
        <v>274.4848157563103</v>
      </c>
      <c r="BT148" s="415">
        <f>+BT$39/BT133*100</f>
        <v>117.42831908904374</v>
      </c>
      <c r="BU148" s="415">
        <f>+BU$39/BU133*100</f>
        <v>170.3372848269764</v>
      </c>
      <c r="BV148" s="415">
        <f>+BV$39/BV133*100</f>
        <v>287.73103221987935</v>
      </c>
      <c r="BX148" s="415">
        <f>+BX$39/BX133*100</f>
        <v>123.04328838697107</v>
      </c>
      <c r="BY148" s="415">
        <f>+BY$39/BY133*100</f>
        <v>178.56559722788842</v>
      </c>
      <c r="BZ148" s="415">
        <f>+BZ$39/BZ133*100</f>
        <v>301.57549170321141</v>
      </c>
    </row>
    <row r="149" spans="1:78">
      <c r="B149" s="266"/>
    </row>
    <row r="150" spans="1:78" s="135" customFormat="1">
      <c r="A150" s="134"/>
      <c r="B150" s="348" t="s">
        <v>32</v>
      </c>
      <c r="D150" s="343">
        <v>38</v>
      </c>
      <c r="E150" s="343">
        <v>39.2167602202761</v>
      </c>
      <c r="F150" s="343">
        <v>66.599999999999994</v>
      </c>
      <c r="G150" s="323"/>
      <c r="H150" s="343">
        <v>19.399999999999999</v>
      </c>
      <c r="I150" s="343">
        <v>39.2167602202761</v>
      </c>
      <c r="J150" s="343">
        <v>51.67</v>
      </c>
      <c r="K150" s="323"/>
      <c r="L150" s="343">
        <v>37.200000000000003</v>
      </c>
      <c r="M150" s="343">
        <v>39.2167602202761</v>
      </c>
      <c r="N150" s="343">
        <v>71.84</v>
      </c>
      <c r="O150" s="232"/>
      <c r="P150" s="343">
        <v>28.086622015492399</v>
      </c>
      <c r="Q150" s="343">
        <v>39.2167602202761</v>
      </c>
      <c r="R150" s="343">
        <v>69.489999999999995</v>
      </c>
      <c r="S150" s="232"/>
      <c r="T150" s="343">
        <v>22.5</v>
      </c>
      <c r="U150" s="343">
        <v>41.342655103457496</v>
      </c>
      <c r="V150" s="343">
        <v>63.74</v>
      </c>
      <c r="W150" s="232"/>
      <c r="X150" s="343">
        <v>31.349999999999998</v>
      </c>
      <c r="Y150" s="343">
        <v>64.1842289487481</v>
      </c>
      <c r="Z150" s="343">
        <v>95.092445595220397</v>
      </c>
      <c r="AA150" s="232"/>
      <c r="AB150" s="343">
        <v>39.887714551668196</v>
      </c>
      <c r="AC150" s="343">
        <v>65.709999999999994</v>
      </c>
      <c r="AD150" s="343">
        <v>105.60497393208699</v>
      </c>
      <c r="AF150" s="343">
        <v>2.27</v>
      </c>
      <c r="AG150" s="832">
        <f>+AH150-AF150</f>
        <v>63.079999999999991</v>
      </c>
      <c r="AH150" s="343">
        <v>65.349999999999994</v>
      </c>
      <c r="AJ150" s="343">
        <v>49</v>
      </c>
      <c r="AK150" s="832">
        <f>+AL150-AJ150</f>
        <v>76.650000000000006</v>
      </c>
      <c r="AL150" s="343">
        <v>125.65</v>
      </c>
      <c r="AM150" s="523"/>
      <c r="AN150" s="313">
        <v>22.63</v>
      </c>
      <c r="AO150" s="832">
        <f>+AP150-AN150</f>
        <v>131.82</v>
      </c>
      <c r="AP150" s="913">
        <v>154.44999999999999</v>
      </c>
      <c r="AQ150" s="523"/>
      <c r="AR150" s="523">
        <f t="shared" ref="AR150:AT153" si="806">+AR145</f>
        <v>65.051870925658221</v>
      </c>
      <c r="AS150" s="523">
        <f t="shared" si="806"/>
        <v>99.733271613659696</v>
      </c>
      <c r="AT150" s="523">
        <f t="shared" si="806"/>
        <v>164.74481168405239</v>
      </c>
      <c r="AU150" s="523"/>
      <c r="AV150" s="523">
        <f t="shared" ref="AV150:AX153" si="807">+AV145</f>
        <v>71.488923692792753</v>
      </c>
      <c r="AW150" s="523">
        <f t="shared" si="807"/>
        <v>110.43892023156927</v>
      </c>
      <c r="AX150" s="523">
        <f t="shared" si="807"/>
        <v>181.88621653820661</v>
      </c>
      <c r="AY150" s="523"/>
      <c r="AZ150" s="523">
        <f t="shared" ref="AZ150:BB153" si="808">+AZ145</f>
        <v>79.171613901672956</v>
      </c>
      <c r="BA150" s="523">
        <f t="shared" si="808"/>
        <v>120.75589002448908</v>
      </c>
      <c r="BB150" s="523">
        <f t="shared" si="808"/>
        <v>199.88653042352809</v>
      </c>
      <c r="BC150" s="523"/>
      <c r="BD150" s="523">
        <f t="shared" ref="BD150:BF153" si="809">+BD145</f>
        <v>83.653448176128947</v>
      </c>
      <c r="BE150" s="523">
        <f t="shared" si="809"/>
        <v>127.3304093672125</v>
      </c>
      <c r="BF150" s="523">
        <f t="shared" si="809"/>
        <v>210.94419421826709</v>
      </c>
      <c r="BG150" s="523"/>
      <c r="BH150" s="523">
        <f t="shared" ref="BH150:BJ153" si="810">+BH145</f>
        <v>88.337589593892645</v>
      </c>
      <c r="BI150" s="523">
        <f t="shared" si="810"/>
        <v>134.2030839781832</v>
      </c>
      <c r="BJ150" s="523">
        <f t="shared" si="810"/>
        <v>222.50229785408831</v>
      </c>
      <c r="BK150" s="523"/>
      <c r="BL150" s="523">
        <f t="shared" ref="BL150:BN153" si="811">+BL145</f>
        <v>93.233789440389785</v>
      </c>
      <c r="BM150" s="523">
        <f t="shared" si="811"/>
        <v>141.38851394346014</v>
      </c>
      <c r="BN150" s="523">
        <f t="shared" si="811"/>
        <v>234.58519057986172</v>
      </c>
      <c r="BO150" s="523"/>
      <c r="BP150" s="523">
        <f t="shared" ref="BP150:BR153" si="812">+BP145</f>
        <v>98.352338549721523</v>
      </c>
      <c r="BQ150" s="523">
        <f t="shared" si="812"/>
        <v>148.90208532237517</v>
      </c>
      <c r="BR150" s="523">
        <f t="shared" si="812"/>
        <v>247.21854753993097</v>
      </c>
      <c r="BS150" s="523"/>
      <c r="BT150" s="523">
        <f t="shared" ref="BT150:BV150" si="813">+BT145</f>
        <v>103.70409020021374</v>
      </c>
      <c r="BU150" s="523">
        <f t="shared" si="813"/>
        <v>156.76000420624825</v>
      </c>
      <c r="BV150" s="523">
        <f t="shared" si="813"/>
        <v>260.42942669160675</v>
      </c>
      <c r="BW150" s="523"/>
      <c r="BX150" s="523">
        <f t="shared" ref="BX150:BZ150" si="814">+BX145</f>
        <v>109.30048449254792</v>
      </c>
      <c r="BY150" s="523">
        <f t="shared" si="814"/>
        <v>164.97933296906012</v>
      </c>
      <c r="BZ150" s="523">
        <f t="shared" si="814"/>
        <v>274.24632939914255</v>
      </c>
    </row>
    <row r="151" spans="1:78" s="135" customFormat="1">
      <c r="A151" s="134"/>
      <c r="B151" s="348" t="s">
        <v>282</v>
      </c>
      <c r="D151" s="343">
        <v>25.3429728649952</v>
      </c>
      <c r="E151" s="343">
        <v>41.190150657307399</v>
      </c>
      <c r="F151" s="343">
        <v>66.643196873248698</v>
      </c>
      <c r="G151" s="323"/>
      <c r="H151" s="343">
        <v>25.3429728649952</v>
      </c>
      <c r="I151" s="343">
        <v>41.190150657307399</v>
      </c>
      <c r="J151" s="343">
        <v>66.643196873248698</v>
      </c>
      <c r="K151" s="323"/>
      <c r="L151" s="343">
        <v>25.3429728649952</v>
      </c>
      <c r="M151" s="343">
        <v>41.190150657307399</v>
      </c>
      <c r="N151" s="343">
        <v>66.643196873248698</v>
      </c>
      <c r="O151" s="232"/>
      <c r="P151" s="343">
        <v>25.3429728649952</v>
      </c>
      <c r="Q151" s="343">
        <v>41.190150657307399</v>
      </c>
      <c r="R151" s="343">
        <v>66.643196873248698</v>
      </c>
      <c r="S151" s="232"/>
      <c r="T151" s="343">
        <v>29.015229873352499</v>
      </c>
      <c r="U151" s="343">
        <v>43.629643494562899</v>
      </c>
      <c r="V151" s="343">
        <v>72.312913125541996</v>
      </c>
      <c r="W151" s="232"/>
      <c r="X151" s="343">
        <v>40.4698063803556</v>
      </c>
      <c r="Y151" s="343">
        <v>47.811696422902401</v>
      </c>
      <c r="Z151" s="343">
        <v>88.461256534027001</v>
      </c>
      <c r="AA151" s="232"/>
      <c r="AB151" s="343">
        <v>41.146803236983999</v>
      </c>
      <c r="AC151" s="343">
        <v>58.326551730955401</v>
      </c>
      <c r="AD151" s="343">
        <v>96.699175682606196</v>
      </c>
      <c r="AF151" s="343">
        <v>48.18</v>
      </c>
      <c r="AG151" s="832">
        <f t="shared" ref="AG151:AG153" si="815">+AH151-AF151</f>
        <v>81.12</v>
      </c>
      <c r="AH151" s="343">
        <v>129.30000000000001</v>
      </c>
      <c r="AJ151" s="343">
        <v>67.760000000000005</v>
      </c>
      <c r="AK151" s="832">
        <f t="shared" ref="AK151:AK153" si="816">+AL151-AJ151</f>
        <v>89.02</v>
      </c>
      <c r="AL151" s="343">
        <v>156.78</v>
      </c>
      <c r="AM151" s="523"/>
      <c r="AN151" s="313">
        <v>68.069999999999993</v>
      </c>
      <c r="AO151" s="832">
        <f t="shared" ref="AO151:AO153" si="817">+AP151-AN151</f>
        <v>103.68</v>
      </c>
      <c r="AP151" s="913">
        <v>171.75</v>
      </c>
      <c r="AQ151" s="523"/>
      <c r="AR151" s="523">
        <f t="shared" si="806"/>
        <v>78.791890879845937</v>
      </c>
      <c r="AS151" s="523">
        <f t="shared" si="806"/>
        <v>113.50528519614991</v>
      </c>
      <c r="AT151" s="523">
        <f t="shared" si="806"/>
        <v>192.25680801547426</v>
      </c>
      <c r="AU151" s="523"/>
      <c r="AV151" s="523">
        <f t="shared" si="807"/>
        <v>85.29161929951502</v>
      </c>
      <c r="AW151" s="523">
        <f t="shared" si="807"/>
        <v>124.27115036531076</v>
      </c>
      <c r="AX151" s="523">
        <f t="shared" si="807"/>
        <v>209.52111071396513</v>
      </c>
      <c r="AY151" s="523"/>
      <c r="AZ151" s="523">
        <f t="shared" si="808"/>
        <v>93.032257042121628</v>
      </c>
      <c r="BA151" s="523">
        <f t="shared" si="808"/>
        <v>134.64387423136267</v>
      </c>
      <c r="BB151" s="523">
        <f t="shared" si="808"/>
        <v>227.63513083135877</v>
      </c>
      <c r="BC151" s="523"/>
      <c r="BD151" s="523">
        <f t="shared" si="809"/>
        <v>97.56772661312192</v>
      </c>
      <c r="BE151" s="523">
        <f t="shared" si="809"/>
        <v>141.269982062824</v>
      </c>
      <c r="BF151" s="523">
        <f t="shared" si="809"/>
        <v>238.79802238099512</v>
      </c>
      <c r="BG151" s="523"/>
      <c r="BH151" s="523">
        <f t="shared" si="810"/>
        <v>102.30148071319056</v>
      </c>
      <c r="BI151" s="523">
        <f t="shared" si="810"/>
        <v>148.19036187645381</v>
      </c>
      <c r="BJ151" s="523">
        <f t="shared" si="810"/>
        <v>250.45344730390883</v>
      </c>
      <c r="BK151" s="523"/>
      <c r="BL151" s="523">
        <f t="shared" si="811"/>
        <v>107.24354557509245</v>
      </c>
      <c r="BM151" s="523">
        <f t="shared" si="811"/>
        <v>155.41988134750846</v>
      </c>
      <c r="BN151" s="523">
        <f t="shared" si="811"/>
        <v>262.62629746282636</v>
      </c>
      <c r="BO151" s="523"/>
      <c r="BP151" s="523">
        <f t="shared" si="812"/>
        <v>112.40447228020165</v>
      </c>
      <c r="BQ151" s="523">
        <f t="shared" si="812"/>
        <v>162.97417947216016</v>
      </c>
      <c r="BR151" s="523">
        <f t="shared" si="812"/>
        <v>275.34276125382178</v>
      </c>
      <c r="BS151" s="523"/>
      <c r="BT151" s="523">
        <f t="shared" ref="BT151:BV151" si="818">+BT146</f>
        <v>117.79535978441041</v>
      </c>
      <c r="BU151" s="523">
        <f t="shared" si="818"/>
        <v>170.86970082300502</v>
      </c>
      <c r="BV151" s="523">
        <f t="shared" si="818"/>
        <v>288.63038085199651</v>
      </c>
      <c r="BW151" s="523"/>
      <c r="BX151" s="523">
        <f t="shared" ref="BX151:BZ151" si="819">+BX146</f>
        <v>123.42787955271454</v>
      </c>
      <c r="BY151" s="523">
        <f t="shared" si="819"/>
        <v>179.12373210952109</v>
      </c>
      <c r="BZ151" s="523">
        <f t="shared" si="819"/>
        <v>302.51811337266025</v>
      </c>
    </row>
    <row r="152" spans="1:78" s="135" customFormat="1">
      <c r="A152" s="134"/>
      <c r="B152" s="254" t="s">
        <v>33</v>
      </c>
      <c r="D152" s="264">
        <v>37.799999999999997</v>
      </c>
      <c r="E152" s="264">
        <v>39.116211668395302</v>
      </c>
      <c r="F152" s="264">
        <v>66.5</v>
      </c>
      <c r="G152" s="262"/>
      <c r="H152" s="264">
        <v>19.3</v>
      </c>
      <c r="I152" s="264">
        <v>39.116211668395302</v>
      </c>
      <c r="J152" s="264">
        <v>51.5</v>
      </c>
      <c r="K152" s="262"/>
      <c r="L152" s="264">
        <v>37</v>
      </c>
      <c r="M152" s="264">
        <v>39.116211668395302</v>
      </c>
      <c r="N152" s="264">
        <v>71.569999999999993</v>
      </c>
      <c r="O152" s="136"/>
      <c r="P152" s="264">
        <v>28.042731939954599</v>
      </c>
      <c r="Q152" s="264">
        <v>39.116211668395302</v>
      </c>
      <c r="R152" s="264">
        <v>69.41</v>
      </c>
      <c r="S152" s="136"/>
      <c r="T152" s="264">
        <v>22.4</v>
      </c>
      <c r="U152" s="264">
        <v>41.2187556460797</v>
      </c>
      <c r="V152" s="264">
        <v>63.589999999999996</v>
      </c>
      <c r="W152" s="136"/>
      <c r="X152" s="264">
        <v>31.25</v>
      </c>
      <c r="Y152" s="264">
        <v>63.798021442652399</v>
      </c>
      <c r="Z152" s="264">
        <v>92.86</v>
      </c>
      <c r="AA152" s="136"/>
      <c r="AB152" s="264">
        <v>39.69</v>
      </c>
      <c r="AC152" s="264">
        <v>65.55</v>
      </c>
      <c r="AD152" s="264">
        <v>105.24</v>
      </c>
      <c r="AF152" s="264">
        <v>2.27</v>
      </c>
      <c r="AG152" s="810">
        <f t="shared" si="815"/>
        <v>62.809999999999995</v>
      </c>
      <c r="AH152" s="264">
        <v>65.08</v>
      </c>
      <c r="AJ152" s="264">
        <v>48.45</v>
      </c>
      <c r="AK152" s="810">
        <f t="shared" si="816"/>
        <v>76.34</v>
      </c>
      <c r="AL152" s="264">
        <v>124.79</v>
      </c>
      <c r="AM152" s="259"/>
      <c r="AN152" s="168">
        <v>22.49</v>
      </c>
      <c r="AO152" s="810">
        <f t="shared" si="817"/>
        <v>130.75</v>
      </c>
      <c r="AP152" s="912">
        <v>153.24</v>
      </c>
      <c r="AQ152" s="259"/>
      <c r="AR152" s="259">
        <f t="shared" si="806"/>
        <v>64.849174622653138</v>
      </c>
      <c r="AS152" s="259">
        <f t="shared" si="806"/>
        <v>99.422510906011581</v>
      </c>
      <c r="AT152" s="259">
        <f t="shared" si="806"/>
        <v>164.23148034104167</v>
      </c>
      <c r="AU152" s="259"/>
      <c r="AV152" s="259">
        <f t="shared" si="807"/>
        <v>71.266170060465981</v>
      </c>
      <c r="AW152" s="259">
        <f t="shared" si="807"/>
        <v>110.09480159946419</v>
      </c>
      <c r="AX152" s="259">
        <f t="shared" si="807"/>
        <v>181.31947398130134</v>
      </c>
      <c r="AY152" s="259"/>
      <c r="AZ152" s="259">
        <f t="shared" si="808"/>
        <v>78.924921635755567</v>
      </c>
      <c r="BA152" s="259">
        <f t="shared" si="808"/>
        <v>120.37962455931859</v>
      </c>
      <c r="BB152" s="259">
        <f t="shared" si="808"/>
        <v>199.26370036251927</v>
      </c>
      <c r="BC152" s="259"/>
      <c r="BD152" s="259">
        <f t="shared" si="809"/>
        <v>83.392790881609201</v>
      </c>
      <c r="BE152" s="259">
        <f t="shared" si="809"/>
        <v>126.93365823812729</v>
      </c>
      <c r="BF152" s="259">
        <f t="shared" si="809"/>
        <v>210.28690938233527</v>
      </c>
      <c r="BG152" s="259"/>
      <c r="BH152" s="259">
        <f t="shared" si="810"/>
        <v>88.062336898277991</v>
      </c>
      <c r="BI152" s="259">
        <f t="shared" si="810"/>
        <v>133.78491815778202</v>
      </c>
      <c r="BJ152" s="259">
        <f t="shared" si="810"/>
        <v>221.8089989136673</v>
      </c>
      <c r="BK152" s="259"/>
      <c r="BL152" s="259">
        <f t="shared" si="811"/>
        <v>92.943280586980805</v>
      </c>
      <c r="BM152" s="259">
        <f t="shared" si="811"/>
        <v>140.94795891166905</v>
      </c>
      <c r="BN152" s="259">
        <f t="shared" si="811"/>
        <v>233.85424233511989</v>
      </c>
      <c r="BO152" s="259"/>
      <c r="BP152" s="259">
        <f t="shared" si="812"/>
        <v>98.045880716422374</v>
      </c>
      <c r="BQ152" s="259">
        <f t="shared" si="812"/>
        <v>148.43811861741924</v>
      </c>
      <c r="BR152" s="259">
        <f t="shared" si="812"/>
        <v>246.44823478938918</v>
      </c>
      <c r="BS152" s="259"/>
      <c r="BT152" s="259">
        <f t="shared" ref="BT152:BV152" si="820">+BT147</f>
        <v>103.38095674700203</v>
      </c>
      <c r="BU152" s="259">
        <f t="shared" si="820"/>
        <v>156.27155286949909</v>
      </c>
      <c r="BV152" s="259">
        <f t="shared" si="820"/>
        <v>259.61794992340657</v>
      </c>
      <c r="BW152" s="259"/>
      <c r="BX152" s="259">
        <f t="shared" ref="BX152:BZ152" si="821">+BX147</f>
        <v>108.95991313298434</v>
      </c>
      <c r="BY152" s="259">
        <f t="shared" si="821"/>
        <v>164.4652708769292</v>
      </c>
      <c r="BZ152" s="259">
        <f t="shared" si="821"/>
        <v>273.39180029350854</v>
      </c>
    </row>
    <row r="153" spans="1:78" s="135" customFormat="1">
      <c r="A153" s="134"/>
      <c r="B153" s="348" t="s">
        <v>283</v>
      </c>
      <c r="D153" s="343">
        <v>25.2019447474622</v>
      </c>
      <c r="E153" s="343">
        <v>41.201573238029702</v>
      </c>
      <c r="F153" s="343">
        <v>66.565720354795204</v>
      </c>
      <c r="G153" s="323"/>
      <c r="H153" s="343">
        <v>25.2019447474622</v>
      </c>
      <c r="I153" s="343">
        <v>41.201573238029702</v>
      </c>
      <c r="J153" s="343">
        <v>66.565720354795204</v>
      </c>
      <c r="K153" s="323"/>
      <c r="L153" s="343">
        <v>25.2019447474622</v>
      </c>
      <c r="M153" s="343">
        <v>41.201573238029702</v>
      </c>
      <c r="N153" s="343">
        <v>66.565720354795204</v>
      </c>
      <c r="O153" s="232"/>
      <c r="P153" s="343">
        <v>25.2019447474622</v>
      </c>
      <c r="Q153" s="343">
        <v>41.201573238029702</v>
      </c>
      <c r="R153" s="343">
        <v>66.565720354795204</v>
      </c>
      <c r="S153" s="232"/>
      <c r="T153" s="343">
        <v>28.928274373566598</v>
      </c>
      <c r="U153" s="343">
        <v>43.4988901807993</v>
      </c>
      <c r="V153" s="343">
        <v>72.096199160867101</v>
      </c>
      <c r="W153" s="232"/>
      <c r="X153" s="343">
        <v>40.404964741023001</v>
      </c>
      <c r="Y153" s="343">
        <v>47.524005251096902</v>
      </c>
      <c r="Z153" s="343">
        <v>87.928969992119903</v>
      </c>
      <c r="AA153" s="232"/>
      <c r="AB153" s="343">
        <v>41.146803236983999</v>
      </c>
      <c r="AC153" s="343">
        <v>55.551066035434502</v>
      </c>
      <c r="AD153" s="343">
        <v>96.358784091648801</v>
      </c>
      <c r="AF153" s="343">
        <v>48.181043746721002</v>
      </c>
      <c r="AG153" s="832">
        <f t="shared" si="815"/>
        <v>80.582158503271586</v>
      </c>
      <c r="AH153" s="415">
        <f>+AH148</f>
        <v>128.76320224999259</v>
      </c>
      <c r="AJ153" s="523">
        <f t="shared" ref="AJ153" si="822">+AJ148</f>
        <v>63.993828899909808</v>
      </c>
      <c r="AK153" s="832">
        <f t="shared" si="816"/>
        <v>91.70587703331978</v>
      </c>
      <c r="AL153" s="648">
        <f>+AL148</f>
        <v>155.69970593322958</v>
      </c>
      <c r="AM153" s="523"/>
      <c r="AN153" s="523">
        <f t="shared" ref="AN153" si="823">+AN148</f>
        <v>67.36494217366743</v>
      </c>
      <c r="AO153" s="832">
        <f t="shared" si="817"/>
        <v>103.09082190139938</v>
      </c>
      <c r="AP153" s="648">
        <f>+AP148</f>
        <v>170.45576407506681</v>
      </c>
      <c r="AQ153" s="523"/>
      <c r="AR153" s="523">
        <f t="shared" si="806"/>
        <v>78.546381799770799</v>
      </c>
      <c r="AS153" s="523">
        <f t="shared" si="806"/>
        <v>113.15161202190576</v>
      </c>
      <c r="AT153" s="523">
        <f t="shared" si="806"/>
        <v>191.65775154472598</v>
      </c>
      <c r="AU153" s="523"/>
      <c r="AV153" s="523">
        <f t="shared" si="807"/>
        <v>85.025857597917124</v>
      </c>
      <c r="AW153" s="523">
        <f t="shared" si="807"/>
        <v>123.88393163676679</v>
      </c>
      <c r="AX153" s="523">
        <f t="shared" si="807"/>
        <v>208.86826008970289</v>
      </c>
      <c r="AY153" s="523"/>
      <c r="AZ153" s="523">
        <f t="shared" si="808"/>
        <v>92.742376147163071</v>
      </c>
      <c r="BA153" s="523">
        <f t="shared" si="808"/>
        <v>134.22433494462689</v>
      </c>
      <c r="BB153" s="523">
        <f t="shared" si="808"/>
        <v>226.92583840368474</v>
      </c>
      <c r="BC153" s="523"/>
      <c r="BD153" s="523">
        <f t="shared" si="809"/>
        <v>97.263713566368935</v>
      </c>
      <c r="BE153" s="523">
        <f t="shared" si="809"/>
        <v>140.82979636666693</v>
      </c>
      <c r="BF153" s="523">
        <f t="shared" si="809"/>
        <v>238.05394729733044</v>
      </c>
      <c r="BG153" s="523"/>
      <c r="BH153" s="523">
        <f t="shared" si="810"/>
        <v>101.98271767628715</v>
      </c>
      <c r="BI153" s="523">
        <f t="shared" si="810"/>
        <v>147.72861284347562</v>
      </c>
      <c r="BJ153" s="523">
        <f t="shared" si="810"/>
        <v>249.6730548705936</v>
      </c>
      <c r="BK153" s="523"/>
      <c r="BL153" s="523">
        <f t="shared" si="811"/>
        <v>106.9093834687624</v>
      </c>
      <c r="BM153" s="523">
        <f t="shared" si="811"/>
        <v>154.93560572385064</v>
      </c>
      <c r="BN153" s="523">
        <f t="shared" si="811"/>
        <v>261.8079754251948</v>
      </c>
      <c r="BO153" s="523"/>
      <c r="BP153" s="523">
        <f t="shared" si="812"/>
        <v>112.05422914886307</v>
      </c>
      <c r="BQ153" s="523">
        <f t="shared" si="812"/>
        <v>162.46636527413273</v>
      </c>
      <c r="BR153" s="523">
        <f t="shared" si="812"/>
        <v>274.4848157563103</v>
      </c>
      <c r="BS153" s="523"/>
      <c r="BT153" s="523">
        <f t="shared" ref="BT153:BV153" si="824">+BT148</f>
        <v>117.42831908904374</v>
      </c>
      <c r="BU153" s="523">
        <f t="shared" si="824"/>
        <v>170.3372848269764</v>
      </c>
      <c r="BV153" s="523">
        <f t="shared" si="824"/>
        <v>287.73103221987935</v>
      </c>
      <c r="BW153" s="523"/>
      <c r="BX153" s="523">
        <f t="shared" ref="BX153:BZ153" si="825">+BX148</f>
        <v>123.04328838697107</v>
      </c>
      <c r="BY153" s="523">
        <f t="shared" si="825"/>
        <v>178.56559722788842</v>
      </c>
      <c r="BZ153" s="523">
        <f t="shared" si="825"/>
        <v>301.57549170321141</v>
      </c>
    </row>
    <row r="154" spans="1:78" s="256" customFormat="1">
      <c r="A154" s="247"/>
      <c r="B154" s="254" t="s">
        <v>67</v>
      </c>
      <c r="D154" s="257">
        <f>D39/D133*100</f>
        <v>24.251925822812758</v>
      </c>
      <c r="E154" s="257">
        <f>E39/E133*100</f>
        <v>42.463963350993531</v>
      </c>
      <c r="F154" s="257">
        <f>F39/F133*100</f>
        <v>64.555940570560608</v>
      </c>
      <c r="H154" s="257">
        <f>H39/H133*100</f>
        <v>23.263617556589995</v>
      </c>
      <c r="I154" s="257">
        <f>I39/I133*100</f>
        <v>39.99765679997973</v>
      </c>
      <c r="J154" s="257">
        <f>J39/J133*100</f>
        <v>64.12213740458003</v>
      </c>
      <c r="L154" s="257">
        <f>L39/L133*100</f>
        <v>24.416382824323797</v>
      </c>
      <c r="M154" s="257">
        <f>M39/M133*100</f>
        <v>43.68335375512202</v>
      </c>
      <c r="N154" s="257">
        <f>N39/N133*100</f>
        <v>70.830732742479043</v>
      </c>
      <c r="P154" s="257">
        <f>P39/P133*100</f>
        <v>26.773384668141347</v>
      </c>
      <c r="Q154" s="257">
        <f>Q39/Q133*100</f>
        <v>42.421298449720382</v>
      </c>
      <c r="R154" s="257">
        <f>R39/R133*100</f>
        <v>71.95510520423683</v>
      </c>
      <c r="T154" s="257">
        <f>T39/T133*100</f>
        <v>31.093113586780529</v>
      </c>
      <c r="U154" s="257">
        <f>U39/U133*100</f>
        <v>38.050168927992253</v>
      </c>
      <c r="V154" s="257">
        <f>V39/V133*100</f>
        <v>68.982082927357339</v>
      </c>
      <c r="X154" s="257">
        <f>X39/X133*100</f>
        <v>40.484409301282945</v>
      </c>
      <c r="Y154" s="257">
        <f>Y39/Y133*100</f>
        <v>47.542856502684053</v>
      </c>
      <c r="Z154" s="257">
        <f>Z39/Z133*100</f>
        <v>87.764472129739119</v>
      </c>
      <c r="AB154" s="257">
        <f>AB39/AB133*100</f>
        <v>41.032584946427079</v>
      </c>
      <c r="AC154" s="257">
        <f>AC39/AC133*100</f>
        <v>55.296414738744993</v>
      </c>
      <c r="AD154" s="257">
        <f>AD39/AD133*100</f>
        <v>96.38612250211537</v>
      </c>
      <c r="AF154" s="257">
        <f>AF39/AF133*100</f>
        <v>48.246100237698833</v>
      </c>
      <c r="AG154" s="257">
        <f>AG39/AG133*100</f>
        <v>79.503119219596243</v>
      </c>
      <c r="AH154" s="257">
        <f>AH39/AH133*100</f>
        <v>128.76320224999259</v>
      </c>
      <c r="AJ154" s="257">
        <f>AJ39/AJ133*100</f>
        <v>63.993828899909808</v>
      </c>
      <c r="AK154" s="257">
        <f>AK39/AK133*100</f>
        <v>91.693941847408325</v>
      </c>
      <c r="AL154" s="257">
        <f>AL39/AL133*100</f>
        <v>155.69970593322958</v>
      </c>
      <c r="AN154" s="258">
        <f>AN39/AN133*100</f>
        <v>67.36494217366743</v>
      </c>
      <c r="AO154" s="257">
        <f>AO39/AO133*100</f>
        <v>103.2433330531244</v>
      </c>
      <c r="AP154" s="257">
        <f>AP39/AP133*100</f>
        <v>170.45576407506681</v>
      </c>
      <c r="AR154" s="269">
        <f>AR39/AR133*100</f>
        <v>78.546381799770799</v>
      </c>
      <c r="AS154" s="269">
        <f>AS39/AS133*100</f>
        <v>113.15161202190576</v>
      </c>
      <c r="AT154" s="269">
        <f>AT39/AT133*100</f>
        <v>191.65775154472598</v>
      </c>
      <c r="AV154" s="269">
        <f>AV39/AV133*100</f>
        <v>85.025857597917124</v>
      </c>
      <c r="AW154" s="269">
        <f>AW39/AW133*100</f>
        <v>123.88393163676679</v>
      </c>
      <c r="AX154" s="269">
        <f>AX39/AX133*100</f>
        <v>208.86826008970289</v>
      </c>
      <c r="AZ154" s="269">
        <f>AZ39/AZ133*100</f>
        <v>92.742376147163071</v>
      </c>
      <c r="BA154" s="269">
        <f>BA39/BA133*100</f>
        <v>134.22433494462689</v>
      </c>
      <c r="BB154" s="269">
        <f>BB39/BB133*100</f>
        <v>226.92583840368474</v>
      </c>
      <c r="BD154" s="269">
        <f>BD39/BD133*100</f>
        <v>97.263713566368935</v>
      </c>
      <c r="BE154" s="269">
        <f>BE39/BE133*100</f>
        <v>140.82979636666693</v>
      </c>
      <c r="BF154" s="269">
        <f>BF39/BF133*100</f>
        <v>238.05394729733044</v>
      </c>
      <c r="BH154" s="269">
        <f>BH39/BH133*100</f>
        <v>101.98271767628715</v>
      </c>
      <c r="BI154" s="269">
        <f>BI39/BI133*100</f>
        <v>147.72861284347562</v>
      </c>
      <c r="BJ154" s="269">
        <f>BJ39/BJ133*100</f>
        <v>249.6730548705936</v>
      </c>
      <c r="BL154" s="269">
        <f>BL39/BL133*100</f>
        <v>106.9093834687624</v>
      </c>
      <c r="BM154" s="269">
        <f>BM39/BM133*100</f>
        <v>154.93560572385064</v>
      </c>
      <c r="BN154" s="269">
        <f>BN39/BN133*100</f>
        <v>261.8079754251948</v>
      </c>
      <c r="BP154" s="269">
        <f>BP39/BP133*100</f>
        <v>112.05422914886307</v>
      </c>
      <c r="BQ154" s="269">
        <f>BQ39/BQ133*100</f>
        <v>162.46636527413273</v>
      </c>
      <c r="BR154" s="269">
        <f>BR39/BR133*100</f>
        <v>274.4848157563103</v>
      </c>
      <c r="BT154" s="269">
        <f>BT39/BT133*100</f>
        <v>117.42831908904374</v>
      </c>
      <c r="BU154" s="269">
        <f>BU39/BU133*100</f>
        <v>170.3372848269764</v>
      </c>
      <c r="BV154" s="269">
        <f>BV39/BV133*100</f>
        <v>287.73103221987935</v>
      </c>
      <c r="BX154" s="269">
        <f>BX39/BX133*100</f>
        <v>123.04328838697107</v>
      </c>
      <c r="BY154" s="269">
        <f>BY39/BY133*100</f>
        <v>178.56559722788842</v>
      </c>
      <c r="BZ154" s="269">
        <f>BZ39/BZ133*100</f>
        <v>301.57549170321141</v>
      </c>
    </row>
    <row r="155" spans="1:78">
      <c r="B155" s="254"/>
      <c r="D155" s="259"/>
      <c r="E155" s="259"/>
      <c r="F155" s="259"/>
      <c r="H155" s="259"/>
      <c r="I155" s="259"/>
      <c r="J155" s="259"/>
      <c r="L155" s="259"/>
      <c r="M155" s="259"/>
      <c r="N155" s="259"/>
      <c r="P155" s="259"/>
      <c r="Q155" s="259"/>
      <c r="R155" s="259"/>
      <c r="T155" s="259"/>
      <c r="U155" s="259"/>
      <c r="V155" s="259"/>
      <c r="X155" s="259"/>
      <c r="Y155" s="259"/>
      <c r="Z155" s="259"/>
      <c r="AB155" s="259"/>
      <c r="AC155" s="259"/>
      <c r="AD155" s="259"/>
      <c r="AF155" s="259"/>
      <c r="AG155" s="259"/>
      <c r="AH155" s="259"/>
      <c r="AJ155" s="259"/>
      <c r="AK155" s="259"/>
      <c r="AL155" s="269"/>
      <c r="AN155" s="259"/>
      <c r="AO155" s="259"/>
      <c r="AP155" s="269"/>
      <c r="AR155" s="259"/>
      <c r="AS155" s="259"/>
      <c r="AT155" s="259"/>
      <c r="AV155" s="259"/>
      <c r="AW155" s="259"/>
      <c r="AX155" s="259"/>
      <c r="AZ155" s="259"/>
      <c r="BA155" s="259"/>
      <c r="BB155" s="259"/>
      <c r="BD155" s="259"/>
      <c r="BE155" s="259"/>
      <c r="BF155" s="259"/>
      <c r="BH155" s="259"/>
      <c r="BI155" s="259"/>
      <c r="BJ155" s="259"/>
      <c r="BL155" s="259"/>
      <c r="BM155" s="259"/>
      <c r="BN155" s="259"/>
      <c r="BP155" s="259"/>
      <c r="BQ155" s="259"/>
      <c r="BR155" s="259"/>
      <c r="BT155" s="259"/>
      <c r="BU155" s="259"/>
      <c r="BV155" s="259"/>
      <c r="BX155" s="259"/>
      <c r="BY155" s="259"/>
      <c r="BZ155" s="259"/>
    </row>
    <row r="156" spans="1:78" s="140" customFormat="1" outlineLevel="1">
      <c r="B156" s="244" t="s">
        <v>388</v>
      </c>
      <c r="C156" s="243"/>
      <c r="D156" s="341">
        <f t="shared" ref="D156:F159" si="826">+D145-D150</f>
        <v>6.3344750930340297</v>
      </c>
      <c r="E156" s="341">
        <f t="shared" si="826"/>
        <v>-2.5966204018743611</v>
      </c>
      <c r="F156" s="341">
        <f t="shared" si="826"/>
        <v>11.612591805333068</v>
      </c>
      <c r="G156" s="243"/>
      <c r="H156" s="341">
        <f t="shared" ref="H156:J159" si="827">+H145-H150</f>
        <v>3.5785587539710377</v>
      </c>
      <c r="I156" s="341">
        <f t="shared" si="827"/>
        <v>-3.6080968690869639</v>
      </c>
      <c r="J156" s="341">
        <f t="shared" si="827"/>
        <v>7.2796601196628075</v>
      </c>
      <c r="K156" s="243"/>
      <c r="L156" s="341">
        <f t="shared" ref="L156:N159" si="828">+L145-L150</f>
        <v>1.3894438402520706</v>
      </c>
      <c r="M156" s="341">
        <f t="shared" si="828"/>
        <v>0.60339859876147273</v>
      </c>
      <c r="N156" s="341">
        <f t="shared" si="828"/>
        <v>8.9168211007736744</v>
      </c>
      <c r="O156" s="243"/>
      <c r="P156" s="341">
        <f t="shared" ref="P156:R159" si="829">+P145-P150</f>
        <v>-21.309440528697298</v>
      </c>
      <c r="Q156" s="341">
        <f t="shared" si="829"/>
        <v>17.769520361551287</v>
      </c>
      <c r="R156" s="341">
        <f t="shared" si="829"/>
        <v>-4.213319874125304</v>
      </c>
      <c r="S156" s="243"/>
      <c r="T156" s="341">
        <f t="shared" ref="T156:V159" si="830">+T145-T150</f>
        <v>-11.985139295627322</v>
      </c>
      <c r="U156" s="341">
        <f t="shared" si="830"/>
        <v>9.0826499101843154</v>
      </c>
      <c r="V156" s="341">
        <f t="shared" si="830"/>
        <v>-2.9633194075199683</v>
      </c>
      <c r="W156" s="243"/>
      <c r="X156" s="341">
        <f t="shared" ref="X156:Z159" si="831">+X145-X150</f>
        <v>7.73593075017871E-2</v>
      </c>
      <c r="Y156" s="341">
        <f t="shared" si="831"/>
        <v>1.8965369465647086E-2</v>
      </c>
      <c r="Z156" s="341">
        <f t="shared" si="831"/>
        <v>9.8295811847364689E-2</v>
      </c>
      <c r="AA156" s="243"/>
      <c r="AB156" s="341">
        <f t="shared" ref="AB156:AD159" si="832">+AB145-AB150</f>
        <v>-0.11421829055688448</v>
      </c>
      <c r="AC156" s="341">
        <f t="shared" si="832"/>
        <v>3.1819139255089084</v>
      </c>
      <c r="AD156" s="341">
        <f t="shared" si="832"/>
        <v>2.7434613941451857E-2</v>
      </c>
      <c r="AE156" s="243"/>
      <c r="AF156" s="341">
        <f t="shared" ref="AF156:AH159" si="833">+AF145-AF150</f>
        <v>6.9968389773845452E-2</v>
      </c>
      <c r="AG156" s="341">
        <f t="shared" si="833"/>
        <v>-1.8785260541934719</v>
      </c>
      <c r="AH156" s="341">
        <f t="shared" si="833"/>
        <v>-0.1106598755971504</v>
      </c>
      <c r="AI156" s="243"/>
      <c r="AJ156" s="341">
        <f t="shared" ref="AJ156:AL156" si="834">+AJ145-AJ150</f>
        <v>0.10446524820397229</v>
      </c>
      <c r="AK156" s="341">
        <f t="shared" si="834"/>
        <v>-0.28420484959093528</v>
      </c>
      <c r="AL156" s="341">
        <f t="shared" si="834"/>
        <v>1.4414517652085124E-2</v>
      </c>
      <c r="AM156" s="243"/>
      <c r="AN156" s="341">
        <f t="shared" ref="AN156:AP156" si="835">+AN145-AN150</f>
        <v>0.14218011844807066</v>
      </c>
      <c r="AO156" s="341">
        <f t="shared" si="835"/>
        <v>-0.11948444556716709</v>
      </c>
      <c r="AP156" s="341">
        <f t="shared" si="835"/>
        <v>3.158727707850062E-2</v>
      </c>
      <c r="AQ156" s="243"/>
      <c r="AR156" s="243"/>
      <c r="AS156" s="243"/>
      <c r="AT156" s="243"/>
      <c r="AU156" s="243"/>
      <c r="AV156" s="243"/>
      <c r="AW156" s="243"/>
      <c r="AX156" s="243"/>
      <c r="AY156" s="243"/>
      <c r="AZ156" s="243"/>
      <c r="BA156" s="243"/>
      <c r="BB156" s="243"/>
      <c r="BC156" s="243"/>
      <c r="BD156" s="243"/>
      <c r="BE156" s="243"/>
      <c r="BF156" s="243"/>
      <c r="BG156" s="243"/>
      <c r="BH156" s="243"/>
      <c r="BI156" s="243"/>
      <c r="BJ156" s="243"/>
      <c r="BK156" s="243"/>
      <c r="BL156" s="243"/>
      <c r="BM156" s="243"/>
      <c r="BN156" s="243"/>
      <c r="BO156" s="243"/>
      <c r="BP156" s="243"/>
      <c r="BQ156" s="243"/>
      <c r="BR156" s="243"/>
      <c r="BS156" s="243"/>
      <c r="BT156" s="243"/>
      <c r="BU156" s="243"/>
      <c r="BV156" s="243"/>
      <c r="BW156" s="243"/>
      <c r="BX156" s="243"/>
      <c r="BY156" s="243"/>
      <c r="BZ156" s="243"/>
    </row>
    <row r="157" spans="1:78" s="140" customFormat="1" outlineLevel="1">
      <c r="B157" s="244" t="s">
        <v>389</v>
      </c>
      <c r="C157" s="243"/>
      <c r="D157" s="341">
        <f t="shared" si="826"/>
        <v>-1.0910470421824421</v>
      </c>
      <c r="E157" s="341">
        <f t="shared" si="826"/>
        <v>1.385695071721436</v>
      </c>
      <c r="F157" s="341">
        <f t="shared" si="826"/>
        <v>-1.9234113368517285</v>
      </c>
      <c r="G157" s="243"/>
      <c r="H157" s="341">
        <f t="shared" si="827"/>
        <v>-2.079355308405205</v>
      </c>
      <c r="I157" s="341">
        <f t="shared" si="827"/>
        <v>-1.0871096066482835</v>
      </c>
      <c r="J157" s="341">
        <f t="shared" si="827"/>
        <v>-2.3071382321436715</v>
      </c>
      <c r="K157" s="243"/>
      <c r="L157" s="341">
        <f t="shared" si="828"/>
        <v>-0.92659004067140316</v>
      </c>
      <c r="M157" s="341">
        <f t="shared" si="828"/>
        <v>2.6082982776564663</v>
      </c>
      <c r="N157" s="341">
        <f t="shared" si="828"/>
        <v>4.4560105947210502</v>
      </c>
      <c r="O157" s="243"/>
      <c r="P157" s="341">
        <f t="shared" si="829"/>
        <v>4.5061115079961631</v>
      </c>
      <c r="Q157" s="341">
        <f t="shared" si="829"/>
        <v>1.3429177586469194</v>
      </c>
      <c r="R157" s="341">
        <f t="shared" si="829"/>
        <v>5.3956576092423205</v>
      </c>
      <c r="S157" s="243"/>
      <c r="T157" s="341">
        <f t="shared" si="830"/>
        <v>2.1138095075507941</v>
      </c>
      <c r="U157" s="341">
        <f t="shared" si="830"/>
        <v>-5.4650995639919913</v>
      </c>
      <c r="V157" s="341">
        <f t="shared" si="830"/>
        <v>-3.1698932134374189</v>
      </c>
      <c r="W157" s="243"/>
      <c r="X157" s="341">
        <f t="shared" si="831"/>
        <v>8.3626449659355728E-2</v>
      </c>
      <c r="Y157" s="341">
        <f t="shared" si="831"/>
        <v>1.8965369465647086E-2</v>
      </c>
      <c r="Z157" s="341">
        <f t="shared" si="831"/>
        <v>-0.43399073005991795</v>
      </c>
      <c r="AA157" s="243"/>
      <c r="AB157" s="341">
        <f t="shared" si="832"/>
        <v>-0.11421829055692001</v>
      </c>
      <c r="AC157" s="341">
        <f t="shared" si="832"/>
        <v>0.14246640282691203</v>
      </c>
      <c r="AD157" s="341">
        <f t="shared" si="832"/>
        <v>2.6128203753671642E-2</v>
      </c>
      <c r="AE157" s="243"/>
      <c r="AF157" s="341">
        <f t="shared" si="833"/>
        <v>6.6100237698833553E-2</v>
      </c>
      <c r="AG157" s="341">
        <f t="shared" si="833"/>
        <v>-0.94681754103268645</v>
      </c>
      <c r="AH157" s="341">
        <f t="shared" si="833"/>
        <v>1.7787994430960907E-2</v>
      </c>
      <c r="AI157" s="243"/>
      <c r="AJ157" s="341">
        <f t="shared" ref="AJ157:AL157" si="836">+AJ146-AJ151</f>
        <v>-2.9017389615039662</v>
      </c>
      <c r="AK157" s="341">
        <f t="shared" si="836"/>
        <v>2.710605524912765</v>
      </c>
      <c r="AL157" s="341">
        <f t="shared" si="836"/>
        <v>1.6576672381631852E-3</v>
      </c>
      <c r="AM157" s="243"/>
      <c r="AN157" s="341">
        <f t="shared" ref="AN157:AP157" si="837">+AN146-AN151</f>
        <v>0.14016437739411458</v>
      </c>
      <c r="AO157" s="341">
        <f t="shared" si="837"/>
        <v>-0.11396365818207244</v>
      </c>
      <c r="AP157" s="341">
        <f t="shared" si="837"/>
        <v>4.8039064309222113E-2</v>
      </c>
      <c r="AQ157" s="243"/>
      <c r="AR157" s="243"/>
      <c r="AS157" s="243"/>
      <c r="AT157" s="243"/>
      <c r="AU157" s="243"/>
      <c r="AV157" s="243"/>
      <c r="AW157" s="243"/>
      <c r="AX157" s="243"/>
      <c r="AY157" s="243"/>
      <c r="AZ157" s="243"/>
      <c r="BA157" s="243"/>
      <c r="BB157" s="243"/>
      <c r="BC157" s="243"/>
      <c r="BD157" s="243"/>
      <c r="BE157" s="243"/>
      <c r="BF157" s="243"/>
      <c r="BG157" s="243"/>
      <c r="BH157" s="243"/>
      <c r="BI157" s="243"/>
      <c r="BJ157" s="243"/>
      <c r="BK157" s="243"/>
      <c r="BL157" s="243"/>
      <c r="BM157" s="243"/>
      <c r="BN157" s="243"/>
      <c r="BO157" s="243"/>
      <c r="BP157" s="243"/>
      <c r="BQ157" s="243"/>
      <c r="BR157" s="243"/>
      <c r="BS157" s="243"/>
      <c r="BT157" s="243"/>
      <c r="BU157" s="243"/>
      <c r="BV157" s="243"/>
      <c r="BW157" s="243"/>
      <c r="BX157" s="243"/>
      <c r="BY157" s="243"/>
      <c r="BZ157" s="243"/>
    </row>
    <row r="158" spans="1:78" s="140" customFormat="1" outlineLevel="1">
      <c r="B158" s="244" t="s">
        <v>390</v>
      </c>
      <c r="C158" s="243"/>
      <c r="D158" s="341">
        <f t="shared" si="826"/>
        <v>6.5344750930340325</v>
      </c>
      <c r="E158" s="341">
        <f t="shared" si="826"/>
        <v>-2.5923036043301408</v>
      </c>
      <c r="F158" s="341">
        <f t="shared" si="826"/>
        <v>11.514588376766199</v>
      </c>
      <c r="G158" s="243"/>
      <c r="H158" s="341">
        <f t="shared" si="827"/>
        <v>3.6785587539710356</v>
      </c>
      <c r="I158" s="341">
        <f t="shared" si="827"/>
        <v>-3.6011220763687035</v>
      </c>
      <c r="J158" s="341">
        <f t="shared" si="827"/>
        <v>7.2536489798465738</v>
      </c>
      <c r="K158" s="243"/>
      <c r="L158" s="341">
        <f t="shared" si="828"/>
        <v>1.5894438402520734</v>
      </c>
      <c r="M158" s="341">
        <f t="shared" si="828"/>
        <v>0.59930626832669986</v>
      </c>
      <c r="N158" s="341">
        <f t="shared" si="828"/>
        <v>8.8818786668330603</v>
      </c>
      <c r="O158" s="243"/>
      <c r="P158" s="341">
        <f t="shared" si="829"/>
        <v>-21.963882597562282</v>
      </c>
      <c r="Q158" s="341">
        <f t="shared" si="829"/>
        <v>17.720318263087755</v>
      </c>
      <c r="R158" s="341">
        <f t="shared" si="829"/>
        <v>-4.2092077388983284</v>
      </c>
      <c r="S158" s="243"/>
      <c r="T158" s="341">
        <f t="shared" si="830"/>
        <v>-11.89727441859956</v>
      </c>
      <c r="U158" s="341">
        <f t="shared" si="830"/>
        <v>9.0554301926164698</v>
      </c>
      <c r="V158" s="341">
        <f t="shared" si="830"/>
        <v>-2.9547829381834134</v>
      </c>
      <c r="W158" s="243"/>
      <c r="X158" s="341">
        <f t="shared" si="831"/>
        <v>0.12386871282820167</v>
      </c>
      <c r="Y158" s="341">
        <f t="shared" si="831"/>
        <v>1.8851251587093998E-2</v>
      </c>
      <c r="Z158" s="341">
        <f t="shared" si="831"/>
        <v>2.0465621308131148</v>
      </c>
      <c r="AA158" s="243"/>
      <c r="AB158" s="341">
        <f t="shared" si="832"/>
        <v>8.3496261111314141E-2</v>
      </c>
      <c r="AC158" s="341">
        <f t="shared" si="832"/>
        <v>-0.39624907067118897</v>
      </c>
      <c r="AD158" s="341">
        <f t="shared" si="832"/>
        <v>2.199310030582069E-2</v>
      </c>
      <c r="AE158" s="243"/>
      <c r="AF158" s="341">
        <f t="shared" si="833"/>
        <v>6.9968389773845452E-2</v>
      </c>
      <c r="AG158" s="341">
        <f t="shared" si="833"/>
        <v>-2.1200294849996624</v>
      </c>
      <c r="AH158" s="341">
        <f t="shared" si="833"/>
        <v>-0.12044201980704372</v>
      </c>
      <c r="AI158" s="243"/>
      <c r="AJ158" s="341">
        <f t="shared" ref="AJ158:AL158" si="838">+AJ147-AJ152</f>
        <v>0</v>
      </c>
      <c r="AK158" s="341">
        <f t="shared" si="838"/>
        <v>-4.727387513170811E-3</v>
      </c>
      <c r="AL158" s="341">
        <f t="shared" si="838"/>
        <v>7.2031791987114957E-3</v>
      </c>
      <c r="AM158" s="243"/>
      <c r="AN158" s="341">
        <f t="shared" ref="AN158:AP158" si="839">+AN147-AN152</f>
        <v>0</v>
      </c>
      <c r="AO158" s="341">
        <f t="shared" si="839"/>
        <v>0.54014753231621171</v>
      </c>
      <c r="AP158" s="341">
        <f t="shared" si="839"/>
        <v>3.4607430103221759E-2</v>
      </c>
      <c r="AQ158" s="243"/>
      <c r="AR158" s="243"/>
      <c r="AS158" s="243"/>
      <c r="AT158" s="243"/>
      <c r="AU158" s="243"/>
      <c r="AV158" s="243"/>
      <c r="AW158" s="243"/>
      <c r="AX158" s="243"/>
      <c r="AY158" s="243"/>
      <c r="AZ158" s="243"/>
      <c r="BA158" s="243"/>
      <c r="BB158" s="243"/>
      <c r="BC158" s="243"/>
      <c r="BD158" s="243"/>
      <c r="BE158" s="243"/>
      <c r="BF158" s="243"/>
      <c r="BG158" s="243"/>
      <c r="BH158" s="243"/>
      <c r="BI158" s="243"/>
      <c r="BJ158" s="243"/>
      <c r="BK158" s="243"/>
      <c r="BL158" s="243"/>
      <c r="BM158" s="243"/>
      <c r="BN158" s="243"/>
      <c r="BO158" s="243"/>
      <c r="BP158" s="243"/>
      <c r="BQ158" s="243"/>
      <c r="BR158" s="243"/>
      <c r="BS158" s="243"/>
      <c r="BT158" s="243"/>
      <c r="BU158" s="243"/>
      <c r="BV158" s="243"/>
      <c r="BW158" s="243"/>
      <c r="BX158" s="243"/>
      <c r="BY158" s="243"/>
      <c r="BZ158" s="243"/>
    </row>
    <row r="159" spans="1:78" s="140" customFormat="1" outlineLevel="1">
      <c r="B159" s="244" t="s">
        <v>391</v>
      </c>
      <c r="C159" s="243"/>
      <c r="D159" s="341">
        <f t="shared" si="826"/>
        <v>-0.95001892464944149</v>
      </c>
      <c r="E159" s="341">
        <f t="shared" si="826"/>
        <v>1.2623901129638284</v>
      </c>
      <c r="F159" s="341">
        <f t="shared" si="826"/>
        <v>-2.0097797842345955</v>
      </c>
      <c r="G159" s="243"/>
      <c r="H159" s="341">
        <f t="shared" si="827"/>
        <v>-1.9383271908722044</v>
      </c>
      <c r="I159" s="341">
        <f t="shared" si="827"/>
        <v>-1.2039164380499727</v>
      </c>
      <c r="J159" s="341">
        <f t="shared" si="827"/>
        <v>-2.4435829502151734</v>
      </c>
      <c r="K159" s="243"/>
      <c r="L159" s="341">
        <f t="shared" si="828"/>
        <v>-0.78556192313840256</v>
      </c>
      <c r="M159" s="341">
        <f t="shared" si="828"/>
        <v>2.481780517092318</v>
      </c>
      <c r="N159" s="341">
        <f t="shared" si="828"/>
        <v>4.2650123876838393</v>
      </c>
      <c r="O159" s="243"/>
      <c r="P159" s="341">
        <f t="shared" si="829"/>
        <v>1.571439920679147</v>
      </c>
      <c r="Q159" s="341">
        <f t="shared" si="829"/>
        <v>1.2197252116906796</v>
      </c>
      <c r="R159" s="341">
        <f t="shared" si="829"/>
        <v>5.3893848494416261</v>
      </c>
      <c r="S159" s="243"/>
      <c r="T159" s="341">
        <f t="shared" si="830"/>
        <v>2.1648392132139307</v>
      </c>
      <c r="U159" s="341">
        <f t="shared" si="830"/>
        <v>-5.4487212528070472</v>
      </c>
      <c r="V159" s="341">
        <f t="shared" si="830"/>
        <v>-3.1141162335097619</v>
      </c>
      <c r="W159" s="243"/>
      <c r="X159" s="341">
        <f t="shared" si="831"/>
        <v>7.9444560259943842E-2</v>
      </c>
      <c r="Y159" s="341">
        <f t="shared" si="831"/>
        <v>1.8851251587150841E-2</v>
      </c>
      <c r="Z159" s="341">
        <f t="shared" si="831"/>
        <v>-0.16449786238078445</v>
      </c>
      <c r="AA159" s="243"/>
      <c r="AB159" s="341">
        <f t="shared" si="832"/>
        <v>-0.11421829055692001</v>
      </c>
      <c r="AC159" s="341">
        <f t="shared" si="832"/>
        <v>-0.25465129668950937</v>
      </c>
      <c r="AD159" s="341">
        <f t="shared" si="832"/>
        <v>2.7338410466569485E-2</v>
      </c>
      <c r="AE159" s="243"/>
      <c r="AF159" s="341">
        <f t="shared" si="833"/>
        <v>6.5056490977831061E-2</v>
      </c>
      <c r="AG159" s="341">
        <f t="shared" si="833"/>
        <v>-1.0790392836753426</v>
      </c>
      <c r="AH159" s="341">
        <f t="shared" si="833"/>
        <v>0</v>
      </c>
      <c r="AI159" s="243"/>
      <c r="AJ159" s="341">
        <f t="shared" ref="AJ159:AL159" si="840">+AJ148-AJ153</f>
        <v>0</v>
      </c>
      <c r="AK159" s="341">
        <f t="shared" si="840"/>
        <v>-1.1935185911454482E-2</v>
      </c>
      <c r="AL159" s="341">
        <f t="shared" si="840"/>
        <v>0</v>
      </c>
      <c r="AM159" s="243"/>
      <c r="AN159" s="341">
        <f t="shared" ref="AN159:AP159" si="841">+AN148-AN153</f>
        <v>0</v>
      </c>
      <c r="AO159" s="341">
        <f t="shared" si="841"/>
        <v>0.15251115172502239</v>
      </c>
      <c r="AP159" s="341">
        <f t="shared" si="841"/>
        <v>0</v>
      </c>
      <c r="AQ159" s="243"/>
      <c r="AR159" s="243"/>
      <c r="AS159" s="243"/>
      <c r="AT159" s="243"/>
      <c r="AU159" s="243"/>
      <c r="AV159" s="243"/>
      <c r="AW159" s="243"/>
      <c r="AX159" s="243"/>
      <c r="AY159" s="243"/>
      <c r="AZ159" s="243"/>
      <c r="BA159" s="243"/>
      <c r="BB159" s="243"/>
      <c r="BC159" s="243"/>
      <c r="BD159" s="243"/>
      <c r="BE159" s="243"/>
      <c r="BF159" s="243"/>
      <c r="BG159" s="243"/>
      <c r="BH159" s="243"/>
      <c r="BI159" s="243"/>
      <c r="BJ159" s="243"/>
      <c r="BK159" s="243"/>
      <c r="BL159" s="243"/>
      <c r="BM159" s="243"/>
      <c r="BN159" s="243"/>
      <c r="BO159" s="243"/>
      <c r="BP159" s="243"/>
      <c r="BQ159" s="243"/>
      <c r="BR159" s="243"/>
      <c r="BS159" s="243"/>
      <c r="BT159" s="243"/>
      <c r="BU159" s="243"/>
      <c r="BV159" s="243"/>
      <c r="BW159" s="243"/>
      <c r="BX159" s="243"/>
      <c r="BY159" s="243"/>
      <c r="BZ159" s="243"/>
    </row>
    <row r="160" spans="1:78" outlineLevel="1" collapsed="1">
      <c r="B160" s="254"/>
      <c r="D160" s="259"/>
      <c r="E160" s="259"/>
      <c r="F160" s="259"/>
      <c r="H160" s="259"/>
      <c r="I160" s="259"/>
      <c r="J160" s="259"/>
      <c r="L160" s="259"/>
      <c r="M160" s="259"/>
      <c r="N160" s="259"/>
      <c r="P160" s="259"/>
      <c r="Q160" s="259"/>
      <c r="R160" s="259"/>
      <c r="T160" s="259"/>
      <c r="U160" s="259"/>
      <c r="V160" s="259"/>
      <c r="X160" s="259"/>
      <c r="Y160" s="259"/>
      <c r="Z160" s="259"/>
      <c r="AB160" s="259"/>
      <c r="AC160" s="259"/>
      <c r="AD160" s="259"/>
      <c r="AF160" s="259"/>
      <c r="AG160" s="259"/>
      <c r="AH160" s="259"/>
      <c r="AJ160" s="259"/>
      <c r="AK160" s="259"/>
      <c r="AL160" s="259"/>
      <c r="AN160" s="259"/>
      <c r="AO160" s="259"/>
      <c r="AP160" s="259"/>
      <c r="AR160" s="259"/>
      <c r="AS160" s="259"/>
      <c r="AT160" s="259"/>
      <c r="AV160" s="259"/>
      <c r="AW160" s="259"/>
      <c r="AX160" s="259"/>
      <c r="AZ160" s="259"/>
      <c r="BA160" s="259"/>
      <c r="BB160" s="259"/>
      <c r="BD160" s="259"/>
      <c r="BE160" s="259"/>
      <c r="BF160" s="259"/>
      <c r="BH160" s="259"/>
      <c r="BI160" s="259"/>
      <c r="BJ160" s="259"/>
      <c r="BL160" s="259"/>
      <c r="BM160" s="259"/>
      <c r="BN160" s="259"/>
      <c r="BP160" s="259"/>
      <c r="BQ160" s="259"/>
      <c r="BR160" s="259"/>
      <c r="BT160" s="259"/>
      <c r="BU160" s="259"/>
      <c r="BV160" s="259"/>
      <c r="BX160" s="259"/>
      <c r="BY160" s="259"/>
      <c r="BZ160" s="259"/>
    </row>
    <row r="161" spans="1:78" s="256" customFormat="1" outlineLevel="1">
      <c r="A161" s="247"/>
      <c r="B161" s="352"/>
    </row>
    <row r="162" spans="1:78" s="135" customFormat="1">
      <c r="A162" s="134"/>
      <c r="B162" s="134" t="s">
        <v>68</v>
      </c>
    </row>
    <row r="163" spans="1:78" s="232" customFormat="1">
      <c r="A163" s="151"/>
      <c r="B163" s="151" t="s">
        <v>509</v>
      </c>
      <c r="E163" s="232">
        <f>E127/((D150+E150)/100)</f>
        <v>-2780259415.0230503</v>
      </c>
      <c r="F163" s="232">
        <f>F127/((F150)/100)</f>
        <v>-3223462831.8318324</v>
      </c>
      <c r="H163" s="232">
        <f>H127/((E150+H150)/100)</f>
        <v>-3662478509.4441166</v>
      </c>
      <c r="I163" s="232">
        <f>I127/((H150+I150)/100)</f>
        <v>-3662478509.4441166</v>
      </c>
      <c r="J163" s="232">
        <f>J127/((J150)/100)</f>
        <v>-4154879516.1602473</v>
      </c>
      <c r="L163" s="232">
        <f>L127/((I150+L150)/100)</f>
        <v>16.701440839955421</v>
      </c>
      <c r="M163" s="232">
        <f>M127/((L150+M150)/100)</f>
        <v>17.182225420381162</v>
      </c>
      <c r="N163" s="232">
        <f>N127/((N150)/100)</f>
        <v>18.276865256124722</v>
      </c>
      <c r="P163" s="232">
        <f>P127/((M150+P150)/100)</f>
        <v>18.087649677626931</v>
      </c>
      <c r="Q163" s="232">
        <f>Q127/((P150+Q150)/100)</f>
        <v>15.191807098464244</v>
      </c>
      <c r="R163" s="232">
        <f>R127/((R150)/100)</f>
        <v>14.713771765721688</v>
      </c>
      <c r="T163" s="232">
        <f>T127/((Q150+T150)/100)</f>
        <v>19.02659821754893</v>
      </c>
      <c r="U163" s="232">
        <f>U127/((T150+U150)/100)</f>
        <v>22.550283938959058</v>
      </c>
      <c r="V163" s="232">
        <f>V127/((V150)/100)</f>
        <v>22.586601819893318</v>
      </c>
      <c r="X163" s="232">
        <f>X127/((U150+X150)/100)</f>
        <v>21.812382526726331</v>
      </c>
      <c r="Y163" s="232">
        <f>Y127/((X150+Y150)/100)</f>
        <v>22.953134432857485</v>
      </c>
      <c r="Z163" s="232">
        <f>Z127/((Z150)/100)</f>
        <v>23.059770797505038</v>
      </c>
      <c r="AB163" s="232">
        <f>AB127/((Y150+AB150)/100)</f>
        <v>24.241403736155927</v>
      </c>
      <c r="AC163" s="232">
        <f>AC127/((AB150+AC150)/100)</f>
        <v>16.742786598235803</v>
      </c>
      <c r="AD163" s="232">
        <f>AD127/((AD150)/100)</f>
        <v>16.741635684101158</v>
      </c>
      <c r="AF163" s="232">
        <f>AF127/((AC150+AF150)/100)</f>
        <v>33.142100617828781</v>
      </c>
      <c r="AG163" s="232">
        <f>AG127/((AF150+AG150)/100)</f>
        <v>44.988523335883706</v>
      </c>
      <c r="AH163" s="232">
        <f>AH127/((AH150)/100)</f>
        <v>44.988523335883706</v>
      </c>
      <c r="AJ163" s="232">
        <f>AJ127/((AG150+AJ150)/100)</f>
        <v>24.536045681655963</v>
      </c>
      <c r="AK163" s="232">
        <f>AK127/((AJ150+AK150)/100)</f>
        <v>25.220851571826504</v>
      </c>
      <c r="AL163" s="232">
        <f>AL127/((AL150)/100)</f>
        <v>25.220851571826504</v>
      </c>
      <c r="AN163" s="232">
        <f>AN127/((AK150+AN150)/100)</f>
        <v>31.426269137792101</v>
      </c>
      <c r="AO163" s="232">
        <f>AO127/((AN150+AO150)/100)</f>
        <v>22.971835545483973</v>
      </c>
      <c r="AP163" s="232">
        <f>AP127/((AP150)/100)</f>
        <v>22.971835545483973</v>
      </c>
      <c r="AR163" s="232">
        <f>AR128/((AO150+AR150)/100)</f>
        <v>19.352688538418541</v>
      </c>
      <c r="AS163" s="232">
        <f>AS128/((AR150+AS150)/100)</f>
        <v>23.121016502388436</v>
      </c>
      <c r="AT163" s="232">
        <f>AT128/((AT150)/100)</f>
        <v>23.126676713235852</v>
      </c>
      <c r="AV163" s="232">
        <f>AV128/((AS150+AV150)/100)</f>
        <v>22.25178805341729</v>
      </c>
      <c r="AW163" s="232">
        <f>AW128/((AV150+AW150)/100)</f>
        <v>20.942368786517573</v>
      </c>
      <c r="AX163" s="232">
        <f>AX128/((AX150)/100)</f>
        <v>20.947161761428362</v>
      </c>
      <c r="AZ163" s="232">
        <f>AZ128/((AW150+AZ150)/100)</f>
        <v>20.093820300736322</v>
      </c>
      <c r="BA163" s="232">
        <f>BA128/((AZ150+BA150)/100)</f>
        <v>19.056907754958633</v>
      </c>
      <c r="BB163" s="232">
        <f>BB128/((BB150)/100)</f>
        <v>19.060814112522792</v>
      </c>
      <c r="BD163" s="232">
        <f>BD128/((BA150+BD150)/100)</f>
        <v>18.639070179174823</v>
      </c>
      <c r="BE163" s="232">
        <f>BE128/((BD150+BE150)/100)</f>
        <v>18.058253576188068</v>
      </c>
      <c r="BF163" s="232">
        <f>BF128/((BF150)/100)</f>
        <v>18.06164902579749</v>
      </c>
      <c r="BH163" s="232">
        <f>BH128/((BE150+BH150)/100)</f>
        <v>17.666042335224329</v>
      </c>
      <c r="BI163" s="232">
        <f>BI128/((BH150+BI150)/100)</f>
        <v>17.120465840443444</v>
      </c>
      <c r="BJ163" s="232">
        <f>BJ128/((BJ150)/100)</f>
        <v>17.12341866464007</v>
      </c>
      <c r="BL163" s="232">
        <f>BL128/((BI150+BL150)/100)</f>
        <v>16.751901056026682</v>
      </c>
      <c r="BM163" s="232">
        <f>BM128/((BL150+BM150)/100)</f>
        <v>16.238865380870092</v>
      </c>
      <c r="BN163" s="232">
        <f>BN128/((BN150)/100)</f>
        <v>16.241434468144448</v>
      </c>
      <c r="BP163" s="232">
        <f>BP128/((BM150+BP150)/100)</f>
        <v>15.892160056902934</v>
      </c>
      <c r="BQ163" s="232">
        <f>BQ128/((BP150+BQ150)/100)</f>
        <v>15.409228843447877</v>
      </c>
      <c r="BR163" s="232">
        <f>BR128/((BR150)/100)</f>
        <v>15.411465029275789</v>
      </c>
      <c r="BT163" s="232">
        <f>BT128/((BQ150+BT150)/100)</f>
        <v>15.082766650965338</v>
      </c>
      <c r="BU163" s="232">
        <f>BU128/((BT150+BU150)/100)</f>
        <v>14.627735959853192</v>
      </c>
      <c r="BV163" s="232">
        <f>BV128/((BV150)/100)</f>
        <v>14.629683167531201</v>
      </c>
      <c r="BX163" s="232">
        <f>BX128/((BU150+BX150)/100)</f>
        <v>14.320051874794736</v>
      </c>
      <c r="BY163" s="232">
        <f>BY128/((BX150+BY150)/100)</f>
        <v>13.890923638715416</v>
      </c>
      <c r="BZ163" s="232">
        <f>BZ128/((BZ150)/100)</f>
        <v>13.892619851457935</v>
      </c>
    </row>
    <row r="164" spans="1:78" s="136" customFormat="1">
      <c r="A164" s="150"/>
      <c r="B164" s="150" t="s">
        <v>510</v>
      </c>
      <c r="E164" s="136">
        <f>E127/((D151+E151)/100)</f>
        <v>-3226702929.8276687</v>
      </c>
      <c r="F164" s="136">
        <f>F127/((F151)/100)</f>
        <v>-3221373443.5386295</v>
      </c>
      <c r="H164" s="136">
        <f>H127/((E151+H151)/100)</f>
        <v>-3226702929.8276687</v>
      </c>
      <c r="I164" s="136">
        <f>I127/((H151+I151)/100)</f>
        <v>-3226702929.8276687</v>
      </c>
      <c r="J164" s="136">
        <f>J127/((J151)/100)</f>
        <v>-3221373443.5386295</v>
      </c>
      <c r="L164" s="136">
        <f>L127/((I151+L151)/100)</f>
        <v>19.182475321065919</v>
      </c>
      <c r="M164" s="136">
        <f>M127/((L151+M151)/100)</f>
        <v>19.734681471250411</v>
      </c>
      <c r="N164" s="136">
        <f>N127/((N151)/100)</f>
        <v>19.702086058345387</v>
      </c>
      <c r="P164" s="136">
        <f>P127/((M151+P151)/100)</f>
        <v>18.297051687223554</v>
      </c>
      <c r="Q164" s="136">
        <f>Q127/((P151+Q151)/100)</f>
        <v>15.367683732107672</v>
      </c>
      <c r="R164" s="136">
        <f>R127/((R151)/100)</f>
        <v>15.342301209599183</v>
      </c>
      <c r="T164" s="136">
        <f>T127/((Q151+T151)/100)</f>
        <v>16.726068445525772</v>
      </c>
      <c r="U164" s="136">
        <f>U127/((T151+U151)/100)</f>
        <v>19.817916024282724</v>
      </c>
      <c r="V164" s="136">
        <f>V127/((V151)/100)</f>
        <v>19.908892309463425</v>
      </c>
      <c r="X164" s="136">
        <f>X127/((U151+X151)/100)</f>
        <v>18.853868870227693</v>
      </c>
      <c r="Y164" s="136">
        <f>Y127/((X151+Y151)/100)</f>
        <v>24.838838605713846</v>
      </c>
      <c r="Z164" s="136">
        <f>Z127/((Z151)/100)</f>
        <v>24.788365957208921</v>
      </c>
      <c r="AB164" s="136">
        <f>AB127/((Y151+AB151)/100)</f>
        <v>28.359853298398374</v>
      </c>
      <c r="AC164" s="136">
        <f>AC127/((AB151+AC151)/100)</f>
        <v>17.773603801438409</v>
      </c>
      <c r="AD164" s="136">
        <f>AD127/((AD151)/100)</f>
        <v>18.283506426187866</v>
      </c>
      <c r="AF164" s="136">
        <f>AF127/((AC151+AF151)/100)</f>
        <v>21.153628235859795</v>
      </c>
      <c r="AG164" s="136">
        <f>AG127/((AF151+AG151)/100)</f>
        <v>22.73781902552204</v>
      </c>
      <c r="AH164" s="136">
        <f>AH127/((AH151)/100)</f>
        <v>22.73781902552204</v>
      </c>
      <c r="AJ164" s="136">
        <f>AJ127/((AG151+AJ151)/100)</f>
        <v>18.471252015045675</v>
      </c>
      <c r="AK164" s="136">
        <f>AK127/((AJ151+AK151)/100)</f>
        <v>20.21303737721648</v>
      </c>
      <c r="AL164" s="136">
        <f>AL127/((AL151)/100)</f>
        <v>20.21303737721648</v>
      </c>
      <c r="AN164" s="136">
        <f>AN127/((AK151+AN151)/100)</f>
        <v>19.861226048761861</v>
      </c>
      <c r="AO164" s="136">
        <f>AO127/((AN151+AO151)/100)</f>
        <v>20.657933042212516</v>
      </c>
      <c r="AP164" s="136">
        <f>AP127/((AP151)/100)</f>
        <v>20.657933042212516</v>
      </c>
      <c r="AR164" s="136">
        <f>AR128/((AO151+AR151)/100)</f>
        <v>20.879928309115886</v>
      </c>
      <c r="AS164" s="136">
        <f>AS128/((AR151+AS151)/100)</f>
        <v>19.813083466677057</v>
      </c>
      <c r="AT164" s="136">
        <f>AT128/((AT151)/100)</f>
        <v>19.817243609356829</v>
      </c>
      <c r="AV164" s="136">
        <f>AV128/((AS151+AV151)/100)</f>
        <v>19.165288361334031</v>
      </c>
      <c r="AW164" s="136">
        <f>AW128/((AV151+AW151)/100)</f>
        <v>18.180710276418399</v>
      </c>
      <c r="AX164" s="136">
        <f>AX128/((AX151)/100)</f>
        <v>18.184325135624885</v>
      </c>
      <c r="AZ164" s="136">
        <f>AZ128/((AW151+AZ151)/100)</f>
        <v>17.533089082475598</v>
      </c>
      <c r="BA164" s="136">
        <f>BA128/((AZ151+BA151)/100)</f>
        <v>16.734296997621733</v>
      </c>
      <c r="BB164" s="136">
        <f>BB128/((BB151)/100)</f>
        <v>16.737311091154034</v>
      </c>
      <c r="BD164" s="136">
        <f>BD128/((BA151+BD151)/100)</f>
        <v>16.407449008336201</v>
      </c>
      <c r="BE164" s="136">
        <f>BE128/((BD151+BE151)/100)</f>
        <v>15.952254864282731</v>
      </c>
      <c r="BF164" s="136">
        <f>BF128/((BF151)/100)</f>
        <v>15.954905999687295</v>
      </c>
      <c r="BH164" s="136">
        <f>BH128/((BE151+BH151)/100)</f>
        <v>15.642226542374676</v>
      </c>
      <c r="BI164" s="136">
        <f>BI128/((BH151+BI151)/100)</f>
        <v>15.210076147036617</v>
      </c>
      <c r="BJ164" s="136">
        <f>BJ128/((BJ151)/100)</f>
        <v>15.212407898609657</v>
      </c>
      <c r="BL164" s="136">
        <f>BL128/((BI151+BL151)/100)</f>
        <v>14.915795784562105</v>
      </c>
      <c r="BM164" s="136">
        <f>BM128/((BL151+BM151)/100)</f>
        <v>14.505255050687714</v>
      </c>
      <c r="BN164" s="136">
        <f>BN128/((BN151)/100)</f>
        <v>14.507305767958327</v>
      </c>
      <c r="BP164" s="136">
        <f>BP128/((BM151+BP151)/100)</f>
        <v>14.225741417436964</v>
      </c>
      <c r="BQ164" s="136">
        <f>BQ128/((BP151+BQ151)/100)</f>
        <v>13.835495147336974</v>
      </c>
      <c r="BR164" s="136">
        <f>BR128/((BR151)/100)</f>
        <v>13.837298582503109</v>
      </c>
      <c r="BT164" s="136">
        <f>BT128/((BQ151+BT151)/100)</f>
        <v>13.569848104207546</v>
      </c>
      <c r="BU164" s="136">
        <f>BU128/((BT151+BU151)/100)</f>
        <v>13.198687752452321</v>
      </c>
      <c r="BV164" s="136">
        <f>BV128/((BV151)/100)</f>
        <v>13.200273612061951</v>
      </c>
      <c r="BX164" s="136">
        <f>BX128/((BU151+BX151)/100)</f>
        <v>12.946079934248541</v>
      </c>
      <c r="BY164" s="136">
        <f>BY128/((BX151+BY151)/100)</f>
        <v>12.59289275990845</v>
      </c>
      <c r="BZ164" s="136">
        <f>BZ128/((BZ151)/100)</f>
        <v>12.594287190025577</v>
      </c>
    </row>
    <row r="165" spans="1:78" s="136" customFormat="1">
      <c r="A165" s="150"/>
      <c r="B165" s="163" t="s">
        <v>511</v>
      </c>
      <c r="E165" s="136">
        <f>E127/((D152+E152)/100)</f>
        <v>-2791123222.8330426</v>
      </c>
      <c r="F165" s="136">
        <f>F127/((F152)/100)</f>
        <v>-3228310144.3609023</v>
      </c>
      <c r="H165" s="136">
        <f>H127/((E152+H152)/100)</f>
        <v>-3675052155.3616753</v>
      </c>
      <c r="I165" s="136">
        <f>I127/((H152+I152)/100)</f>
        <v>-3675052155.3616753</v>
      </c>
      <c r="J165" s="136">
        <f>J127/((J152)/100)</f>
        <v>-4168594652.4271846</v>
      </c>
      <c r="L165" s="136">
        <f>L127/((I152+L152)/100)</f>
        <v>16.767387288796566</v>
      </c>
      <c r="M165" s="136">
        <f>M127/((L152+M152)/100)</f>
        <v>17.250070270446518</v>
      </c>
      <c r="N165" s="136">
        <f>N127/((N152)/100)</f>
        <v>18.34581528573425</v>
      </c>
      <c r="P165" s="136">
        <f>P127/((M152+P152)/100)</f>
        <v>18.126550755462528</v>
      </c>
      <c r="Q165" s="136">
        <f>Q127/((P152+Q152)/100)</f>
        <v>15.224480092520055</v>
      </c>
      <c r="R165" s="136">
        <f>R127/((R152)/100)</f>
        <v>14.730730442299382</v>
      </c>
      <c r="T165" s="136">
        <f>T127/((Q152+T152)/100)</f>
        <v>19.088626691283888</v>
      </c>
      <c r="U165" s="136">
        <f>U127/((T152+U152)/100)</f>
        <v>22.629647269573955</v>
      </c>
      <c r="V165" s="136">
        <f>V127/((V152)/100)</f>
        <v>22.639880484352886</v>
      </c>
      <c r="X165" s="136">
        <f>X127/((U152+X152)/100)</f>
        <v>21.879774060751039</v>
      </c>
      <c r="Y165" s="136">
        <f>Y127/((X152+Y152)/100)</f>
        <v>23.070548620762619</v>
      </c>
      <c r="Z165" s="136">
        <f>Z127/((Z152)/100)</f>
        <v>23.614150333835884</v>
      </c>
      <c r="AB165" s="136">
        <f>AB127/((Y152+AB152)/100)</f>
        <v>24.378183724364956</v>
      </c>
      <c r="AC165" s="136">
        <f>AC127/((AB152+AC152)/100)</f>
        <v>16.799695933105284</v>
      </c>
      <c r="AD165" s="136">
        <f>AD127/((AD152)/100)</f>
        <v>16.799695933105284</v>
      </c>
      <c r="AF165" s="136">
        <f>AF127/((AC152+AF152)/100)</f>
        <v>33.220289000294905</v>
      </c>
      <c r="AG165" s="136">
        <f>AG127/((AF152+AG152)/100)</f>
        <v>45.175169022741244</v>
      </c>
      <c r="AH165" s="136">
        <f>AH127/((AH152)/100)</f>
        <v>45.175169022741244</v>
      </c>
      <c r="AJ165" s="136">
        <f>AJ127/((AG152+AJ152)/100)</f>
        <v>24.716879381628623</v>
      </c>
      <c r="AK165" s="136">
        <f>AK127/((AJ152+AK152)/100)</f>
        <v>25.394663033896947</v>
      </c>
      <c r="AL165" s="136">
        <f>AL127/((AL152)/100)</f>
        <v>25.394663033896947</v>
      </c>
      <c r="AN165" s="136">
        <f>AN127/((AK152+AN152)/100)</f>
        <v>31.56936152989983</v>
      </c>
      <c r="AO165" s="136">
        <f>AO127/((AN152+AO152)/100)</f>
        <v>23.15322370138345</v>
      </c>
      <c r="AP165" s="136">
        <f>AP127/((AP152)/100)</f>
        <v>23.15322370138345</v>
      </c>
      <c r="AR165" s="136">
        <f>AR128/((AO152+AR152)/100)</f>
        <v>19.478609801652752</v>
      </c>
      <c r="AS165" s="136">
        <f>AS128/((AR152+AS152)/100)</f>
        <v>23.193284878879332</v>
      </c>
      <c r="AT165" s="136">
        <f>AT128/((AT152)/100)</f>
        <v>23.198962781606713</v>
      </c>
      <c r="AV165" s="136">
        <f>AV128/((AS152+AV152)/100)</f>
        <v>22.321339519568177</v>
      </c>
      <c r="AW165" s="136">
        <f>AW128/((AV152+AW152)/100)</f>
        <v>21.007827456637852</v>
      </c>
      <c r="AX165" s="136">
        <f>AX128/((AX152)/100)</f>
        <v>21.012635412746167</v>
      </c>
      <c r="AZ165" s="136">
        <f>AZ128/((AW152+AZ152)/100)</f>
        <v>20.156626698996714</v>
      </c>
      <c r="BA165" s="136">
        <f>BA128/((AZ152+BA152)/100)</f>
        <v>19.116473119839775</v>
      </c>
      <c r="BB165" s="136">
        <f>BB128/((BB152)/100)</f>
        <v>19.120391687339389</v>
      </c>
      <c r="BD165" s="136">
        <f>BD128/((BA152+BD152)/100)</f>
        <v>18.697329526942244</v>
      </c>
      <c r="BE165" s="136">
        <f>BE128/((BD152+BE152)/100)</f>
        <v>18.114697490238186</v>
      </c>
      <c r="BF165" s="136">
        <f>BF128/((BF152)/100)</f>
        <v>18.118103552859822</v>
      </c>
      <c r="BH165" s="136">
        <f>BH128/((BE152+BH152)/100)</f>
        <v>17.72126033130397</v>
      </c>
      <c r="BI165" s="136">
        <f>BI128/((BH152+BI152)/100)</f>
        <v>17.173978551311023</v>
      </c>
      <c r="BJ165" s="136">
        <f>BJ128/((BJ152)/100)</f>
        <v>17.17694060502447</v>
      </c>
      <c r="BL165" s="136">
        <f>BL128/((BI152+BL152)/100)</f>
        <v>16.80426175964584</v>
      </c>
      <c r="BM165" s="136">
        <f>BM128/((BL152+BM152)/100)</f>
        <v>16.289622510731078</v>
      </c>
      <c r="BN165" s="136">
        <f>BN128/((BN152)/100)</f>
        <v>16.292199628092099</v>
      </c>
      <c r="BP165" s="136">
        <f>BP128/((BM152+BP152)/100)</f>
        <v>15.941833504699973</v>
      </c>
      <c r="BQ165" s="136">
        <f>BQ128/((BP152+BQ152)/100)</f>
        <v>15.457392813720453</v>
      </c>
      <c r="BR165" s="136">
        <f>BR128/((BR152)/100)</f>
        <v>15.459635989099159</v>
      </c>
      <c r="BT165" s="136">
        <f>BT128/((BQ152+BT152)/100)</f>
        <v>15.129910212267831</v>
      </c>
      <c r="BU165" s="136">
        <f>BU128/((BT152+BU152)/100)</f>
        <v>14.673457251105543</v>
      </c>
      <c r="BV165" s="136">
        <f>BV128/((BV152)/100)</f>
        <v>14.675410545087656</v>
      </c>
      <c r="BX165" s="136">
        <f>BX128/((BU152+BX152)/100)</f>
        <v>14.364811451007574</v>
      </c>
      <c r="BY165" s="136">
        <f>BY128/((BX152+BY152)/100)</f>
        <v>13.934341907078542</v>
      </c>
      <c r="BZ165" s="136">
        <f>BZ128/((BZ152)/100)</f>
        <v>13.936043421600985</v>
      </c>
    </row>
    <row r="166" spans="1:78" s="232" customFormat="1">
      <c r="A166" s="151"/>
      <c r="B166" s="151" t="s">
        <v>512</v>
      </c>
      <c r="E166" s="232">
        <f>E127/((D153+E153)/100)</f>
        <v>-3233000767.3223681</v>
      </c>
      <c r="F166" s="232">
        <f>F127/((F153)/100)</f>
        <v>-3225122832.8295989</v>
      </c>
      <c r="H166" s="232">
        <f>H127/((E153+H153)/100)</f>
        <v>-3233000767.3223681</v>
      </c>
      <c r="I166" s="232">
        <f>I127/((H153+I153)/100)</f>
        <v>-3233000767.3223681</v>
      </c>
      <c r="J166" s="232">
        <f>J127/((J153)/100)</f>
        <v>-3225122832.8295989</v>
      </c>
      <c r="L166" s="232">
        <f>L127/((I153+L153)/100)</f>
        <v>19.219915430969252</v>
      </c>
      <c r="M166" s="232">
        <f>M127/((L153+M153)/100)</f>
        <v>19.773199370052527</v>
      </c>
      <c r="N166" s="232">
        <f>N127/((N153)/100)</f>
        <v>19.725017516548437</v>
      </c>
      <c r="P166" s="232">
        <f>P127/((M153+P153)/100)</f>
        <v>18.332763638606821</v>
      </c>
      <c r="Q166" s="232">
        <f>Q127/((P153+Q153)/100)</f>
        <v>15.39767818059566</v>
      </c>
      <c r="R166" s="232">
        <f>R127/((R153)/100)</f>
        <v>15.360158269906638</v>
      </c>
      <c r="T166" s="232">
        <f>T127/((Q153+T153)/100)</f>
        <v>16.744083154200815</v>
      </c>
      <c r="U166" s="232">
        <f>U127/((T153+U153)/100)</f>
        <v>19.877486697954915</v>
      </c>
      <c r="V166" s="232">
        <f>V127/((V153)/100)</f>
        <v>19.968736448750747</v>
      </c>
      <c r="X166" s="232">
        <f>X127/((U153+X153)/100)</f>
        <v>18.897820624301328</v>
      </c>
      <c r="Y166" s="232">
        <f>Y127/((X153+Y153)/100)</f>
        <v>24.938424733014813</v>
      </c>
      <c r="Z166" s="232">
        <f>Z127/((Z153)/100)</f>
        <v>24.938424733014813</v>
      </c>
      <c r="AB166" s="232">
        <f>AB127/((Y153+AB153)/100)</f>
        <v>28.451866437409564</v>
      </c>
      <c r="AC166" s="232">
        <f>AC127/((AB153+AC153)/100)</f>
        <v>18.283753440514467</v>
      </c>
      <c r="AD166" s="232">
        <f>AD127/((AD153)/100)</f>
        <v>18.348093706936144</v>
      </c>
      <c r="AF166" s="232">
        <f>AF127/((AC153+AF153)/100)</f>
        <v>21.719407854823871</v>
      </c>
      <c r="AG166" s="232">
        <f>AG127/((AF153+AG153)/100)</f>
        <v>22.832610160564482</v>
      </c>
      <c r="AH166" s="232">
        <f>AH127/((AH153)/100)</f>
        <v>22.832610160564482</v>
      </c>
      <c r="AJ166" s="232">
        <f>AJ127/((AG153+AJ153)/100)</f>
        <v>19.021139328836334</v>
      </c>
      <c r="AK166" s="232">
        <f>AK127/((AJ153+AK153)/100)</f>
        <v>20.353281857571378</v>
      </c>
      <c r="AL166" s="232">
        <f>AL127/((AL153)/100)</f>
        <v>20.353281857571378</v>
      </c>
      <c r="AN166" s="232">
        <f>AN127/((AK153+AN153)/100)</f>
        <v>19.613905401091653</v>
      </c>
      <c r="AO166" s="232">
        <f>AO127/((AN153+AO153)/100)</f>
        <v>20.814784523435065</v>
      </c>
      <c r="AP166" s="232">
        <f>AP127/((AP153)/100)</f>
        <v>20.814784523435065</v>
      </c>
      <c r="AR166" s="232">
        <f>AR128/((AO153+AR153)/100)</f>
        <v>20.975878962925563</v>
      </c>
      <c r="AS166" s="232">
        <f>AS128/((AR153+AS153)/100)</f>
        <v>19.875012377772617</v>
      </c>
      <c r="AT166" s="232">
        <f>AT128/((AT153)/100)</f>
        <v>19.879185523633176</v>
      </c>
      <c r="AV166" s="232">
        <f>AV128/((AS153+AV153)/100)</f>
        <v>19.22519248686028</v>
      </c>
      <c r="AW166" s="232">
        <f>AW128/((AV153+AW153)/100)</f>
        <v>18.237536948160646</v>
      </c>
      <c r="AX166" s="232">
        <f>AX128/((AX153)/100)</f>
        <v>18.241163106178579</v>
      </c>
      <c r="AZ166" s="232">
        <f>AZ128/((AW153+AZ153)/100)</f>
        <v>17.587891512235988</v>
      </c>
      <c r="BA166" s="232">
        <f>BA128/((AZ153+BA153)/100)</f>
        <v>16.786602676985343</v>
      </c>
      <c r="BB166" s="232">
        <f>BB128/((BB153)/100)</f>
        <v>16.789626191541416</v>
      </c>
      <c r="BD166" s="232">
        <f>BD128/((BA153+BD153)/100)</f>
        <v>16.45873307286109</v>
      </c>
      <c r="BE166" s="232">
        <f>BE128/((BD153+BE153)/100)</f>
        <v>16.002116147859589</v>
      </c>
      <c r="BF166" s="232">
        <f>BF128/((BF153)/100)</f>
        <v>16.004775569805165</v>
      </c>
      <c r="BH166" s="232">
        <f>BH128/((BE153+BH153)/100)</f>
        <v>15.691118783630742</v>
      </c>
      <c r="BI166" s="232">
        <f>BI128/((BH153+BI153)/100)</f>
        <v>15.257617634208502</v>
      </c>
      <c r="BJ166" s="232">
        <f>BJ128/((BJ153)/100)</f>
        <v>15.259956674038117</v>
      </c>
      <c r="BL166" s="232">
        <f>BL128/((BI153+BL153)/100)</f>
        <v>14.962417452139251</v>
      </c>
      <c r="BM166" s="232">
        <f>BM128/((BL153+BM153)/100)</f>
        <v>14.5505935085791</v>
      </c>
      <c r="BN166" s="232">
        <f>BN128/((BN153)/100)</f>
        <v>14.552650635689341</v>
      </c>
      <c r="BP166" s="232">
        <f>BP128/((BM153+BP153)/100)</f>
        <v>14.270206211470194</v>
      </c>
      <c r="BQ166" s="232">
        <f>BQ128/((BP153+BQ153)/100)</f>
        <v>13.878740165225459</v>
      </c>
      <c r="BR166" s="232">
        <f>BR128/((BR153)/100)</f>
        <v>13.880549237312081</v>
      </c>
      <c r="BT166" s="232">
        <f>BT128/((BQ153+BT153)/100)</f>
        <v>13.612262800447997</v>
      </c>
      <c r="BU166" s="232">
        <f>BU128/((BT153+BU153)/100)</f>
        <v>13.239942328590072</v>
      </c>
      <c r="BV166" s="232">
        <f>BV128/((BV153)/100)</f>
        <v>13.241533145053539</v>
      </c>
      <c r="BX166" s="232">
        <f>BX128/((BU153+BX153)/100)</f>
        <v>12.986544944888228</v>
      </c>
      <c r="BY166" s="232">
        <f>BY128/((BX153+BY153)/100)</f>
        <v>12.632253828440561</v>
      </c>
      <c r="BZ166" s="232">
        <f>BZ128/((BZ153)/100)</f>
        <v>12.633652617068512</v>
      </c>
    </row>
    <row r="167" spans="1:78" s="136" customFormat="1">
      <c r="A167" s="150"/>
      <c r="B167" s="150" t="s">
        <v>513</v>
      </c>
      <c r="E167" s="136">
        <f>E127/((D154+E154)/100)</f>
        <v>-3217863499.3639235</v>
      </c>
      <c r="F167" s="136">
        <f>F127/((F154)/100)</f>
        <v>-3325528567.9766169</v>
      </c>
      <c r="H167" s="136">
        <f>H127/((E154+H154)/100)</f>
        <v>-3266248683.3625474</v>
      </c>
      <c r="I167" s="136">
        <f>I127/((H154+I154)/100)</f>
        <v>-3393586784.0718741</v>
      </c>
      <c r="J167" s="136">
        <f>J127/((J154)/100)</f>
        <v>-3348026645.5476255</v>
      </c>
      <c r="L167" s="136">
        <f>L127/((I154+L154)/100)</f>
        <v>19.81353766110426</v>
      </c>
      <c r="M167" s="136">
        <f>M127/((L154+M154)/100)</f>
        <v>19.280691320563772</v>
      </c>
      <c r="N167" s="136">
        <f>N127/((N154)/100)</f>
        <v>18.537292347006225</v>
      </c>
      <c r="P167" s="136">
        <f>P127/((M154+P154)/100)</f>
        <v>17.278120265613268</v>
      </c>
      <c r="Q167" s="136">
        <f>Q127/((P154+Q154)/100)</f>
        <v>14.776568862356202</v>
      </c>
      <c r="R167" s="136">
        <f>R127/((R154)/100)</f>
        <v>14.209693629074092</v>
      </c>
      <c r="T167" s="136">
        <f>T127/((Q154+T154)/100)</f>
        <v>15.973194472628903</v>
      </c>
      <c r="U167" s="136">
        <f>U127/((T154+U154)/100)</f>
        <v>20.821545458048046</v>
      </c>
      <c r="V167" s="136">
        <f>V127/((V154)/100)</f>
        <v>20.870201926434536</v>
      </c>
      <c r="X167" s="136">
        <f>X127/((U154+X154)/100)</f>
        <v>20.189832755846375</v>
      </c>
      <c r="Y167" s="136">
        <f>Y127/((X154+Y154)/100)</f>
        <v>24.910577194153628</v>
      </c>
      <c r="Z167" s="136">
        <f>Z127/((Z154)/100)</f>
        <v>24.985167081714415</v>
      </c>
      <c r="AB167" s="136">
        <f>AB127/((Y154+AB154)/100)</f>
        <v>28.482499874973158</v>
      </c>
      <c r="AC167" s="136">
        <f>AC127/((AB154+AC154)/100)</f>
        <v>18.353766838421226</v>
      </c>
      <c r="AD167" s="136">
        <f>AD127/((AD154)/100)</f>
        <v>18.34288955820583</v>
      </c>
      <c r="AF167" s="136">
        <f>AF127/((AC154+AF154)/100)</f>
        <v>21.759177865368279</v>
      </c>
      <c r="AG167" s="136">
        <f>AG127/((AF154+AG154)/100)</f>
        <v>23.013839242930199</v>
      </c>
      <c r="AH167" s="136">
        <f>AH127/((AH154)/100)</f>
        <v>22.832610160564482</v>
      </c>
      <c r="AJ167" s="136">
        <f>AJ127/((AG154+AJ154)/100)</f>
        <v>19.164170639432456</v>
      </c>
      <c r="AK167" s="136">
        <f>AK127/((AJ154+AK154)/100)</f>
        <v>20.354842161259409</v>
      </c>
      <c r="AL167" s="136">
        <f>AL127/((AL154)/100)</f>
        <v>20.353281857571378</v>
      </c>
      <c r="AN167" s="136">
        <f>AN127/((AK154+AN154)/100)</f>
        <v>19.615377155460184</v>
      </c>
      <c r="AO167" s="136">
        <f>AO127/((AN154+AO154)/100)</f>
        <v>20.796177648965717</v>
      </c>
      <c r="AP167" s="136">
        <f>AP127/((AP154)/100)</f>
        <v>20.814784523435065</v>
      </c>
      <c r="AR167" s="136">
        <f>AR128/((AO154+AR154)/100)</f>
        <v>20.958281402680363</v>
      </c>
      <c r="AS167" s="136">
        <f>AS128/((AR154+AS154)/100)</f>
        <v>19.875012377772617</v>
      </c>
      <c r="AT167" s="136">
        <f>AT128/((AT154)/100)</f>
        <v>19.879185523633176</v>
      </c>
      <c r="AV167" s="136">
        <f>AV128/((AS154+AV154)/100)</f>
        <v>19.22519248686028</v>
      </c>
      <c r="AW167" s="136">
        <f>AW128/((AV154+AW154)/100)</f>
        <v>18.237536948160646</v>
      </c>
      <c r="AX167" s="136">
        <f>AX128/((AX154)/100)</f>
        <v>18.241163106178579</v>
      </c>
      <c r="AZ167" s="136">
        <f>AZ128/((AW154+AZ154)/100)</f>
        <v>17.587891512235988</v>
      </c>
      <c r="BA167" s="136">
        <f>BA128/((AZ154+BA154)/100)</f>
        <v>16.786602676985343</v>
      </c>
      <c r="BB167" s="136">
        <f>BB128/((BB154)/100)</f>
        <v>16.789626191541416</v>
      </c>
      <c r="BD167" s="136">
        <f>BD128/((BA154+BD154)/100)</f>
        <v>16.45873307286109</v>
      </c>
      <c r="BE167" s="136">
        <f>BE128/((BD154+BE154)/100)</f>
        <v>16.002116147859589</v>
      </c>
      <c r="BF167" s="136">
        <f>BF128/((BF154)/100)</f>
        <v>16.004775569805165</v>
      </c>
      <c r="BH167" s="136">
        <f>BH128/((BE154+BH154)/100)</f>
        <v>15.691118783630742</v>
      </c>
      <c r="BI167" s="136">
        <f>BI128/((BH154+BI154)/100)</f>
        <v>15.257617634208502</v>
      </c>
      <c r="BJ167" s="136">
        <f>BJ128/((BJ154)/100)</f>
        <v>15.259956674038117</v>
      </c>
      <c r="BL167" s="136">
        <f>BL128/((BI154+BL154)/100)</f>
        <v>14.962417452139251</v>
      </c>
      <c r="BM167" s="136">
        <f>BM128/((BL154+BM154)/100)</f>
        <v>14.5505935085791</v>
      </c>
      <c r="BN167" s="136">
        <f>BN128/((BN154)/100)</f>
        <v>14.552650635689341</v>
      </c>
      <c r="BP167" s="136">
        <f>BP128/((BM154+BP154)/100)</f>
        <v>14.270206211470194</v>
      </c>
      <c r="BQ167" s="136">
        <f>BQ128/((BP154+BQ154)/100)</f>
        <v>13.878740165225459</v>
      </c>
      <c r="BR167" s="136">
        <f>BR128/((BR154)/100)</f>
        <v>13.880549237312081</v>
      </c>
      <c r="BT167" s="136">
        <f>BT128/((BQ154+BT154)/100)</f>
        <v>13.612262800447997</v>
      </c>
      <c r="BU167" s="136">
        <f>BU128/((BT154+BU154)/100)</f>
        <v>13.239942328590072</v>
      </c>
      <c r="BV167" s="136">
        <f>BV128/((BV154)/100)</f>
        <v>13.241533145053539</v>
      </c>
      <c r="BX167" s="136">
        <f>BX128/((BU154+BX154)/100)</f>
        <v>12.986544944888228</v>
      </c>
      <c r="BY167" s="136">
        <f>BY128/((BX154+BY154)/100)</f>
        <v>12.632253828440561</v>
      </c>
      <c r="BZ167" s="136">
        <f>BZ128/((BZ154)/100)</f>
        <v>12.633652617068512</v>
      </c>
    </row>
    <row r="168" spans="1:78" s="136" customFormat="1">
      <c r="A168" s="150"/>
      <c r="B168" s="254" t="s">
        <v>283</v>
      </c>
      <c r="E168" s="136">
        <f>E127/((D148+E148)/100)</f>
        <v>-3217863499.3639235</v>
      </c>
      <c r="F168" s="136">
        <f>F127/((F148)/100)</f>
        <v>-3325528567.9766169</v>
      </c>
      <c r="H168" s="136">
        <f>H127/((E148+H148)/100)</f>
        <v>-3266248683.3625474</v>
      </c>
      <c r="I168" s="136">
        <f>I127/((H148+I148)/100)</f>
        <v>-3393586784.0718741</v>
      </c>
      <c r="J168" s="136">
        <f>J127/((J148)/100)</f>
        <v>-3348026645.5476255</v>
      </c>
      <c r="L168" s="136">
        <f>L127/((I148+L148)/100)</f>
        <v>19.81353766110426</v>
      </c>
      <c r="M168" s="136">
        <f>M127/((L148+M148)/100)</f>
        <v>19.280691320563772</v>
      </c>
      <c r="N168" s="136">
        <f>N127/((N148)/100)</f>
        <v>18.537292347006225</v>
      </c>
      <c r="P168" s="136">
        <f>P127/((M148+P148)/100)</f>
        <v>17.278120265613268</v>
      </c>
      <c r="Q168" s="136">
        <f>Q127/((P148+Q148)/100)</f>
        <v>14.776568862356202</v>
      </c>
      <c r="R168" s="136">
        <f>R127/((R148)/100)</f>
        <v>14.209693629074092</v>
      </c>
      <c r="T168" s="136">
        <f>T127/((Q148+T148)/100)</f>
        <v>15.973194472628903</v>
      </c>
      <c r="U168" s="136">
        <f>U127/((T148+U148)/100)</f>
        <v>20.821545458048046</v>
      </c>
      <c r="V168" s="136">
        <f>V127/((V148)/100)</f>
        <v>20.870201926434536</v>
      </c>
      <c r="X168" s="136">
        <f>X127/((U148+X148)/100)</f>
        <v>20.189832755846375</v>
      </c>
      <c r="Y168" s="136">
        <f>Y127/((X148+Y148)/100)</f>
        <v>24.910577194153628</v>
      </c>
      <c r="Z168" s="136">
        <f>Z127/((Z148)/100)</f>
        <v>24.985167081714415</v>
      </c>
      <c r="AB168" s="136">
        <f>AB127/((Y148+AB148)/100)</f>
        <v>28.482499874973158</v>
      </c>
      <c r="AC168" s="136">
        <f>AC127/((AB148+AC148)/100)</f>
        <v>18.353766838421226</v>
      </c>
      <c r="AD168" s="136">
        <f>AD127/((AD148)/100)</f>
        <v>18.34288955820583</v>
      </c>
      <c r="AF168" s="136">
        <f>AF127/((AC148+AF148)/100)</f>
        <v>21.759177865368279</v>
      </c>
      <c r="AG168" s="136">
        <f>AG127/((AF148+AG148)/100)</f>
        <v>23.013839242930199</v>
      </c>
      <c r="AH168" s="136">
        <f>AH127/((AH148)/100)</f>
        <v>22.832610160564482</v>
      </c>
      <c r="AJ168" s="136">
        <f>AJ127/((AG148+AJ148)/100)</f>
        <v>19.164170639432456</v>
      </c>
      <c r="AK168" s="136">
        <f>AK127/((AJ148+AK148)/100)</f>
        <v>20.354842161259409</v>
      </c>
      <c r="AL168" s="136">
        <f>AL127/((AL148)/100)</f>
        <v>20.353281857571378</v>
      </c>
      <c r="AN168" s="136">
        <f>AN127/((AK148+AN148)/100)</f>
        <v>19.615377155460184</v>
      </c>
      <c r="AO168" s="136">
        <f>AO127/((AN148+AO148)/100)</f>
        <v>20.796177648965717</v>
      </c>
      <c r="AP168" s="136">
        <f>AP127/((AP148)/100)</f>
        <v>20.814784523435065</v>
      </c>
      <c r="AR168" s="136">
        <f>AR128/((AO148+AR148)/100)</f>
        <v>20.958281402680363</v>
      </c>
      <c r="AS168" s="136">
        <f>AS128/((AR148+AS148)/100)</f>
        <v>19.875012377772617</v>
      </c>
      <c r="AT168" s="136">
        <f>AT128/((AT148)/100)</f>
        <v>19.879185523633176</v>
      </c>
      <c r="AV168" s="136">
        <f>AV128/((AS148+AV148)/100)</f>
        <v>19.22519248686028</v>
      </c>
      <c r="AW168" s="136">
        <f>AW128/((AV148+AW148)/100)</f>
        <v>18.237536948160646</v>
      </c>
      <c r="AX168" s="136">
        <f>AX128/((AX148)/100)</f>
        <v>18.241163106178579</v>
      </c>
      <c r="AZ168" s="136">
        <f>AZ128/((AW148+AZ148)/100)</f>
        <v>17.587891512235988</v>
      </c>
      <c r="BA168" s="136">
        <f>BA128/((AZ148+BA148)/100)</f>
        <v>16.786602676985343</v>
      </c>
      <c r="BB168" s="136">
        <f>BB128/((BB148)/100)</f>
        <v>16.789626191541416</v>
      </c>
      <c r="BD168" s="136">
        <f>BD128/((BA148+BD148)/100)</f>
        <v>16.45873307286109</v>
      </c>
      <c r="BE168" s="136">
        <f>BE128/((BD148+BE148)/100)</f>
        <v>16.002116147859589</v>
      </c>
      <c r="BF168" s="136">
        <f>BF128/((BF148)/100)</f>
        <v>16.004775569805165</v>
      </c>
      <c r="BH168" s="136">
        <f>BH128/((BE148+BH148)/100)</f>
        <v>15.691118783630742</v>
      </c>
      <c r="BI168" s="136">
        <f>BI128/((BH148+BI148)/100)</f>
        <v>15.257617634208502</v>
      </c>
      <c r="BJ168" s="136">
        <f>BJ128/((BJ148)/100)</f>
        <v>15.259956674038117</v>
      </c>
      <c r="BL168" s="136">
        <f>BL128/((BI148+BL148)/100)</f>
        <v>14.962417452139251</v>
      </c>
      <c r="BM168" s="136">
        <f>BM128/((BL148+BM148)/100)</f>
        <v>14.5505935085791</v>
      </c>
      <c r="BN168" s="136">
        <f>BN128/((BN148)/100)</f>
        <v>14.552650635689341</v>
      </c>
      <c r="BP168" s="136">
        <f>BP128/((BM148+BP148)/100)</f>
        <v>14.270206211470194</v>
      </c>
      <c r="BQ168" s="136">
        <f>BQ128/((BP148+BQ148)/100)</f>
        <v>13.878740165225459</v>
      </c>
      <c r="BR168" s="136">
        <f>BR128/((BR148)/100)</f>
        <v>13.880549237312081</v>
      </c>
      <c r="BT168" s="136">
        <f>BT128/((BQ148+BT148)/100)</f>
        <v>13.612262800447997</v>
      </c>
      <c r="BU168" s="136">
        <f>BU128/((BT148+BU148)/100)</f>
        <v>13.239942328590072</v>
      </c>
      <c r="BV168" s="136">
        <f>BV128/((BV148)/100)</f>
        <v>13.241533145053539</v>
      </c>
      <c r="BX168" s="136">
        <f>BX128/((BU148+BX148)/100)</f>
        <v>12.986544944888228</v>
      </c>
      <c r="BY168" s="136">
        <f>BY128/((BX148+BY148)/100)</f>
        <v>12.632253828440561</v>
      </c>
      <c r="BZ168" s="136">
        <f>BZ128/((BZ148)/100)</f>
        <v>12.633652617068512</v>
      </c>
    </row>
    <row r="170" spans="1:78" s="299" customFormat="1">
      <c r="A170" s="266"/>
      <c r="B170" s="266" t="s">
        <v>522</v>
      </c>
      <c r="D170" s="304"/>
      <c r="E170" s="304"/>
      <c r="F170" s="304"/>
      <c r="H170" s="304">
        <f>H153/D153-1</f>
        <v>0</v>
      </c>
      <c r="I170" s="304">
        <f>I153/E153-1</f>
        <v>0</v>
      </c>
      <c r="J170" s="304">
        <f>J153/F153-1</f>
        <v>0</v>
      </c>
      <c r="L170" s="304">
        <f>L153/H153-1</f>
        <v>0</v>
      </c>
      <c r="M170" s="304">
        <f>M153/I153-1</f>
        <v>0</v>
      </c>
      <c r="N170" s="304">
        <f>N153/J153-1</f>
        <v>0</v>
      </c>
      <c r="P170" s="304">
        <f>P153/L153-1</f>
        <v>0</v>
      </c>
      <c r="Q170" s="304">
        <f>Q153/M153-1</f>
        <v>0</v>
      </c>
      <c r="R170" s="304">
        <f>R153/N153-1</f>
        <v>0</v>
      </c>
      <c r="T170" s="304">
        <f>T153/P153-1</f>
        <v>0.14785881262118217</v>
      </c>
      <c r="U170" s="304">
        <f>U153/Q153-1</f>
        <v>5.5757990829562232E-2</v>
      </c>
      <c r="V170" s="304">
        <f>V153/R153-1</f>
        <v>8.308298590617591E-2</v>
      </c>
      <c r="X170" s="304">
        <f>X153/T153-1</f>
        <v>0.3967291729624669</v>
      </c>
      <c r="Y170" s="304">
        <f>Y153/U153-1</f>
        <v>9.253374174760709E-2</v>
      </c>
      <c r="Z170" s="304">
        <f>Z153/V153-1</f>
        <v>0.21960617918186487</v>
      </c>
      <c r="AB170" s="304">
        <f>AB153/X153-1</f>
        <v>1.8360082745173534E-2</v>
      </c>
      <c r="AC170" s="304">
        <f>AC153/Y153-1</f>
        <v>0.16890539300982699</v>
      </c>
      <c r="AD170" s="304">
        <f>AD153/Z153-1</f>
        <v>9.5870724975902322E-2</v>
      </c>
      <c r="AF170" s="304">
        <f>AF153/AB153-1</f>
        <v>0.17095472688907254</v>
      </c>
      <c r="AG170" s="304">
        <f>AG153/AC153-1</f>
        <v>0.45059607770389931</v>
      </c>
      <c r="AH170" s="304">
        <f>AH153/AD153-1</f>
        <v>0.3362891973348614</v>
      </c>
      <c r="AJ170" s="304">
        <f>AJ153/AF153-1</f>
        <v>0.32819515567810753</v>
      </c>
      <c r="AK170" s="304">
        <f>AK153/AG153-1</f>
        <v>0.13804195291686772</v>
      </c>
      <c r="AL170" s="304">
        <f>AL153/AH153-1</f>
        <v>0.20919411145848965</v>
      </c>
      <c r="AN170" s="304">
        <f>AN153/AJ153-1</f>
        <v>5.2678724366223673E-2</v>
      </c>
      <c r="AO170" s="304">
        <f>AO153/AK153-1</f>
        <v>0.12414629505089492</v>
      </c>
      <c r="AP170" s="304">
        <f>AP153/AL153-1</f>
        <v>9.4772549847751408E-2</v>
      </c>
      <c r="AR170" s="304">
        <f>AR153/AN153-1</f>
        <v>0.16598306575069155</v>
      </c>
      <c r="AS170" s="304">
        <f>AS153/AO153-1</f>
        <v>9.7591521097086353E-2</v>
      </c>
      <c r="AT170" s="304">
        <f>AT153/AP153-1</f>
        <v>0.1243841039034741</v>
      </c>
      <c r="AV170" s="304">
        <f>AV153/AR153-1</f>
        <v>8.2492352285095771E-2</v>
      </c>
      <c r="AW170" s="304">
        <f>AW153/AS153-1</f>
        <v>9.4849020911724091E-2</v>
      </c>
      <c r="AX170" s="304">
        <f>AX153/AT153-1</f>
        <v>8.9798134467629964E-2</v>
      </c>
      <c r="AZ170" s="304">
        <f>AZ153/AV153-1</f>
        <v>9.0754962869495026E-2</v>
      </c>
      <c r="BA170" s="304">
        <f>BA153/AW153-1</f>
        <v>8.3468478690025938E-2</v>
      </c>
      <c r="BB170" s="304">
        <f>BB153/AX153-1</f>
        <v>8.6454391424655164E-2</v>
      </c>
      <c r="BD170" s="304">
        <f>BD153/AZ153-1</f>
        <v>4.8751580529179384E-2</v>
      </c>
      <c r="BE170" s="304">
        <f>BE153/BA153-1</f>
        <v>4.9212100210927145E-2</v>
      </c>
      <c r="BF170" s="304">
        <f>BF153/BB153-1</f>
        <v>4.9038527176661129E-2</v>
      </c>
      <c r="BH170" s="304">
        <f>BH153/BD153-1</f>
        <v>4.8517622213737122E-2</v>
      </c>
      <c r="BI170" s="304">
        <f>BI153/BE153-1</f>
        <v>4.8986909409758805E-2</v>
      </c>
      <c r="BJ170" s="304">
        <f>BJ153/BF153-1</f>
        <v>4.8808716281233622E-2</v>
      </c>
      <c r="BL170" s="304">
        <f>BL153/BH153-1</f>
        <v>4.8308830208991349E-2</v>
      </c>
      <c r="BM170" s="304">
        <f>BM153/BI153-1</f>
        <v>4.878535540038631E-2</v>
      </c>
      <c r="BN170" s="304">
        <f>BN153/BJ153-1</f>
        <v>4.8603244594779271E-2</v>
      </c>
      <c r="BP170" s="304">
        <f>BP153/BL153-1</f>
        <v>4.8123424840476492E-2</v>
      </c>
      <c r="BQ170" s="304">
        <f>BQ153/BM153-1</f>
        <v>4.860573859119599E-2</v>
      </c>
      <c r="BR170" s="304">
        <f>BR153/BN153-1</f>
        <v>4.8420374935207455E-2</v>
      </c>
      <c r="BT170" s="304">
        <f>BT153/BP153-1</f>
        <v>4.7959724331700482E-2</v>
      </c>
      <c r="BU170" s="304">
        <f>BU153/BQ153-1</f>
        <v>4.8446455606752314E-2</v>
      </c>
      <c r="BV170" s="304">
        <f>BV153/BR153-1</f>
        <v>4.8258467147155981E-2</v>
      </c>
      <c r="BX170" s="304">
        <f>BX153/BT153-1</f>
        <v>4.7816143000987799E-2</v>
      </c>
      <c r="BY170" s="304">
        <f>BY153/BU153-1</f>
        <v>4.830599718241424E-2</v>
      </c>
      <c r="BZ170" s="304">
        <f>BZ153/BV153-1</f>
        <v>4.8115976148003226E-2</v>
      </c>
    </row>
    <row r="171" spans="1:78" s="256" customFormat="1">
      <c r="A171" s="247"/>
      <c r="B171" s="247"/>
    </row>
    <row r="172" spans="1:78" s="271" customFormat="1">
      <c r="A172" s="270"/>
      <c r="B172" s="270" t="s">
        <v>70</v>
      </c>
      <c r="C172" s="262" t="s">
        <v>406</v>
      </c>
      <c r="E172" s="271">
        <f>E131*E128</f>
        <v>-137067290391.4091</v>
      </c>
      <c r="F172" s="271">
        <f>F131*F128</f>
        <v>-137067290391.4091</v>
      </c>
      <c r="H172" s="271">
        <f>H131*H128</f>
        <v>-137067290391.4091</v>
      </c>
      <c r="I172" s="271">
        <f>I131*I128</f>
        <v>-137067290391.4091</v>
      </c>
      <c r="J172" s="271">
        <f>J131*J128</f>
        <v>-137067290391.4091</v>
      </c>
      <c r="L172" s="271">
        <f>L131*L128</f>
        <v>814.85341924520003</v>
      </c>
      <c r="M172" s="271">
        <f>M131*M128</f>
        <v>838.31061452760002</v>
      </c>
      <c r="N172" s="271">
        <f>N131*N128</f>
        <v>838.31061452760002</v>
      </c>
      <c r="P172" s="271">
        <f>P131*P128</f>
        <v>892.96640437280007</v>
      </c>
      <c r="Q172" s="271">
        <f>Q131*Q128</f>
        <v>751.53650393880014</v>
      </c>
      <c r="R172" s="271">
        <f>R131*R128</f>
        <v>751.53650393880014</v>
      </c>
      <c r="T172" s="271">
        <f>T131*T128</f>
        <v>866.56713740459986</v>
      </c>
      <c r="U172" s="271">
        <f>U131*U128</f>
        <v>1062.7464989018999</v>
      </c>
      <c r="V172" s="271">
        <f>V131*V128</f>
        <v>1062.7464989018999</v>
      </c>
      <c r="X172" s="271">
        <f>X131*X128</f>
        <v>1179.356611056</v>
      </c>
      <c r="Y172" s="271">
        <f>Y131*Y128</f>
        <v>1631.5275418467002</v>
      </c>
      <c r="Z172" s="271">
        <f>Z131*Z128</f>
        <v>1631.5275418467002</v>
      </c>
      <c r="AB172" s="271">
        <f>AB131*AB128</f>
        <v>1878.4903195245001</v>
      </c>
      <c r="AC172" s="271">
        <f>AC131*AC128</f>
        <v>1633.7933476799999</v>
      </c>
      <c r="AD172" s="271">
        <f>AD131*AD128</f>
        <v>1633.7933476799999</v>
      </c>
      <c r="AF172" s="271">
        <f>AF131*AF128</f>
        <v>2287.4825705400003</v>
      </c>
      <c r="AG172" s="271">
        <f>AG131*AG128</f>
        <v>3187.1252279999999</v>
      </c>
      <c r="AH172" s="271">
        <f>AH131*AH128</f>
        <v>3187.1252279999999</v>
      </c>
      <c r="AJ172" s="271">
        <f>AJ131*AJ128</f>
        <v>2981.1545500000002</v>
      </c>
      <c r="AK172" s="271">
        <f>AK131*AK128</f>
        <v>3665.8468481200002</v>
      </c>
      <c r="AL172" s="271">
        <f>AL131*AL128</f>
        <v>3665.8468481200002</v>
      </c>
      <c r="AN172" s="271">
        <f>AN131*AN128</f>
        <v>3637.5279408000001</v>
      </c>
      <c r="AO172" s="271">
        <f>AO131*AO128</f>
        <v>4136.52215832</v>
      </c>
      <c r="AP172" s="271">
        <f>AP131*AP128</f>
        <v>4136.52215832</v>
      </c>
      <c r="AR172" s="271">
        <f>AR131*AR128</f>
        <v>4431.3683235168319</v>
      </c>
      <c r="AS172" s="271">
        <f>AS131*AS128</f>
        <v>4421.3676449554559</v>
      </c>
      <c r="AT172" s="271">
        <f>AT131*AT128</f>
        <v>4421.3676449554559</v>
      </c>
      <c r="AV172" s="271">
        <f>AV131*AV128</f>
        <v>4411.6895689283174</v>
      </c>
      <c r="AW172" s="271">
        <f>AW131*AW128</f>
        <v>4402.5073336084524</v>
      </c>
      <c r="AX172" s="271">
        <f>AX131*AX128</f>
        <v>4402.5073336084524</v>
      </c>
      <c r="AZ172" s="271">
        <f>AZ131*AZ128</f>
        <v>4393.6212994279376</v>
      </c>
      <c r="BA172" s="271">
        <f>BA131*BA128</f>
        <v>4385.190526960655</v>
      </c>
      <c r="BB172" s="271">
        <f>BB131*BB128</f>
        <v>4385.190526960655</v>
      </c>
      <c r="BD172" s="271">
        <f>BD131*BD128</f>
        <v>4377.0317148955437</v>
      </c>
      <c r="BE172" s="271">
        <f>BE131*BE128</f>
        <v>4369.2909064846217</v>
      </c>
      <c r="BF172" s="271">
        <f>BF131*BF128</f>
        <v>4369.2909064846217</v>
      </c>
      <c r="BH172" s="271">
        <f>BH131*BH128</f>
        <v>4361.7998015708263</v>
      </c>
      <c r="BI172" s="271">
        <f>BI131*BI128</f>
        <v>4354.6924914059355</v>
      </c>
      <c r="BJ172" s="271">
        <f>BJ131*BJ128</f>
        <v>4354.6924914059355</v>
      </c>
      <c r="BL172" s="271">
        <f>BL131*BL128</f>
        <v>4347.8144493108794</v>
      </c>
      <c r="BM172" s="271">
        <f>BM131*BM128</f>
        <v>4341.2887926742033</v>
      </c>
      <c r="BN172" s="271">
        <f>BN131*BN128</f>
        <v>4341.2887926742033</v>
      </c>
      <c r="BP172" s="271">
        <f>BP131*BP128</f>
        <v>4334.9736410903242</v>
      </c>
      <c r="BQ172" s="271">
        <f>BQ131*BQ128</f>
        <v>4328.9820361720322</v>
      </c>
      <c r="BR172" s="271">
        <f>BR131*BR128</f>
        <v>4328.9820361720322</v>
      </c>
      <c r="BT172" s="271">
        <f>BT131*BT128</f>
        <v>4323.1837088317498</v>
      </c>
      <c r="BU172" s="271">
        <f>BU131*BU128</f>
        <v>4317.682449495619</v>
      </c>
      <c r="BV172" s="271">
        <f>BV131*BV128</f>
        <v>4317.682449495619</v>
      </c>
      <c r="BX172" s="271">
        <f>BX131*BX128</f>
        <v>4312.3586501380723</v>
      </c>
      <c r="BY172" s="271">
        <f>BY131*BY128</f>
        <v>4307.307607104347</v>
      </c>
      <c r="BZ172" s="271">
        <f>BZ131*BZ128</f>
        <v>4307.307607104347</v>
      </c>
    </row>
    <row r="173" spans="1:78" s="271" customFormat="1">
      <c r="A173" s="270"/>
      <c r="B173" s="270" t="s">
        <v>71</v>
      </c>
      <c r="C173" s="262" t="s">
        <v>406</v>
      </c>
      <c r="E173" s="271">
        <f>BS!E72</f>
        <v>17.712999999999994</v>
      </c>
      <c r="F173" s="271">
        <f>BS!F72</f>
        <v>17.712999999999994</v>
      </c>
      <c r="H173" s="271">
        <f>BS!H72</f>
        <v>27.599000000000004</v>
      </c>
      <c r="I173" s="271">
        <f>BS!I72</f>
        <v>34.865000000000002</v>
      </c>
      <c r="J173" s="271">
        <f>BS!J72</f>
        <v>34.865000000000002</v>
      </c>
      <c r="L173" s="271">
        <f>BS!L72</f>
        <v>48.483000000000004</v>
      </c>
      <c r="M173" s="271">
        <f>BS!M72</f>
        <v>62.513999999999996</v>
      </c>
      <c r="N173" s="271">
        <f>BS!N72</f>
        <v>62.513999999999996</v>
      </c>
      <c r="P173" s="271">
        <f>BS!P72</f>
        <v>-10.682000000000002</v>
      </c>
      <c r="Q173" s="271">
        <f>BS!Q72</f>
        <v>34.458999999999989</v>
      </c>
      <c r="R173" s="271">
        <f>BS!R72</f>
        <v>34.458999999999989</v>
      </c>
      <c r="T173" s="271">
        <f>BS!T72</f>
        <v>39.82200000000001</v>
      </c>
      <c r="U173" s="271">
        <f>BS!U72</f>
        <v>147.39599999999999</v>
      </c>
      <c r="V173" s="271">
        <f>BS!V72</f>
        <v>147.39599999999999</v>
      </c>
      <c r="X173" s="271">
        <f>BS!X72</f>
        <v>196.65600000000001</v>
      </c>
      <c r="Y173" s="271">
        <f>BS!Y72</f>
        <v>135.69499999999999</v>
      </c>
      <c r="Z173" s="271">
        <f>BS!Z72</f>
        <v>135.69499999999999</v>
      </c>
      <c r="AB173" s="271">
        <f>BS!AB72</f>
        <v>154.94800000000001</v>
      </c>
      <c r="AC173" s="271">
        <f>BS!AC72</f>
        <v>-211.52700000000002</v>
      </c>
      <c r="AD173" s="271">
        <f>BS!AD72</f>
        <v>-211.52700000000002</v>
      </c>
      <c r="AF173" s="271">
        <f>BS!AF72</f>
        <v>508.46400000000006</v>
      </c>
      <c r="AG173" s="271">
        <f>BS!AG72</f>
        <v>323.87800000000004</v>
      </c>
      <c r="AH173" s="271">
        <f>BS!AH72</f>
        <v>323.87800000000004</v>
      </c>
      <c r="AJ173" s="271">
        <f>BS!AJ72</f>
        <v>471.03300000000007</v>
      </c>
      <c r="AK173" s="271">
        <f>BS!AK72</f>
        <v>268.63499999999999</v>
      </c>
      <c r="AL173" s="271">
        <f>BS!AL72</f>
        <v>268.63499999999999</v>
      </c>
      <c r="AN173" s="271">
        <f>BS!AN72</f>
        <v>562.99699999999984</v>
      </c>
      <c r="AO173" s="271">
        <f>BS!AO72</f>
        <v>593.50499999999988</v>
      </c>
      <c r="AP173" s="271">
        <f>BS!AP72</f>
        <v>593.50499999999988</v>
      </c>
      <c r="AR173" s="271">
        <f>BS!AR72</f>
        <v>607.68798880040902</v>
      </c>
      <c r="AS173" s="271">
        <f>BS!AS72</f>
        <v>419.02892399241023</v>
      </c>
      <c r="AT173" s="271">
        <f>BS!AT72</f>
        <v>419.02892399241023</v>
      </c>
      <c r="AV173" s="271">
        <f>BS!AV72</f>
        <v>498.4328590482213</v>
      </c>
      <c r="AW173" s="271">
        <f>BS!AW72</f>
        <v>292.25247365618884</v>
      </c>
      <c r="AX173" s="271">
        <f>BS!AX72</f>
        <v>292.25247365618884</v>
      </c>
      <c r="AZ173" s="271">
        <f>BS!AZ72</f>
        <v>409.43137477317759</v>
      </c>
      <c r="BA173" s="271">
        <f>BS!BA72</f>
        <v>199.18057512879113</v>
      </c>
      <c r="BB173" s="271">
        <f>BS!BB72</f>
        <v>199.18057512879091</v>
      </c>
      <c r="BD173" s="271">
        <f>BS!BD72</f>
        <v>316.85188729189144</v>
      </c>
      <c r="BE173" s="271">
        <f>BS!BE72</f>
        <v>87.16127966805584</v>
      </c>
      <c r="BF173" s="271">
        <f>BS!BF72</f>
        <v>87.16127966805584</v>
      </c>
      <c r="BH173" s="271">
        <f>BS!BH72</f>
        <v>215.58405309888553</v>
      </c>
      <c r="BI173" s="271">
        <f>BS!BI72</f>
        <v>-24.839579463916834</v>
      </c>
      <c r="BJ173" s="271">
        <f>BS!BJ72</f>
        <v>-24.839579463916834</v>
      </c>
      <c r="BL173" s="271">
        <f>BS!BL72</f>
        <v>109.80674195592667</v>
      </c>
      <c r="BM173" s="271">
        <f>BS!BM72</f>
        <v>-141.70743708295299</v>
      </c>
      <c r="BN173" s="271">
        <f>BS!BN72</f>
        <v>-141.70743708295299</v>
      </c>
      <c r="BP173" s="271">
        <f>BS!BP72</f>
        <v>-24.600268906214524</v>
      </c>
      <c r="BQ173" s="271">
        <f>BS!BQ72</f>
        <v>-279.54913331694138</v>
      </c>
      <c r="BR173" s="271">
        <f>BS!BR72</f>
        <v>-279.54913331694138</v>
      </c>
      <c r="BT173" s="271">
        <f>BS!BT72</f>
        <v>-135.7606917521498</v>
      </c>
      <c r="BU173" s="271">
        <f>BS!BU72</f>
        <v>-412.77872029066998</v>
      </c>
      <c r="BV173" s="271">
        <f>BS!BV72</f>
        <v>-412.77872029066998</v>
      </c>
      <c r="BX173" s="271">
        <f>BS!BX72</f>
        <v>-256.69288351818091</v>
      </c>
      <c r="BY173" s="271">
        <f>BS!BY72</f>
        <v>-546.05869438566401</v>
      </c>
      <c r="BZ173" s="271">
        <f>BS!BZ72</f>
        <v>-546.05869438566401</v>
      </c>
    </row>
    <row r="174" spans="1:78" s="271" customFormat="1">
      <c r="A174" s="270"/>
      <c r="B174" s="270" t="s">
        <v>72</v>
      </c>
      <c r="C174" s="262" t="s">
        <v>406</v>
      </c>
      <c r="E174" s="271">
        <f t="shared" ref="E174:F174" si="842">E172+E173</f>
        <v>-137067290373.69611</v>
      </c>
      <c r="F174" s="271">
        <f t="shared" si="842"/>
        <v>-137067290373.69611</v>
      </c>
      <c r="H174" s="271">
        <f t="shared" ref="H174:J174" si="843">H172+H173</f>
        <v>-137067290363.8101</v>
      </c>
      <c r="I174" s="271">
        <f t="shared" si="843"/>
        <v>-137067290356.5441</v>
      </c>
      <c r="J174" s="271">
        <f t="shared" si="843"/>
        <v>-137067290356.5441</v>
      </c>
      <c r="L174" s="271">
        <f t="shared" ref="L174:N174" si="844">L172+L173</f>
        <v>863.33641924519998</v>
      </c>
      <c r="M174" s="271">
        <f t="shared" si="844"/>
        <v>900.82461452760003</v>
      </c>
      <c r="N174" s="271">
        <f t="shared" si="844"/>
        <v>900.82461452760003</v>
      </c>
      <c r="P174" s="271">
        <f t="shared" ref="P174:R174" si="845">P172+P173</f>
        <v>882.28440437280005</v>
      </c>
      <c r="Q174" s="271">
        <f t="shared" si="845"/>
        <v>785.99550393880008</v>
      </c>
      <c r="R174" s="271">
        <f t="shared" si="845"/>
        <v>785.99550393880008</v>
      </c>
      <c r="T174" s="271">
        <f t="shared" ref="T174:V174" si="846">T172+T173</f>
        <v>906.38913740459986</v>
      </c>
      <c r="U174" s="271">
        <f t="shared" si="846"/>
        <v>1210.1424989018999</v>
      </c>
      <c r="V174" s="271">
        <f t="shared" si="846"/>
        <v>1210.1424989018999</v>
      </c>
      <c r="X174" s="271">
        <f t="shared" ref="X174:Z174" si="847">X172+X173</f>
        <v>1376.012611056</v>
      </c>
      <c r="Y174" s="271">
        <f t="shared" si="847"/>
        <v>1767.2225418467001</v>
      </c>
      <c r="Z174" s="271">
        <f t="shared" si="847"/>
        <v>1767.2225418467001</v>
      </c>
      <c r="AB174" s="271">
        <f t="shared" ref="AB174:AD174" si="848">AB172+AB173</f>
        <v>2033.4383195245002</v>
      </c>
      <c r="AC174" s="271">
        <f t="shared" si="848"/>
        <v>1422.2663476799999</v>
      </c>
      <c r="AD174" s="271">
        <f t="shared" si="848"/>
        <v>1422.2663476799999</v>
      </c>
      <c r="AF174" s="271">
        <f>AF172+AF173</f>
        <v>2795.9465705400003</v>
      </c>
      <c r="AG174" s="271">
        <f t="shared" ref="AG174:AH174" si="849">AG172+AG173</f>
        <v>3511.003228</v>
      </c>
      <c r="AH174" s="271">
        <f t="shared" si="849"/>
        <v>3511.003228</v>
      </c>
      <c r="AJ174" s="271">
        <f>AJ172+AJ173</f>
        <v>3452.1875500000001</v>
      </c>
      <c r="AK174" s="271">
        <f t="shared" ref="AK174:AL174" si="850">AK172+AK173</f>
        <v>3934.48184812</v>
      </c>
      <c r="AL174" s="271">
        <f t="shared" si="850"/>
        <v>3934.48184812</v>
      </c>
      <c r="AN174" s="271">
        <f>AN172+AN173</f>
        <v>4200.5249408</v>
      </c>
      <c r="AO174" s="271">
        <f t="shared" ref="AO174:AP174" si="851">AO172+AO173</f>
        <v>4730.0271583200001</v>
      </c>
      <c r="AP174" s="271">
        <f t="shared" si="851"/>
        <v>4730.0271583200001</v>
      </c>
      <c r="AR174" s="271">
        <f t="shared" ref="AR174:AT174" si="852">AR172+AR173</f>
        <v>5039.0563123172406</v>
      </c>
      <c r="AS174" s="271">
        <f t="shared" si="852"/>
        <v>4840.3965689478664</v>
      </c>
      <c r="AT174" s="271">
        <f t="shared" si="852"/>
        <v>4840.3965689478664</v>
      </c>
      <c r="AV174" s="271">
        <f t="shared" ref="AV174:AX174" si="853">AV172+AV173</f>
        <v>4910.1224279765383</v>
      </c>
      <c r="AW174" s="271">
        <f t="shared" si="853"/>
        <v>4694.7598072646415</v>
      </c>
      <c r="AX174" s="271">
        <f t="shared" si="853"/>
        <v>4694.7598072646415</v>
      </c>
      <c r="AZ174" s="271">
        <f t="shared" ref="AZ174:BB174" si="854">AZ172+AZ173</f>
        <v>4803.0526742011152</v>
      </c>
      <c r="BA174" s="271">
        <f t="shared" si="854"/>
        <v>4584.3711020894461</v>
      </c>
      <c r="BB174" s="271">
        <f t="shared" si="854"/>
        <v>4584.3711020894461</v>
      </c>
      <c r="BD174" s="271">
        <f t="shared" ref="BD174:BF174" si="855">BD172+BD173</f>
        <v>4693.8836021874349</v>
      </c>
      <c r="BE174" s="271">
        <f t="shared" si="855"/>
        <v>4456.4521861526773</v>
      </c>
      <c r="BF174" s="271">
        <f t="shared" si="855"/>
        <v>4456.4521861526773</v>
      </c>
      <c r="BH174" s="271">
        <f t="shared" ref="BH174:BJ174" si="856">BH172+BH173</f>
        <v>4577.3838546697116</v>
      </c>
      <c r="BI174" s="271">
        <f t="shared" si="856"/>
        <v>4329.8529119420182</v>
      </c>
      <c r="BJ174" s="271">
        <f t="shared" si="856"/>
        <v>4329.8529119420182</v>
      </c>
      <c r="BL174" s="271">
        <f t="shared" ref="BL174:BN174" si="857">BL172+BL173</f>
        <v>4457.6211912668059</v>
      </c>
      <c r="BM174" s="271">
        <f t="shared" si="857"/>
        <v>4199.58135559125</v>
      </c>
      <c r="BN174" s="271">
        <f t="shared" si="857"/>
        <v>4199.58135559125</v>
      </c>
      <c r="BP174" s="271">
        <f t="shared" ref="BP174:BR174" si="858">BP172+BP173</f>
        <v>4310.3733721841099</v>
      </c>
      <c r="BQ174" s="271">
        <f t="shared" si="858"/>
        <v>4049.432902855091</v>
      </c>
      <c r="BR174" s="271">
        <f t="shared" si="858"/>
        <v>4049.432902855091</v>
      </c>
      <c r="BT174" s="271">
        <f t="shared" ref="BT174:BV174" si="859">BT172+BT173</f>
        <v>4187.4230170796</v>
      </c>
      <c r="BU174" s="271">
        <f t="shared" si="859"/>
        <v>3904.9037292049488</v>
      </c>
      <c r="BV174" s="271">
        <f t="shared" si="859"/>
        <v>3904.9037292049488</v>
      </c>
      <c r="BX174" s="271">
        <f t="shared" ref="BX174:BZ174" si="860">BX172+BX173</f>
        <v>4055.6657666198917</v>
      </c>
      <c r="BY174" s="271">
        <f t="shared" si="860"/>
        <v>3761.2489127186827</v>
      </c>
      <c r="BZ174" s="271">
        <f t="shared" si="860"/>
        <v>3761.2489127186827</v>
      </c>
    </row>
    <row r="175" spans="1:78" s="494" customFormat="1">
      <c r="A175" s="564"/>
      <c r="B175" s="564" t="s">
        <v>541</v>
      </c>
      <c r="C175" s="323" t="s">
        <v>406</v>
      </c>
      <c r="E175" s="494">
        <f>+BS!E83</f>
        <v>47.037903878313749</v>
      </c>
      <c r="F175" s="494">
        <f>+BS!F83</f>
        <v>62.107657402578049</v>
      </c>
      <c r="H175" s="494">
        <f>+BS!H83</f>
        <v>23.797219734733861</v>
      </c>
      <c r="I175" s="494">
        <f>+BS!I83</f>
        <v>42.984764101775944</v>
      </c>
      <c r="J175" s="494">
        <f>+BS!J83</f>
        <v>63.781254195098832</v>
      </c>
      <c r="L175" s="494">
        <f>+BS!L83</f>
        <v>25.633523318626047</v>
      </c>
      <c r="M175" s="494">
        <f>+BS!M83</f>
        <v>46.976736042458022</v>
      </c>
      <c r="N175" s="494">
        <f>+BS!N83</f>
        <v>70.677616296319897</v>
      </c>
      <c r="P175" s="494">
        <f>+BS!P83</f>
        <v>32.859541766973813</v>
      </c>
      <c r="Q175" s="494">
        <f>+BS!Q83</f>
        <v>45.212779808163539</v>
      </c>
      <c r="R175" s="494">
        <f>+BS!R83</f>
        <v>77.79823509813518</v>
      </c>
      <c r="T175" s="494">
        <f>+BS!T83</f>
        <v>36.750886994718449</v>
      </c>
      <c r="U175" s="494">
        <f>+BS!U83</f>
        <v>43.907661998499108</v>
      </c>
      <c r="V175" s="494">
        <f>+BS!V83</f>
        <v>80.425181263195896</v>
      </c>
      <c r="X175" s="494">
        <f>+BS!X83</f>
        <v>48.858566434308777</v>
      </c>
      <c r="Y175" s="494">
        <f>+BS!Y83</f>
        <v>55.466442562516633</v>
      </c>
      <c r="Z175" s="494">
        <f>+BS!Z83</f>
        <v>104.32588110964339</v>
      </c>
      <c r="AB175" s="494">
        <f>+BS!AB83</f>
        <v>48.118803686709413</v>
      </c>
      <c r="AC175" s="494">
        <f>+BS!AC83</f>
        <v>66.191132286882365</v>
      </c>
      <c r="AD175" s="494">
        <f>+BS!AD83</f>
        <v>114.3239111544359</v>
      </c>
      <c r="AF175" s="494">
        <f>+BS!AF83</f>
        <v>81.327424212723145</v>
      </c>
      <c r="AG175" s="494">
        <f>+BS!AG83</f>
        <v>146.23603514278514</v>
      </c>
      <c r="AH175" s="494">
        <f>+BS!AH83</f>
        <v>227.56099394809382</v>
      </c>
      <c r="AJ175" s="494">
        <f>+BS!AJ83</f>
        <v>130.44287256048653</v>
      </c>
      <c r="AK175" s="494">
        <f>+BS!AK83</f>
        <v>167.48133802207943</v>
      </c>
      <c r="AL175" s="494">
        <f>+BS!AL83</f>
        <v>297.91899524874765</v>
      </c>
      <c r="AN175" s="494">
        <f>+BS!AN83</f>
        <v>141.50577203411734</v>
      </c>
      <c r="AO175" s="494">
        <f>+BS!AO83</f>
        <v>200.34116265017317</v>
      </c>
      <c r="AP175" s="494">
        <f>+BS!AP83</f>
        <v>341.92313614271421</v>
      </c>
      <c r="AR175" s="494">
        <f>+BS!AR83</f>
        <v>161.58522156559522</v>
      </c>
      <c r="AS175" s="494">
        <f>+BS!AS83</f>
        <v>214.38325386739882</v>
      </c>
      <c r="AT175" s="494">
        <f>+BS!AT83</f>
        <v>376.01766953363267</v>
      </c>
      <c r="AV175" s="494">
        <f>+BS!AV83</f>
        <v>171.32035728896017</v>
      </c>
      <c r="AW175" s="494">
        <f>+BS!AW83</f>
        <v>230.50184327486903</v>
      </c>
      <c r="AX175" s="494">
        <f>+BS!AX83</f>
        <v>401.87456963584935</v>
      </c>
      <c r="AZ175" s="494">
        <f>+BS!AZ83</f>
        <v>183.10179227918726</v>
      </c>
      <c r="BA175" s="494">
        <f>+BS!BA83</f>
        <v>245.91404746803065</v>
      </c>
      <c r="BB175" s="494">
        <f>+BS!BB83</f>
        <v>429.06475305698848</v>
      </c>
      <c r="BD175" s="494">
        <f>+BS!BD83</f>
        <v>190.07076283323207</v>
      </c>
      <c r="BE175" s="494">
        <f>+BS!BE83</f>
        <v>255.80272365276394</v>
      </c>
      <c r="BF175" s="494">
        <f>+BS!BF83</f>
        <v>445.92291761000394</v>
      </c>
      <c r="BH175" s="494">
        <f>+BS!BH83</f>
        <v>197.36052408903566</v>
      </c>
      <c r="BI175" s="494">
        <f>+BS!BI83</f>
        <v>266.16053770593612</v>
      </c>
      <c r="BJ175" s="494">
        <f>+BS!BJ83</f>
        <v>463.57079339440162</v>
      </c>
      <c r="BL175" s="494">
        <f>+BS!BL83</f>
        <v>204.99010524968114</v>
      </c>
      <c r="BM175" s="494">
        <f>+BS!BM83</f>
        <v>277.00695722431317</v>
      </c>
      <c r="BN175" s="494">
        <f>+BS!BN83</f>
        <v>482.04711353720421</v>
      </c>
      <c r="BP175" s="494">
        <f>+BS!BP83</f>
        <v>212.97252450953766</v>
      </c>
      <c r="BQ175" s="494">
        <f>+BS!BQ83</f>
        <v>288.37005688462671</v>
      </c>
      <c r="BR175" s="494">
        <f>+BS!BR83</f>
        <v>501.39270449712018</v>
      </c>
      <c r="BT175" s="494">
        <f>+BS!BT83</f>
        <v>221.33640198806773</v>
      </c>
      <c r="BU175" s="494">
        <f>+BS!BU83</f>
        <v>300.26298458243161</v>
      </c>
      <c r="BV175" s="494">
        <f>+BS!BV83</f>
        <v>521.65013667517576</v>
      </c>
      <c r="BX175" s="494">
        <f>+BS!BX83</f>
        <v>230.08910529985883</v>
      </c>
      <c r="BY175" s="494">
        <f>+BS!BY83</f>
        <v>312.72436072558446</v>
      </c>
      <c r="BZ175" s="494">
        <f>+BS!BZ83</f>
        <v>542.86459732749847</v>
      </c>
    </row>
    <row r="176" spans="1:78" s="218" customFormat="1">
      <c r="A176" s="242"/>
      <c r="B176" s="242" t="s">
        <v>543</v>
      </c>
      <c r="C176" s="262" t="s">
        <v>406</v>
      </c>
      <c r="E176" s="218">
        <f t="shared" ref="E176" si="861">+D175+E175</f>
        <v>47.037903878313749</v>
      </c>
      <c r="F176" s="218">
        <f t="shared" ref="F176" si="862">E176</f>
        <v>47.037903878313749</v>
      </c>
      <c r="H176" s="218">
        <f t="shared" ref="H176" si="863">+H175+E175</f>
        <v>70.835123613047614</v>
      </c>
      <c r="I176" s="218">
        <f t="shared" ref="I176" si="864">+H175+I175</f>
        <v>66.781983836509809</v>
      </c>
      <c r="J176" s="218">
        <f t="shared" ref="J176" si="865">I176</f>
        <v>66.781983836509809</v>
      </c>
      <c r="L176" s="218">
        <f t="shared" ref="L176" si="866">+L175+I175</f>
        <v>68.618287420401998</v>
      </c>
      <c r="M176" s="218">
        <f t="shared" ref="M176" si="867">+L175+M175</f>
        <v>72.610259361084076</v>
      </c>
      <c r="N176" s="218">
        <f t="shared" ref="N176" si="868">M176</f>
        <v>72.610259361084076</v>
      </c>
      <c r="P176" s="218">
        <f t="shared" ref="P176" si="869">+P175+M175</f>
        <v>79.836277809431834</v>
      </c>
      <c r="Q176" s="218">
        <f t="shared" ref="Q176" si="870">+P175+Q175</f>
        <v>78.072321575137352</v>
      </c>
      <c r="R176" s="218">
        <f t="shared" ref="R176" si="871">Q176</f>
        <v>78.072321575137352</v>
      </c>
      <c r="T176" s="218">
        <f t="shared" ref="T176" si="872">+T175+Q175</f>
        <v>81.963666802881988</v>
      </c>
      <c r="U176" s="218">
        <f t="shared" ref="U176" si="873">+T175+U175</f>
        <v>80.658548993217551</v>
      </c>
      <c r="V176" s="218">
        <f t="shared" ref="V176" si="874">U176</f>
        <v>80.658548993217551</v>
      </c>
      <c r="X176" s="218">
        <f t="shared" ref="X176" si="875">+X175+U175</f>
        <v>92.766228432807878</v>
      </c>
      <c r="Y176" s="218">
        <f t="shared" ref="Y176" si="876">+X175+Y175</f>
        <v>104.3250089968254</v>
      </c>
      <c r="Z176" s="218">
        <f t="shared" ref="Z176" si="877">Y176</f>
        <v>104.3250089968254</v>
      </c>
      <c r="AB176" s="271">
        <f t="shared" ref="AB176" si="878">+AB175+Y175</f>
        <v>103.58524624922605</v>
      </c>
      <c r="AC176" s="271">
        <f t="shared" ref="AC176" si="879">+AB175+AC175</f>
        <v>114.30993597359178</v>
      </c>
      <c r="AD176" s="271">
        <f t="shared" ref="AD176" si="880">AC176</f>
        <v>114.30993597359178</v>
      </c>
      <c r="AE176" s="271"/>
      <c r="AF176" s="271">
        <f>+AF175+AC175</f>
        <v>147.51855649960549</v>
      </c>
      <c r="AG176" s="271">
        <f t="shared" ref="AG176" si="881">+AF175+AG175</f>
        <v>227.56345935550829</v>
      </c>
      <c r="AH176" s="271">
        <f t="shared" ref="AH176" si="882">AG176</f>
        <v>227.56345935550829</v>
      </c>
      <c r="AI176" s="271"/>
      <c r="AJ176" s="271">
        <f>+AJ175+AG175</f>
        <v>276.67890770327165</v>
      </c>
      <c r="AK176" s="271">
        <f t="shared" ref="AK176" si="883">+AJ175+AK175</f>
        <v>297.92421058256593</v>
      </c>
      <c r="AL176" s="271">
        <f t="shared" ref="AL176" si="884">AK176</f>
        <v>297.92421058256593</v>
      </c>
      <c r="AM176" s="271"/>
      <c r="AN176" s="271">
        <f>+AN175+AK175</f>
        <v>308.9871100561968</v>
      </c>
      <c r="AO176" s="271">
        <f t="shared" ref="AO176" si="885">+AN175+AO175</f>
        <v>341.84693468429055</v>
      </c>
      <c r="AP176" s="271">
        <f t="shared" ref="AP176" si="886">AO176</f>
        <v>341.84693468429055</v>
      </c>
      <c r="AQ176" s="271"/>
      <c r="AR176" s="271">
        <f t="shared" ref="AR176" si="887">+AR175+AO175</f>
        <v>361.92638421576839</v>
      </c>
      <c r="AS176" s="271">
        <f t="shared" ref="AS176" si="888">+AR175+AS175</f>
        <v>375.96847543299407</v>
      </c>
      <c r="AT176" s="271">
        <f t="shared" ref="AT176" si="889">AS176</f>
        <v>375.96847543299407</v>
      </c>
      <c r="AU176" s="271"/>
      <c r="AV176" s="271">
        <f t="shared" ref="AV176" si="890">+AV175+AS175</f>
        <v>385.70361115635899</v>
      </c>
      <c r="AW176" s="271">
        <f t="shared" ref="AW176" si="891">+AV175+AW175</f>
        <v>401.8222005638292</v>
      </c>
      <c r="AX176" s="271">
        <f t="shared" ref="AX176" si="892">AW176</f>
        <v>401.8222005638292</v>
      </c>
      <c r="AY176" s="271"/>
      <c r="AZ176" s="271">
        <f t="shared" ref="AZ176" si="893">+AZ175+AW175</f>
        <v>413.60363555405627</v>
      </c>
      <c r="BA176" s="271">
        <f t="shared" ref="BA176" si="894">+AZ175+BA175</f>
        <v>429.01583974721791</v>
      </c>
      <c r="BB176" s="271">
        <f t="shared" ref="BB176" si="895">BA176</f>
        <v>429.01583974721791</v>
      </c>
      <c r="BC176" s="271"/>
      <c r="BD176" s="271">
        <f t="shared" ref="BD176" si="896">+BD175+BA175</f>
        <v>435.98481030126271</v>
      </c>
      <c r="BE176" s="271">
        <f t="shared" ref="BE176" si="897">+BD175+BE175</f>
        <v>445.87348648599601</v>
      </c>
      <c r="BF176" s="271">
        <f t="shared" ref="BF176" si="898">BE176</f>
        <v>445.87348648599601</v>
      </c>
      <c r="BG176" s="271"/>
      <c r="BH176" s="271">
        <f t="shared" ref="BH176" si="899">+BH175+BE175</f>
        <v>453.16324774179964</v>
      </c>
      <c r="BI176" s="271">
        <f t="shared" ref="BI176" si="900">+BH175+BI175</f>
        <v>463.52106179497179</v>
      </c>
      <c r="BJ176" s="271">
        <f t="shared" ref="BJ176" si="901">BI176</f>
        <v>463.52106179497179</v>
      </c>
      <c r="BK176" s="271"/>
      <c r="BL176" s="271">
        <f t="shared" ref="BL176" si="902">+BL175+BI175</f>
        <v>471.15064295561729</v>
      </c>
      <c r="BM176" s="271">
        <f t="shared" ref="BM176" si="903">+BL175+BM175</f>
        <v>481.99706247399433</v>
      </c>
      <c r="BN176" s="271">
        <f t="shared" ref="BN176" si="904">BM176</f>
        <v>481.99706247399433</v>
      </c>
      <c r="BO176" s="271"/>
      <c r="BP176" s="271">
        <f t="shared" ref="BP176" si="905">+BP175+BM175</f>
        <v>489.97948173385083</v>
      </c>
      <c r="BQ176" s="271">
        <f t="shared" ref="BQ176" si="906">+BP175+BQ175</f>
        <v>501.34258139416437</v>
      </c>
      <c r="BR176" s="271">
        <f t="shared" ref="BR176" si="907">BQ176</f>
        <v>501.34258139416437</v>
      </c>
      <c r="BT176" s="271">
        <f t="shared" ref="BT176" si="908">+BT175+BQ175</f>
        <v>509.70645887269444</v>
      </c>
      <c r="BU176" s="271">
        <f t="shared" ref="BU176" si="909">+BT175+BU175</f>
        <v>521.59938657049929</v>
      </c>
      <c r="BV176" s="271">
        <f t="shared" ref="BV176" si="910">BU176</f>
        <v>521.59938657049929</v>
      </c>
      <c r="BX176" s="271">
        <f t="shared" ref="BX176" si="911">+BX175+BU175</f>
        <v>530.35208988229044</v>
      </c>
      <c r="BY176" s="271">
        <f t="shared" ref="BY176" si="912">+BX175+BY175</f>
        <v>542.81346602544329</v>
      </c>
      <c r="BZ176" s="271">
        <f t="shared" ref="BZ176" si="913">BY176</f>
        <v>542.81346602544329</v>
      </c>
    </row>
    <row r="177" spans="1:78" s="323" customFormat="1">
      <c r="A177" s="397"/>
      <c r="B177" s="397" t="s">
        <v>73</v>
      </c>
      <c r="C177" s="323" t="s">
        <v>40</v>
      </c>
      <c r="E177" s="323">
        <f t="shared" ref="E177:F177" si="914">E174/E176</f>
        <v>-2913975306.5588732</v>
      </c>
      <c r="F177" s="323">
        <f t="shared" si="914"/>
        <v>-2913975306.5588732</v>
      </c>
      <c r="H177" s="323">
        <f t="shared" ref="H177:J177" si="915">H174/H176</f>
        <v>-1935018721.9629941</v>
      </c>
      <c r="I177" s="323">
        <f t="shared" si="915"/>
        <v>-2052459098.7308946</v>
      </c>
      <c r="J177" s="323">
        <f t="shared" si="915"/>
        <v>-2052459098.7308946</v>
      </c>
      <c r="L177" s="323">
        <f t="shared" ref="L177:N177" si="916">L174/L176</f>
        <v>12.581724955562031</v>
      </c>
      <c r="M177" s="323">
        <f t="shared" si="916"/>
        <v>12.406299363949149</v>
      </c>
      <c r="N177" s="323">
        <f t="shared" si="916"/>
        <v>12.406299363949149</v>
      </c>
      <c r="P177" s="323">
        <f t="shared" ref="P177:R177" si="917">P174/P176</f>
        <v>11.051171579902579</v>
      </c>
      <c r="Q177" s="323">
        <f t="shared" si="917"/>
        <v>10.067530823742093</v>
      </c>
      <c r="R177" s="323">
        <f t="shared" si="917"/>
        <v>10.067530823742093</v>
      </c>
      <c r="T177" s="323">
        <f t="shared" ref="T177:V177" si="918">T174/T176</f>
        <v>11.058425919187032</v>
      </c>
      <c r="U177" s="323">
        <f t="shared" si="918"/>
        <v>15.003276329749731</v>
      </c>
      <c r="V177" s="323">
        <f t="shared" si="918"/>
        <v>15.003276329749731</v>
      </c>
      <c r="X177" s="323">
        <f t="shared" ref="X177:Z177" si="919">X174/X176</f>
        <v>14.833120137601247</v>
      </c>
      <c r="Y177" s="323">
        <f t="shared" si="919"/>
        <v>16.939586766778774</v>
      </c>
      <c r="Z177" s="323">
        <f t="shared" si="919"/>
        <v>16.939586766778774</v>
      </c>
      <c r="AB177" s="323">
        <f t="shared" ref="AB177:AD177" si="920">AB174/AB176</f>
        <v>19.630578611861853</v>
      </c>
      <c r="AC177" s="323">
        <f t="shared" si="920"/>
        <v>12.44219354657478</v>
      </c>
      <c r="AD177" s="323">
        <f t="shared" si="920"/>
        <v>12.44219354657478</v>
      </c>
      <c r="AF177" s="323">
        <f>AF174/AF176</f>
        <v>18.953185530577485</v>
      </c>
      <c r="AG177" s="323">
        <f t="shared" ref="AG177:AH177" si="921">AG174/AG176</f>
        <v>15.428677512389973</v>
      </c>
      <c r="AH177" s="323">
        <f t="shared" si="921"/>
        <v>15.428677512389973</v>
      </c>
      <c r="AJ177" s="323">
        <f>AJ174/AJ176</f>
        <v>12.477234273681423</v>
      </c>
      <c r="AK177" s="323">
        <f t="shared" ref="AK177:AL177" si="922">AK174/AK176</f>
        <v>13.206317943836954</v>
      </c>
      <c r="AL177" s="323">
        <f t="shared" si="922"/>
        <v>13.206317943836954</v>
      </c>
      <c r="AN177" s="323">
        <f>AN174/AN176</f>
        <v>13.594498942159861</v>
      </c>
      <c r="AO177" s="323">
        <f t="shared" ref="AO177:AP177" si="923">AO174/AO176</f>
        <v>13.836681503926227</v>
      </c>
      <c r="AP177" s="323">
        <f t="shared" si="923"/>
        <v>13.836681503926227</v>
      </c>
      <c r="AR177" s="323">
        <f t="shared" ref="AR177:AT177" si="924">AR174/AR176</f>
        <v>13.922876397187787</v>
      </c>
      <c r="AS177" s="323">
        <f t="shared" si="924"/>
        <v>12.87447455101999</v>
      </c>
      <c r="AT177" s="323">
        <f t="shared" si="924"/>
        <v>12.87447455101999</v>
      </c>
      <c r="AV177" s="323">
        <f t="shared" ref="AV177:AX177" si="925">AV174/AV176</f>
        <v>12.730299343725983</v>
      </c>
      <c r="AW177" s="323">
        <f t="shared" si="925"/>
        <v>11.683674522405791</v>
      </c>
      <c r="AX177" s="323">
        <f t="shared" si="925"/>
        <v>11.683674522405791</v>
      </c>
      <c r="AZ177" s="323">
        <f t="shared" ref="AZ177:BB177" si="926">AZ174/AZ176</f>
        <v>11.612694525199299</v>
      </c>
      <c r="BA177" s="323">
        <f t="shared" si="926"/>
        <v>10.685785179378508</v>
      </c>
      <c r="BB177" s="323">
        <f t="shared" si="926"/>
        <v>10.685785179378508</v>
      </c>
      <c r="BD177" s="323">
        <f t="shared" ref="BD177:BF177" si="927">BD174/BD176</f>
        <v>10.76616315817056</v>
      </c>
      <c r="BE177" s="323">
        <f t="shared" si="927"/>
        <v>9.9948804340772242</v>
      </c>
      <c r="BF177" s="323">
        <f t="shared" si="927"/>
        <v>9.9948804340772242</v>
      </c>
      <c r="BH177" s="323">
        <f t="shared" ref="BH177:BJ177" si="928">BH174/BH176</f>
        <v>10.100960034777099</v>
      </c>
      <c r="BI177" s="323">
        <f t="shared" si="928"/>
        <v>9.3412215081981156</v>
      </c>
      <c r="BJ177" s="323">
        <f t="shared" si="928"/>
        <v>9.3412215081981156</v>
      </c>
      <c r="BL177" s="323">
        <f t="shared" ref="BL177:BN177" si="929">BL174/BL176</f>
        <v>9.4611378715378667</v>
      </c>
      <c r="BM177" s="323">
        <f t="shared" si="929"/>
        <v>8.7128774894096672</v>
      </c>
      <c r="BN177" s="323">
        <f t="shared" si="929"/>
        <v>8.7128774894096672</v>
      </c>
      <c r="BP177" s="323">
        <f t="shared" ref="BP177:BR177" si="930">BP174/BP176</f>
        <v>8.7970487191246036</v>
      </c>
      <c r="BQ177" s="323">
        <f t="shared" si="930"/>
        <v>8.0771772698703916</v>
      </c>
      <c r="BR177" s="323">
        <f t="shared" si="930"/>
        <v>8.0771772698703916</v>
      </c>
      <c r="BT177" s="323">
        <f t="shared" ref="BT177:BV177" si="931">BT174/BT176</f>
        <v>8.2153618895487863</v>
      </c>
      <c r="BU177" s="323">
        <f t="shared" si="931"/>
        <v>7.4864039907707269</v>
      </c>
      <c r="BV177" s="323">
        <f t="shared" si="931"/>
        <v>7.4864039907707269</v>
      </c>
      <c r="BX177" s="323">
        <f t="shared" ref="BX177:BZ177" si="932">BX174/BX176</f>
        <v>7.6471194212132376</v>
      </c>
      <c r="BY177" s="323">
        <f t="shared" si="932"/>
        <v>6.9291739209402401</v>
      </c>
      <c r="BZ177" s="323">
        <f t="shared" si="932"/>
        <v>6.9291739209402401</v>
      </c>
    </row>
    <row r="178" spans="1:78" s="262" customFormat="1">
      <c r="A178" s="255"/>
      <c r="B178" s="255" t="s">
        <v>74</v>
      </c>
      <c r="C178" s="262" t="s">
        <v>39</v>
      </c>
      <c r="D178" s="272"/>
      <c r="E178" s="272">
        <f t="shared" ref="E178:F178" si="933">E173/E176</f>
        <v>0.37656865080177088</v>
      </c>
      <c r="F178" s="272">
        <f t="shared" si="933"/>
        <v>0.37656865080177088</v>
      </c>
      <c r="H178" s="272">
        <f t="shared" ref="H178:J178" si="934">H173/H176</f>
        <v>0.38962309363311892</v>
      </c>
      <c r="I178" s="272">
        <f t="shared" si="934"/>
        <v>0.52207194211770713</v>
      </c>
      <c r="J178" s="272">
        <f t="shared" si="934"/>
        <v>0.52207194211770713</v>
      </c>
      <c r="L178" s="272">
        <f t="shared" ref="L178:N178" si="935">L173/L176</f>
        <v>0.70656091579436231</v>
      </c>
      <c r="M178" s="272">
        <f t="shared" si="935"/>
        <v>0.86095271591199918</v>
      </c>
      <c r="N178" s="272">
        <f t="shared" si="935"/>
        <v>0.86095271591199918</v>
      </c>
      <c r="P178" s="272">
        <f t="shared" ref="P178:R178" si="936">P173/P176</f>
        <v>-0.13379882295487019</v>
      </c>
      <c r="Q178" s="272">
        <f t="shared" si="936"/>
        <v>0.44137281055279504</v>
      </c>
      <c r="R178" s="272">
        <f t="shared" si="936"/>
        <v>0.44137281055279504</v>
      </c>
      <c r="T178" s="272">
        <f t="shared" ref="T178:V178" si="937">T173/T176</f>
        <v>0.48584942027751982</v>
      </c>
      <c r="U178" s="272">
        <f t="shared" si="937"/>
        <v>1.8274070366973039</v>
      </c>
      <c r="V178" s="272">
        <f t="shared" si="937"/>
        <v>1.8274070366973039</v>
      </c>
      <c r="X178" s="272">
        <f t="shared" ref="X178:Z178" si="938">X173/X176</f>
        <v>2.1199094036946993</v>
      </c>
      <c r="Y178" s="272">
        <f t="shared" si="938"/>
        <v>1.3006948315157028</v>
      </c>
      <c r="Z178" s="272">
        <f t="shared" si="938"/>
        <v>1.3006948315157028</v>
      </c>
      <c r="AB178" s="272">
        <f t="shared" ref="AB178:AD178" si="939">AB173/AB176</f>
        <v>1.4958500907281256</v>
      </c>
      <c r="AC178" s="272">
        <f t="shared" si="939"/>
        <v>-1.8504690620145883</v>
      </c>
      <c r="AD178" s="272">
        <f t="shared" si="939"/>
        <v>-1.8504690620145883</v>
      </c>
      <c r="AF178" s="272">
        <f>AF173/AF176</f>
        <v>3.4467799310479279</v>
      </c>
      <c r="AG178" s="272">
        <f t="shared" ref="AG178:AH178" si="940">AG173/AG176</f>
        <v>1.4232425579979671</v>
      </c>
      <c r="AH178" s="272">
        <f t="shared" si="940"/>
        <v>1.4232425579979671</v>
      </c>
      <c r="AJ178" s="272">
        <f>AJ173/AJ176</f>
        <v>1.7024535910961682</v>
      </c>
      <c r="AK178" s="272">
        <f t="shared" ref="AK178:AL178" si="941">AK173/AK176</f>
        <v>0.90168905532956412</v>
      </c>
      <c r="AL178" s="272">
        <f t="shared" si="941"/>
        <v>0.90168905532956412</v>
      </c>
      <c r="AN178" s="272">
        <f>AN173/AN176</f>
        <v>1.8220727715716205</v>
      </c>
      <c r="AO178" s="272">
        <f t="shared" ref="AO178:AP178" si="942">AO173/AO176</f>
        <v>1.7361717768454636</v>
      </c>
      <c r="AP178" s="272">
        <f t="shared" si="942"/>
        <v>1.7361717768454636</v>
      </c>
      <c r="AR178" s="272">
        <f t="shared" ref="AR178:AT178" si="943">AR173/AR176</f>
        <v>1.679037548249386</v>
      </c>
      <c r="AS178" s="272">
        <f t="shared" si="943"/>
        <v>1.1145320721632963</v>
      </c>
      <c r="AT178" s="272">
        <f t="shared" si="943"/>
        <v>1.1145320721632963</v>
      </c>
      <c r="AV178" s="272">
        <f t="shared" ref="AV178:AX178" si="944">AV173/AV176</f>
        <v>1.2922691015360066</v>
      </c>
      <c r="AW178" s="272">
        <f t="shared" si="944"/>
        <v>0.72731788648338935</v>
      </c>
      <c r="AX178" s="272">
        <f t="shared" si="944"/>
        <v>0.72731788648338935</v>
      </c>
      <c r="AZ178" s="272">
        <f t="shared" ref="AZ178:BB178" si="945">AZ173/AZ176</f>
        <v>0.98991241753644266</v>
      </c>
      <c r="BA178" s="272">
        <f t="shared" si="945"/>
        <v>0.46427324279250642</v>
      </c>
      <c r="BB178" s="272">
        <f t="shared" si="945"/>
        <v>0.46427324279250592</v>
      </c>
      <c r="BD178" s="272">
        <f t="shared" ref="BD178:BF178" si="946">BD173/BD176</f>
        <v>0.72674983119927694</v>
      </c>
      <c r="BE178" s="272">
        <f t="shared" si="946"/>
        <v>0.19548432977028654</v>
      </c>
      <c r="BF178" s="272">
        <f t="shared" si="946"/>
        <v>0.19548432977028654</v>
      </c>
      <c r="BH178" s="272">
        <f t="shared" ref="BH178:BJ178" si="947">BH173/BH176</f>
        <v>0.47573154745708679</v>
      </c>
      <c r="BI178" s="272">
        <f t="shared" si="947"/>
        <v>-5.3588890584014212E-2</v>
      </c>
      <c r="BJ178" s="272">
        <f t="shared" si="947"/>
        <v>-5.3588890584014212E-2</v>
      </c>
      <c r="BL178" s="272">
        <f t="shared" ref="BL178:BN178" si="948">BL173/BL176</f>
        <v>0.23306079190954332</v>
      </c>
      <c r="BM178" s="272">
        <f t="shared" si="948"/>
        <v>-0.2940006238950858</v>
      </c>
      <c r="BN178" s="272">
        <f t="shared" si="948"/>
        <v>-0.2940006238950858</v>
      </c>
      <c r="BP178" s="272">
        <f t="shared" ref="BP178:BR178" si="949">BP173/BP176</f>
        <v>-5.020673277820438E-2</v>
      </c>
      <c r="BQ178" s="272">
        <f t="shared" si="949"/>
        <v>-0.55760101713194576</v>
      </c>
      <c r="BR178" s="272">
        <f t="shared" si="949"/>
        <v>-0.55760101713194576</v>
      </c>
      <c r="BT178" s="272">
        <f t="shared" ref="BT178:BV178" si="950">BT173/BT176</f>
        <v>-0.26635073852587321</v>
      </c>
      <c r="BU178" s="272">
        <f t="shared" si="950"/>
        <v>-0.79137117665087375</v>
      </c>
      <c r="BV178" s="272">
        <f t="shared" si="950"/>
        <v>-0.79137117665087375</v>
      </c>
      <c r="BX178" s="272">
        <f t="shared" ref="BX178:BZ178" si="951">BX173/BX176</f>
        <v>-0.48400466108307949</v>
      </c>
      <c r="BY178" s="272">
        <f t="shared" si="951"/>
        <v>-1.0059785332592848</v>
      </c>
      <c r="BZ178" s="272">
        <f t="shared" si="951"/>
        <v>-1.0059785332592848</v>
      </c>
    </row>
    <row r="179" spans="1:78" s="262" customFormat="1">
      <c r="A179" s="255"/>
      <c r="B179" s="255" t="s">
        <v>523</v>
      </c>
      <c r="C179" s="262" t="s">
        <v>406</v>
      </c>
      <c r="E179" s="262">
        <f>-(E25+E26)</f>
        <v>7.0480000000000018</v>
      </c>
      <c r="F179" s="262">
        <f>-(F25+F26)</f>
        <v>7.0479999999999912</v>
      </c>
      <c r="H179" s="262">
        <f>-(H25+H26)</f>
        <v>3.4499999999999975</v>
      </c>
      <c r="I179" s="262">
        <f>-(I25+I26)</f>
        <v>3.5580000000000114</v>
      </c>
      <c r="J179" s="262">
        <f>-(J25+J26)</f>
        <v>7.0080000000000089</v>
      </c>
      <c r="L179" s="262">
        <f>-(L25+L26)</f>
        <v>3.772999999999989</v>
      </c>
      <c r="M179" s="262">
        <f>-(M25+M26)</f>
        <v>4.0870000000000273</v>
      </c>
      <c r="N179" s="262">
        <f>-(N25+N26)</f>
        <v>7.8600000000000163</v>
      </c>
      <c r="P179" s="262">
        <f>-(P25+P26)</f>
        <v>5.200000000000025</v>
      </c>
      <c r="Q179" s="262">
        <f>-(Q25+Q26)</f>
        <v>4.2999999999999892</v>
      </c>
      <c r="R179" s="262">
        <f>-(R25+R26)</f>
        <v>9.5000000000000142</v>
      </c>
      <c r="T179" s="262">
        <f>-(T25+T26)</f>
        <v>5.8000000000000256</v>
      </c>
      <c r="U179" s="262">
        <f>-(U25+U26)</f>
        <v>3.199999999999978</v>
      </c>
      <c r="V179" s="262">
        <f>-(V25+V26)</f>
        <v>9.0000000000000036</v>
      </c>
      <c r="X179" s="262">
        <f>-(X25+X26)</f>
        <v>6.0330000000000075</v>
      </c>
      <c r="Y179" s="262">
        <f>-(Y25+Y26)</f>
        <v>5.2989999999999622</v>
      </c>
      <c r="Z179" s="262">
        <f>-(Z25+Z26)</f>
        <v>11.331999999999969</v>
      </c>
      <c r="AB179" s="262">
        <f>-(AB25+AB26)</f>
        <v>5.0949999999999864</v>
      </c>
      <c r="AC179" s="262">
        <f>-(AC25+AC26)</f>
        <v>4.4940000000000264</v>
      </c>
      <c r="AD179" s="262">
        <f>-(AD25+AD26)</f>
        <v>9.5890000000000128</v>
      </c>
      <c r="AF179" s="262">
        <f>-(AF25+AF26)</f>
        <v>15.587000000000014</v>
      </c>
      <c r="AG179" s="262">
        <f>-(AG25+AG26)</f>
        <v>31.826000000000015</v>
      </c>
      <c r="AH179" s="262">
        <f>-(AH25+AH26)</f>
        <v>47.413000000000025</v>
      </c>
      <c r="AJ179" s="262">
        <f>-(AJ25+AJ26)</f>
        <v>30.096000000000007</v>
      </c>
      <c r="AK179" s="262">
        <f>-(AK25+AK26)</f>
        <v>28.839000000000048</v>
      </c>
      <c r="AL179" s="262">
        <f>-(AL25+AL26)</f>
        <v>58.935000000000059</v>
      </c>
      <c r="AN179" s="262">
        <f>-(AN25+AN26)</f>
        <v>28.531000000000063</v>
      </c>
      <c r="AO179" s="262">
        <f>-(AO25+AO26)</f>
        <v>30.797999999999981</v>
      </c>
      <c r="AP179" s="262">
        <f>-(AP25+AP26)</f>
        <v>59.329000000000043</v>
      </c>
      <c r="AR179" s="262">
        <f>-(AR25+AR26)</f>
        <v>30.797999999999959</v>
      </c>
      <c r="AS179" s="262">
        <f>-(AS25+AS26)</f>
        <v>30.797999999999959</v>
      </c>
      <c r="AT179" s="262">
        <f>-(AT25+AT26)</f>
        <v>61.595999999999918</v>
      </c>
      <c r="AV179" s="262">
        <f>-(AV25+AV26)</f>
        <v>30.182039999999962</v>
      </c>
      <c r="AW179" s="262">
        <f>-(AW25+AW26)</f>
        <v>30.182039999999962</v>
      </c>
      <c r="AX179" s="262">
        <f>-(AX25+AX26)</f>
        <v>60.364079999999923</v>
      </c>
      <c r="AZ179" s="262">
        <f>-(AZ25+AZ26)</f>
        <v>29.578399199999961</v>
      </c>
      <c r="BA179" s="262">
        <f>-(BA25+BA26)</f>
        <v>29.578399199999961</v>
      </c>
      <c r="BB179" s="262">
        <f>-(BB25+BB26)</f>
        <v>59.156798399999921</v>
      </c>
      <c r="BD179" s="262">
        <f>-(BD25+BD26)</f>
        <v>29.578399199999961</v>
      </c>
      <c r="BE179" s="262">
        <f>-(BE25+BE26)</f>
        <v>29.578399199999961</v>
      </c>
      <c r="BF179" s="262">
        <f>-(BF25+BF26)</f>
        <v>59.156798399999921</v>
      </c>
      <c r="BH179" s="262">
        <f>-(BH25+BH26)</f>
        <v>29.578399199999961</v>
      </c>
      <c r="BI179" s="262">
        <f>-(BI25+BI26)</f>
        <v>29.578399199999961</v>
      </c>
      <c r="BJ179" s="262">
        <f>-(BJ25+BJ26)</f>
        <v>59.156798399999921</v>
      </c>
      <c r="BL179" s="262">
        <f>-(BL25+BL26)</f>
        <v>29.578399199999961</v>
      </c>
      <c r="BM179" s="262">
        <f>-(BM25+BM26)</f>
        <v>29.578399199999961</v>
      </c>
      <c r="BN179" s="262">
        <f>-(BN25+BN26)</f>
        <v>59.156798399999921</v>
      </c>
      <c r="BP179" s="262">
        <f>-(BP25+BP26)</f>
        <v>29.578399199999961</v>
      </c>
      <c r="BQ179" s="262">
        <f>-(BQ25+BQ26)</f>
        <v>29.578399199999961</v>
      </c>
      <c r="BR179" s="262">
        <f>-(BR25+BR26)</f>
        <v>59.156798399999921</v>
      </c>
      <c r="BT179" s="262">
        <f>-(BT25+BT26)</f>
        <v>29.578399199999961</v>
      </c>
      <c r="BU179" s="262">
        <f>-(BU25+BU26)</f>
        <v>29.578399199999961</v>
      </c>
      <c r="BV179" s="262">
        <f>-(BV25+BV26)</f>
        <v>59.156798399999921</v>
      </c>
      <c r="BX179" s="262">
        <f>-(BX25+BX26)</f>
        <v>29.578399199999961</v>
      </c>
      <c r="BY179" s="262">
        <f>-(BY25+BY26)</f>
        <v>29.578399199999961</v>
      </c>
      <c r="BZ179" s="262">
        <f>-(BZ25+BZ26)</f>
        <v>59.156798399999921</v>
      </c>
    </row>
    <row r="180" spans="1:78" s="256" customFormat="1">
      <c r="A180" s="247"/>
      <c r="B180" s="247" t="s">
        <v>75</v>
      </c>
      <c r="C180" s="256" t="s">
        <v>40</v>
      </c>
      <c r="D180" s="262"/>
      <c r="E180" s="262">
        <f t="shared" ref="E180" si="952">+E175/E179</f>
        <v>6.6739364186029704</v>
      </c>
      <c r="F180" s="262">
        <f t="shared" ref="F180" si="953">+F175/F179</f>
        <v>8.8120966802749887</v>
      </c>
      <c r="H180" s="262">
        <f t="shared" ref="H180" si="954">+H175/H179</f>
        <v>6.8977448506475012</v>
      </c>
      <c r="I180" s="262">
        <f t="shared" ref="I180" si="955">+I175/I179</f>
        <v>12.081159106738562</v>
      </c>
      <c r="J180" s="262">
        <f t="shared" ref="J180" si="956">+J175/J179</f>
        <v>9.1012063634558729</v>
      </c>
      <c r="L180" s="262">
        <f t="shared" ref="L180" si="957">+L175/L179</f>
        <v>6.7939367396305652</v>
      </c>
      <c r="M180" s="262">
        <f t="shared" ref="M180" si="958">+M175/M179</f>
        <v>11.49418547650054</v>
      </c>
      <c r="N180" s="262">
        <f t="shared" ref="N180" si="959">+N175/N179</f>
        <v>8.9920631420254136</v>
      </c>
      <c r="P180" s="262">
        <f t="shared" ref="P180" si="960">+P175/P179</f>
        <v>6.3191426474949335</v>
      </c>
      <c r="Q180" s="262">
        <f t="shared" ref="Q180" si="961">+Q175/Q179</f>
        <v>10.514599955386895</v>
      </c>
      <c r="R180" s="262">
        <f t="shared" ref="R180" si="962">+R175/R179</f>
        <v>8.1892879050668483</v>
      </c>
      <c r="T180" s="262">
        <f t="shared" ref="T180" si="963">+T175/T179</f>
        <v>6.336359826675567</v>
      </c>
      <c r="U180" s="262">
        <f t="shared" ref="U180" si="964">+U175/U179</f>
        <v>13.721144374531066</v>
      </c>
      <c r="V180" s="262">
        <f t="shared" ref="V180" si="965">+V175/V179</f>
        <v>8.9361312514662075</v>
      </c>
      <c r="X180" s="262">
        <f t="shared" ref="X180" si="966">+X175/X179</f>
        <v>8.0985523676957918</v>
      </c>
      <c r="Y180" s="262">
        <f t="shared" ref="Y180" si="967">+Y175/Y179</f>
        <v>10.46734149132233</v>
      </c>
      <c r="Z180" s="262">
        <f t="shared" ref="Z180" si="968">+Z175/Z179</f>
        <v>9.206307898839011</v>
      </c>
      <c r="AB180" s="262">
        <f t="shared" ref="AB180" si="969">+AB175/AB179</f>
        <v>9.4443186823767498</v>
      </c>
      <c r="AC180" s="262">
        <f t="shared" ref="AC180" si="970">+AC175/AC179</f>
        <v>14.728778880036042</v>
      </c>
      <c r="AD180" s="262">
        <f t="shared" ref="AD180" si="971">+AD175/AD179</f>
        <v>11.922401830684716</v>
      </c>
      <c r="AF180" s="262">
        <f>+AF175/AF179</f>
        <v>5.2176444609432906</v>
      </c>
      <c r="AG180" s="262">
        <f t="shared" ref="AG180:AH180" si="972">+AG175/AG179</f>
        <v>4.5948606530127902</v>
      </c>
      <c r="AH180" s="262">
        <f t="shared" si="972"/>
        <v>4.799548519353209</v>
      </c>
      <c r="AJ180" s="262">
        <f>+AJ175/AJ179</f>
        <v>4.3342262280863402</v>
      </c>
      <c r="AK180" s="262">
        <f t="shared" ref="AK180:AL180" si="973">+AK175/AK179</f>
        <v>5.8074599681708499</v>
      </c>
      <c r="AL180" s="262">
        <f t="shared" si="973"/>
        <v>5.0550436115847521</v>
      </c>
      <c r="AN180" s="262">
        <f>+AN175/AN179</f>
        <v>4.9597200250295126</v>
      </c>
      <c r="AO180" s="262">
        <f t="shared" ref="AO180:AP180" si="974">+AO175/AO179</f>
        <v>6.5050056058891261</v>
      </c>
      <c r="AP180" s="262">
        <f t="shared" si="974"/>
        <v>5.763170391254091</v>
      </c>
      <c r="AR180" s="262">
        <f t="shared" ref="AR180" si="975">+AR175/AR179</f>
        <v>5.2466141166827533</v>
      </c>
      <c r="AS180" s="262">
        <f t="shared" ref="AS180" si="976">+AS175/AS179</f>
        <v>6.9609472649976984</v>
      </c>
      <c r="AT180" s="262">
        <f t="shared" ref="AT180" si="977">+AT175/AT179</f>
        <v>6.1045793482309429</v>
      </c>
      <c r="AV180" s="262">
        <f t="shared" ref="AV180" si="978">+AV175/AV179</f>
        <v>5.6762351812190426</v>
      </c>
      <c r="AW180" s="262">
        <f t="shared" ref="AW180" si="979">+AW175/AW179</f>
        <v>7.6370531373912875</v>
      </c>
      <c r="AX180" s="262">
        <f t="shared" ref="AX180" si="980">+AX175/AX179</f>
        <v>6.6575117128572137</v>
      </c>
      <c r="AZ180" s="262">
        <f t="shared" ref="AZ180" si="981">+AZ175/AZ179</f>
        <v>6.1903888388654753</v>
      </c>
      <c r="BA180" s="262">
        <f t="shared" ref="BA180" si="982">+BA175/BA179</f>
        <v>8.3139741878942175</v>
      </c>
      <c r="BB180" s="262">
        <f t="shared" ref="BB180" si="983">+BB175/BB179</f>
        <v>7.2530083551139075</v>
      </c>
      <c r="BD180" s="262">
        <f t="shared" ref="BD180" si="984">+BD175/BD179</f>
        <v>6.4259989713450185</v>
      </c>
      <c r="BE180" s="262">
        <f t="shared" ref="BE180" si="985">+BE175/BE179</f>
        <v>8.6482950589416721</v>
      </c>
      <c r="BF180" s="262">
        <f t="shared" ref="BF180" si="986">+BF175/BF179</f>
        <v>7.5379826101272673</v>
      </c>
      <c r="BH180" s="262">
        <f t="shared" ref="BH180" si="987">+BH175/BH179</f>
        <v>6.6724545420644645</v>
      </c>
      <c r="BI180" s="262">
        <f t="shared" ref="BI180" si="988">+BI175/BI179</f>
        <v>8.9984767568468165</v>
      </c>
      <c r="BJ180" s="262">
        <f t="shared" ref="BJ180" si="989">+BJ175/BJ179</f>
        <v>7.8363063237445632</v>
      </c>
      <c r="BL180" s="262">
        <f t="shared" ref="BL180" si="990">+BL175/BL179</f>
        <v>6.9303988989938778</v>
      </c>
      <c r="BM180" s="262">
        <f t="shared" ref="BM180" si="991">+BM175/BM179</f>
        <v>9.3651774509931407</v>
      </c>
      <c r="BN180" s="262">
        <f t="shared" ref="BN180" si="992">+BN175/BN179</f>
        <v>8.1486342495709643</v>
      </c>
      <c r="BP180" s="262">
        <f t="shared" ref="BP180" si="993">+BP175/BP179</f>
        <v>7.2002721671813106</v>
      </c>
      <c r="BQ180" s="262">
        <f t="shared" ref="BQ180" si="994">+BQ175/BQ179</f>
        <v>9.7493463028461349</v>
      </c>
      <c r="BR180" s="262">
        <f t="shared" ref="BR180" si="995">+BR175/BR179</f>
        <v>8.4756565273674589</v>
      </c>
      <c r="BT180" s="262">
        <f t="shared" ref="BT180:BV180" si="996">+BT175/BT179</f>
        <v>7.483041948668677</v>
      </c>
      <c r="BU180" s="262">
        <f t="shared" si="996"/>
        <v>10.151427822450648</v>
      </c>
      <c r="BV180" s="262">
        <f t="shared" si="996"/>
        <v>8.8180927768933568</v>
      </c>
      <c r="BX180" s="262">
        <f t="shared" ref="BX180:BZ180" si="997">+BX175/BX179</f>
        <v>7.7789573311276135</v>
      </c>
      <c r="BY180" s="262">
        <f t="shared" si="997"/>
        <v>10.572727706156082</v>
      </c>
      <c r="BZ180" s="262">
        <f t="shared" si="997"/>
        <v>9.1767068538228944</v>
      </c>
    </row>
    <row r="181" spans="1:78" s="238" customFormat="1">
      <c r="A181" s="273"/>
      <c r="B181" s="273" t="s">
        <v>76</v>
      </c>
      <c r="C181" s="238" t="s">
        <v>39</v>
      </c>
      <c r="D181" s="272"/>
      <c r="E181" s="272">
        <f>+BS!E104</f>
        <v>4.8057670289599473E-2</v>
      </c>
      <c r="F181" s="272">
        <f>+BS!F104</f>
        <v>4.8057670289599473E-2</v>
      </c>
      <c r="H181" s="272">
        <f>+BS!H104</f>
        <v>7.2311348314901144E-2</v>
      </c>
      <c r="I181" s="272">
        <f>+BS!I104</f>
        <v>9.1642199833353921E-2</v>
      </c>
      <c r="J181" s="272">
        <f>+BS!J104</f>
        <v>9.1642199833353921E-2</v>
      </c>
      <c r="L181" s="272">
        <f>+BS!L104</f>
        <v>0.11511612998200235</v>
      </c>
      <c r="M181" s="272">
        <f>+BS!M104</f>
        <v>0.14893363573987953</v>
      </c>
      <c r="N181" s="272">
        <f>+BS!N104</f>
        <v>0.14893363573987953</v>
      </c>
      <c r="P181" s="272">
        <f>+BS!P104</f>
        <v>-2.3033018593308311E-2</v>
      </c>
      <c r="Q181" s="272">
        <f>+BS!Q104</f>
        <v>6.6541535597664958E-2</v>
      </c>
      <c r="R181" s="272">
        <f>+BS!R104</f>
        <v>6.6541535597664958E-2</v>
      </c>
      <c r="T181" s="272">
        <f>+BS!T104</f>
        <v>7.7336585631110219E-2</v>
      </c>
      <c r="U181" s="272">
        <f>+BS!U104</f>
        <v>0.23109558586045462</v>
      </c>
      <c r="V181" s="272">
        <f>+BS!V104</f>
        <v>0.23109558586045462</v>
      </c>
      <c r="X181" s="272">
        <f>+BS!X104</f>
        <v>0.26151098605184314</v>
      </c>
      <c r="Y181" s="272">
        <f>+BS!Y104</f>
        <v>0.18487510592902823</v>
      </c>
      <c r="Z181" s="272">
        <f>+BS!Z104</f>
        <v>0.18487510592902823</v>
      </c>
      <c r="AB181" s="272">
        <f>+BS!AB104</f>
        <v>0.20141401090080474</v>
      </c>
      <c r="AC181" s="272">
        <f>+BS!AC104</f>
        <v>-0.26906697195191759</v>
      </c>
      <c r="AD181" s="272">
        <f>+BS!AD104</f>
        <v>-0.26906697195191759</v>
      </c>
      <c r="AF181" s="272">
        <f>+BS!AF104</f>
        <v>0.36481754471461347</v>
      </c>
      <c r="AG181" s="272">
        <f>+BS!AG104</f>
        <v>0.17628450408927276</v>
      </c>
      <c r="AH181" s="272">
        <f>+BS!AH104</f>
        <v>0.17628450408927276</v>
      </c>
      <c r="AJ181" s="272">
        <f>+BS!AJ104</f>
        <v>0.30554609107679598</v>
      </c>
      <c r="AK181" s="272">
        <f>+BS!AK104</f>
        <v>0.13312958471558284</v>
      </c>
      <c r="AL181" s="272">
        <f>+BS!AL104</f>
        <v>0.13312958471558284</v>
      </c>
      <c r="AN181" s="272">
        <f>+BS!AN104</f>
        <v>0.29052633261870536</v>
      </c>
      <c r="AO181" s="272">
        <f>+BS!AO104</f>
        <v>0.22250719065200239</v>
      </c>
      <c r="AP181" s="272">
        <f>+BS!AP104</f>
        <v>0.22250719065200239</v>
      </c>
      <c r="AR181" s="272">
        <f>+BS!AR104</f>
        <v>0.22760515482629151</v>
      </c>
      <c r="AS181" s="272">
        <f>+BS!AS104</f>
        <v>0.16431965580153565</v>
      </c>
      <c r="AT181" s="272">
        <f>+BS!AT104</f>
        <v>0.16431965580153565</v>
      </c>
      <c r="AV181" s="272">
        <f>+BS!AV104</f>
        <v>0.19100724225438939</v>
      </c>
      <c r="AW181" s="272">
        <f>+BS!AW104</f>
        <v>0.11779800204201384</v>
      </c>
      <c r="AX181" s="272">
        <f>+BS!AX104</f>
        <v>0.11779800204201384</v>
      </c>
      <c r="AZ181" s="272">
        <f>+BS!AZ104</f>
        <v>0.15880840677674241</v>
      </c>
      <c r="BA181" s="272">
        <f>+BS!BA104</f>
        <v>8.1188994619610003E-2</v>
      </c>
      <c r="BB181" s="272">
        <f>+BS!BB104</f>
        <v>8.1188994619609919E-2</v>
      </c>
      <c r="BD181" s="272">
        <f>+BS!BD104</f>
        <v>0.12437287344709137</v>
      </c>
      <c r="BE181" s="272">
        <f>+BS!BE104</f>
        <v>3.6193527246843271E-2</v>
      </c>
      <c r="BF181" s="272">
        <f>+BS!BF104</f>
        <v>3.6193527246843257E-2</v>
      </c>
      <c r="BH181" s="272">
        <f>+BS!BH104</f>
        <v>8.5782843672088743E-2</v>
      </c>
      <c r="BI181" s="272">
        <f>+BS!BI104</f>
        <v>-1.0489058689109114E-2</v>
      </c>
      <c r="BJ181" s="272">
        <f>+BS!BJ104</f>
        <v>-1.0489058689109114E-2</v>
      </c>
      <c r="BL181" s="272">
        <f>+BS!BL104</f>
        <v>4.4291484064365255E-2</v>
      </c>
      <c r="BM181" s="272">
        <f>+BS!BM104</f>
        <v>-6.0858309579957803E-2</v>
      </c>
      <c r="BN181" s="272">
        <f>+BS!BN104</f>
        <v>-6.0858309579957803E-2</v>
      </c>
      <c r="BP181" s="272">
        <f>+BS!BP104</f>
        <v>-1.0157572312257364E-2</v>
      </c>
      <c r="BQ181" s="272">
        <f>+BS!BQ104</f>
        <v>-0.12296669963200543</v>
      </c>
      <c r="BR181" s="272">
        <f>+BS!BR104</f>
        <v>-0.12296669963200543</v>
      </c>
      <c r="BT181" s="272">
        <f>+BS!BT104</f>
        <v>-5.6724914562397186E-2</v>
      </c>
      <c r="BU181" s="272">
        <f>+BS!BU104</f>
        <v>-0.18521257221788387</v>
      </c>
      <c r="BV181" s="272">
        <f>+BS!BV104</f>
        <v>-0.18521257221788387</v>
      </c>
      <c r="BX181" s="272">
        <f>+BS!BX104</f>
        <v>-0.10873155129379876</v>
      </c>
      <c r="BY181" s="272">
        <f>+BS!BY104</f>
        <v>-0.24934019729006099</v>
      </c>
      <c r="BZ181" s="272">
        <f>+BS!BZ104</f>
        <v>-0.24934019729006099</v>
      </c>
    </row>
    <row r="182" spans="1:78" s="256" customFormat="1">
      <c r="A182" s="247"/>
      <c r="B182" s="247"/>
    </row>
    <row r="183" spans="1:78" s="218" customFormat="1">
      <c r="A183" s="242"/>
      <c r="B183" s="242" t="s">
        <v>77</v>
      </c>
      <c r="AB183" s="218">
        <f>CF!AB96</f>
        <v>-9.5629999999999598</v>
      </c>
      <c r="AC183" s="218">
        <f>CF!AC96</f>
        <v>322.35099999999989</v>
      </c>
      <c r="AD183" s="218">
        <f>CF!AD96</f>
        <v>312.78799999999995</v>
      </c>
      <c r="AF183" s="218">
        <f>CF!AF96</f>
        <v>432.13200000000001</v>
      </c>
      <c r="AG183" s="218">
        <f>CF!AG96</f>
        <v>131.91000000000008</v>
      </c>
      <c r="AH183" s="218">
        <f>CF!AH96</f>
        <v>564.04200000000003</v>
      </c>
      <c r="AJ183" s="218">
        <f>CF!AJ96</f>
        <v>-105.32499999999996</v>
      </c>
      <c r="AK183" s="218">
        <f>CF!AK96</f>
        <v>193.72500000000002</v>
      </c>
      <c r="AL183" s="218">
        <f>CF!AL96</f>
        <v>88.399999999999949</v>
      </c>
      <c r="AN183" s="218">
        <f>CF!AN96</f>
        <v>-43.510000000000062</v>
      </c>
      <c r="AO183" s="218">
        <f>CF!AO96</f>
        <v>98.893999999999835</v>
      </c>
      <c r="AP183" s="218">
        <f>CF!AP96</f>
        <v>55.383999999999745</v>
      </c>
      <c r="AR183" s="218">
        <f>CF!AR96</f>
        <v>-49.587488046269087</v>
      </c>
      <c r="AS183" s="218">
        <f>CF!AS96</f>
        <v>285.66343033420486</v>
      </c>
      <c r="AT183" s="218">
        <f>CF!AT96</f>
        <v>236.07594228793579</v>
      </c>
      <c r="AV183" s="218">
        <f>CF!AV96</f>
        <v>-134.3719227198803</v>
      </c>
      <c r="AW183" s="218">
        <f>CF!AW96</f>
        <v>310.21948172413829</v>
      </c>
      <c r="AX183" s="218">
        <f>CF!AX96</f>
        <v>175.84755900425802</v>
      </c>
      <c r="AZ183" s="218">
        <f>CF!AZ96</f>
        <v>-178.29301116550448</v>
      </c>
      <c r="BA183" s="218">
        <f>CF!BA96</f>
        <v>312.73942157293328</v>
      </c>
      <c r="BB183" s="218">
        <f>CF!BB96</f>
        <v>134.44641040742871</v>
      </c>
      <c r="BD183" s="218">
        <f>CF!BD96</f>
        <v>-189.60214217772278</v>
      </c>
      <c r="BE183" s="218">
        <f>CF!BE96</f>
        <v>345.29503217554725</v>
      </c>
      <c r="BF183" s="218">
        <f>CF!BF96</f>
        <v>155.69288999782452</v>
      </c>
      <c r="BH183" s="218">
        <f>CF!BH96</f>
        <v>-208.58623009798194</v>
      </c>
      <c r="BI183" s="218">
        <f>CF!BI96</f>
        <v>362.98146399455283</v>
      </c>
      <c r="BJ183" s="218">
        <f>CF!BJ96</f>
        <v>154.39523389657094</v>
      </c>
      <c r="BL183" s="218">
        <f>CF!BL96</f>
        <v>-219.86071065030336</v>
      </c>
      <c r="BM183" s="218">
        <f>CF!BM96</f>
        <v>381.37840357835637</v>
      </c>
      <c r="BN183" s="218">
        <f>CF!BN96</f>
        <v>161.51769292805295</v>
      </c>
      <c r="BP183" s="218">
        <f>CF!BP96</f>
        <v>-204.0528132970158</v>
      </c>
      <c r="BQ183" s="218">
        <f>CF!BQ96</f>
        <v>384.91111778985186</v>
      </c>
      <c r="BR183" s="218">
        <f>CF!BR96</f>
        <v>180.85830449283606</v>
      </c>
      <c r="BT183" s="218">
        <f>CF!BT96</f>
        <v>-235.87108992889361</v>
      </c>
      <c r="BU183" s="218">
        <f>CF!BU96</f>
        <v>422.6259945233665</v>
      </c>
      <c r="BV183" s="218">
        <f>CF!BV96</f>
        <v>186.75490459447281</v>
      </c>
      <c r="BX183" s="218">
        <f>CF!BX96</f>
        <v>-258.02385568583821</v>
      </c>
      <c r="BY183" s="218">
        <f>CF!BY96</f>
        <v>443.44941358988171</v>
      </c>
      <c r="BZ183" s="218">
        <f>CF!BZ96</f>
        <v>185.42555790404344</v>
      </c>
    </row>
    <row r="184" spans="1:78" s="218" customFormat="1">
      <c r="A184" s="242"/>
      <c r="B184" s="242" t="s">
        <v>78</v>
      </c>
      <c r="AB184" s="218">
        <f>Y183+AB183</f>
        <v>-9.5629999999999598</v>
      </c>
      <c r="AC184" s="218">
        <f>AB183+AC183</f>
        <v>312.7879999999999</v>
      </c>
      <c r="AD184" s="218">
        <f>AC184</f>
        <v>312.7879999999999</v>
      </c>
      <c r="AF184" s="218">
        <f>AC183+AF183</f>
        <v>754.48299999999995</v>
      </c>
      <c r="AG184" s="218">
        <f>AF183+AG183</f>
        <v>564.04200000000014</v>
      </c>
      <c r="AH184" s="218">
        <f>AG184</f>
        <v>564.04200000000014</v>
      </c>
      <c r="AJ184" s="218">
        <f>AG183+AJ183</f>
        <v>26.585000000000122</v>
      </c>
      <c r="AK184" s="218">
        <f>AJ183+AK183</f>
        <v>88.400000000000063</v>
      </c>
      <c r="AL184" s="218">
        <f>AK184</f>
        <v>88.400000000000063</v>
      </c>
      <c r="AN184" s="218">
        <f>AK183+AN183</f>
        <v>150.21499999999997</v>
      </c>
      <c r="AO184" s="218">
        <f>AN183+AO183</f>
        <v>55.383999999999773</v>
      </c>
      <c r="AP184" s="218">
        <f>AO184</f>
        <v>55.383999999999773</v>
      </c>
      <c r="AR184" s="218">
        <f t="shared" ref="AR184" si="998">AO183+AR183</f>
        <v>49.306511953730748</v>
      </c>
      <c r="AS184" s="218">
        <f t="shared" ref="AS184" si="999">AR183+AS183</f>
        <v>236.07594228793579</v>
      </c>
      <c r="AT184" s="218">
        <f t="shared" ref="AT184" si="1000">AS184</f>
        <v>236.07594228793579</v>
      </c>
      <c r="AV184" s="218">
        <f t="shared" ref="AV184" si="1001">AS183+AV183</f>
        <v>151.29150761432456</v>
      </c>
      <c r="AW184" s="218">
        <f t="shared" ref="AW184" si="1002">AV183+AW183</f>
        <v>175.84755900425799</v>
      </c>
      <c r="AX184" s="218">
        <f t="shared" ref="AX184" si="1003">AW184</f>
        <v>175.84755900425799</v>
      </c>
      <c r="AZ184" s="218">
        <f t="shared" ref="AZ184" si="1004">AW183+AZ183</f>
        <v>131.92647055863381</v>
      </c>
      <c r="BA184" s="218">
        <f t="shared" ref="BA184" si="1005">AZ183+BA183</f>
        <v>134.4464104074288</v>
      </c>
      <c r="BB184" s="218">
        <f t="shared" ref="BB184" si="1006">BA184</f>
        <v>134.4464104074288</v>
      </c>
      <c r="BD184" s="218">
        <f t="shared" ref="BD184" si="1007">BA183+BD183</f>
        <v>123.1372793952105</v>
      </c>
      <c r="BE184" s="218">
        <f t="shared" ref="BE184" si="1008">BD183+BE183</f>
        <v>155.69288999782447</v>
      </c>
      <c r="BF184" s="218">
        <f t="shared" ref="BF184" si="1009">BE184</f>
        <v>155.69288999782447</v>
      </c>
      <c r="BH184" s="218">
        <f t="shared" ref="BH184" si="1010">BE183+BH183</f>
        <v>136.70880207756531</v>
      </c>
      <c r="BI184" s="218">
        <f t="shared" ref="BI184" si="1011">BH183+BI183</f>
        <v>154.39523389657089</v>
      </c>
      <c r="BJ184" s="218">
        <f t="shared" ref="BJ184" si="1012">BI184</f>
        <v>154.39523389657089</v>
      </c>
      <c r="BL184" s="218">
        <f t="shared" ref="BL184" si="1013">BI183+BL183</f>
        <v>143.12075334424947</v>
      </c>
      <c r="BM184" s="218">
        <f t="shared" ref="BM184" si="1014">BL183+BM183</f>
        <v>161.51769292805301</v>
      </c>
      <c r="BN184" s="218">
        <f t="shared" ref="BN184" si="1015">BM184</f>
        <v>161.51769292805301</v>
      </c>
      <c r="BP184" s="218">
        <f t="shared" ref="BP184" si="1016">BM183+BP183</f>
        <v>177.32559028134057</v>
      </c>
      <c r="BQ184" s="218">
        <f t="shared" ref="BQ184" si="1017">BP183+BQ183</f>
        <v>180.85830449283606</v>
      </c>
      <c r="BR184" s="218">
        <f t="shared" ref="BR184" si="1018">BQ184</f>
        <v>180.85830449283606</v>
      </c>
      <c r="BT184" s="218">
        <f t="shared" ref="BT184" si="1019">BQ183+BT183</f>
        <v>149.04002786095825</v>
      </c>
      <c r="BU184" s="218">
        <f t="shared" ref="BU184" si="1020">BT183+BU183</f>
        <v>186.75490459447289</v>
      </c>
      <c r="BV184" s="218">
        <f t="shared" ref="BV184" si="1021">BU184</f>
        <v>186.75490459447289</v>
      </c>
      <c r="BX184" s="218">
        <f t="shared" ref="BX184" si="1022">BU183+BX183</f>
        <v>164.60213883752829</v>
      </c>
      <c r="BY184" s="218">
        <f t="shared" ref="BY184" si="1023">BX183+BY183</f>
        <v>185.4255579040435</v>
      </c>
      <c r="BZ184" s="218">
        <f t="shared" ref="BZ184" si="1024">BY184</f>
        <v>185.4255579040435</v>
      </c>
    </row>
    <row r="185" spans="1:78" s="256" customFormat="1">
      <c r="A185" s="247"/>
      <c r="B185" s="268" t="s">
        <v>79</v>
      </c>
      <c r="D185" s="271"/>
      <c r="E185" s="271"/>
      <c r="F185" s="271"/>
      <c r="H185" s="271"/>
      <c r="I185" s="271"/>
      <c r="J185" s="271"/>
      <c r="L185" s="271"/>
      <c r="M185" s="271"/>
      <c r="N185" s="271"/>
      <c r="P185" s="271"/>
      <c r="Q185" s="271"/>
      <c r="R185" s="271"/>
      <c r="T185" s="271"/>
      <c r="U185" s="271"/>
      <c r="V185" s="271"/>
      <c r="X185" s="271"/>
      <c r="Y185" s="271"/>
      <c r="Z185" s="271"/>
      <c r="AB185" s="271">
        <f>AB184/AB131</f>
        <v>-0.12843299909103012</v>
      </c>
      <c r="AC185" s="271">
        <f>AC184/AC131</f>
        <v>3.3848172095037441</v>
      </c>
      <c r="AD185" s="271">
        <f>AD184/AD131</f>
        <v>3.3848172095037441</v>
      </c>
      <c r="AF185" s="271">
        <f>AF184/AF131</f>
        <v>7.4310957420703785</v>
      </c>
      <c r="AG185" s="271">
        <f>AG184/AG131</f>
        <v>5.2030697301486786</v>
      </c>
      <c r="AH185" s="271">
        <f>AH184/AH131</f>
        <v>5.2030697301486786</v>
      </c>
      <c r="AJ185" s="271">
        <f>AJ184/AJ131</f>
        <v>0.2452363632070009</v>
      </c>
      <c r="AK185" s="271">
        <f>AK184/AK131</f>
        <v>0.764187953306526</v>
      </c>
      <c r="AL185" s="271">
        <f>AL184/AL131</f>
        <v>0.764187953306526</v>
      </c>
      <c r="AN185" s="271">
        <f>AN184/AN131</f>
        <v>1.2884321649964436</v>
      </c>
      <c r="AO185" s="271">
        <f>AO184/AO131</f>
        <v>0.47504261908706019</v>
      </c>
      <c r="AP185" s="271">
        <f>AP184/AP131</f>
        <v>0.47504261908706019</v>
      </c>
      <c r="AR185" s="271">
        <f>AR184/AR131</f>
        <v>0.42392732183143383</v>
      </c>
      <c r="AS185" s="271">
        <f>AS184/AS131</f>
        <v>2.0343237937773821</v>
      </c>
      <c r="AT185" s="271">
        <f>AT184/AT131</f>
        <v>2.0343237937773821</v>
      </c>
      <c r="AV185" s="271">
        <f>AV184/AV131</f>
        <v>1.3065757121043311</v>
      </c>
      <c r="AW185" s="271">
        <f>AW184/AW131</f>
        <v>1.5218127967479933</v>
      </c>
      <c r="AX185" s="271">
        <f>AX184/AX131</f>
        <v>1.5218127967479933</v>
      </c>
      <c r="AZ185" s="271">
        <f>AZ184/AZ131</f>
        <v>1.1440217956286767</v>
      </c>
      <c r="BA185" s="271">
        <f>BA184/BA131</f>
        <v>1.1681153201964392</v>
      </c>
      <c r="BB185" s="271">
        <f>BB184/BB131</f>
        <v>1.1681153201964392</v>
      </c>
      <c r="BD185" s="271">
        <f>BD184/BD131</f>
        <v>1.0718520336491284</v>
      </c>
      <c r="BE185" s="271">
        <f>BE184/BE131</f>
        <v>1.3576342788513731</v>
      </c>
      <c r="BF185" s="271">
        <f>BF184/BF131</f>
        <v>1.3576342788513731</v>
      </c>
      <c r="BH185" s="271">
        <f>BH184/BH131</f>
        <v>1.1941413169122181</v>
      </c>
      <c r="BI185" s="271">
        <f>BI184/BI131</f>
        <v>1.3508321019379643</v>
      </c>
      <c r="BJ185" s="271">
        <f>BJ184/BJ131</f>
        <v>1.3508321019379643</v>
      </c>
      <c r="BL185" s="271">
        <f>BL184/BL131</f>
        <v>1.2541705185418341</v>
      </c>
      <c r="BM185" s="271">
        <f>BM184/BM131</f>
        <v>1.4175108808571353</v>
      </c>
      <c r="BN185" s="271">
        <f>BN184/BN131</f>
        <v>1.4175108808571353</v>
      </c>
      <c r="BP185" s="271">
        <f>BP184/BP131</f>
        <v>1.5585112042387861</v>
      </c>
      <c r="BQ185" s="271">
        <f>BQ184/BQ131</f>
        <v>1.5917602206707839</v>
      </c>
      <c r="BR185" s="271">
        <f>BR184/BR131</f>
        <v>1.5917602206707839</v>
      </c>
      <c r="BT185" s="271">
        <f>BT184/BT131</f>
        <v>1.3134822491818154</v>
      </c>
      <c r="BU185" s="271">
        <f>BU184/BU131</f>
        <v>1.6479585861810233</v>
      </c>
      <c r="BV185" s="271">
        <f>BV184/BV131</f>
        <v>1.6479585861810233</v>
      </c>
      <c r="BX185" s="271">
        <f>BX184/BX131</f>
        <v>1.4542717799014775</v>
      </c>
      <c r="BY185" s="271">
        <f>BY184/BY131</f>
        <v>1.6401693123778125</v>
      </c>
      <c r="BZ185" s="271">
        <f>BZ184/BZ131</f>
        <v>1.6401693123778125</v>
      </c>
    </row>
    <row r="186" spans="1:78" s="256" customFormat="1">
      <c r="A186" s="247"/>
      <c r="B186" s="247" t="s">
        <v>46</v>
      </c>
      <c r="D186" s="238"/>
      <c r="E186" s="238"/>
      <c r="F186" s="238"/>
      <c r="H186" s="238"/>
      <c r="I186" s="238"/>
      <c r="J186" s="238"/>
      <c r="L186" s="238"/>
      <c r="M186" s="238"/>
      <c r="N186" s="238"/>
      <c r="P186" s="238"/>
      <c r="Q186" s="238"/>
      <c r="R186" s="238"/>
      <c r="T186" s="238"/>
      <c r="U186" s="238"/>
      <c r="V186" s="238"/>
      <c r="X186" s="238"/>
      <c r="Y186" s="238"/>
      <c r="Z186" s="238"/>
      <c r="AB186" s="238">
        <f>AB185/AB128</f>
        <v>-5.0907901417456495E-3</v>
      </c>
      <c r="AC186" s="238">
        <f>AC185/AC128</f>
        <v>0.19144893718912581</v>
      </c>
      <c r="AD186" s="238">
        <f>AD185/AD128</f>
        <v>0.19144893718912581</v>
      </c>
      <c r="AF186" s="238">
        <f>AF185/AF128</f>
        <v>0.32983114700711841</v>
      </c>
      <c r="AG186" s="238">
        <f>AG185/AG128</f>
        <v>0.17697516088941084</v>
      </c>
      <c r="AH186" s="238">
        <f>AH185/AH128</f>
        <v>0.17697516088941084</v>
      </c>
      <c r="AJ186" s="238">
        <f>AJ185/AJ128</f>
        <v>8.9176859348000324E-3</v>
      </c>
      <c r="AK186" s="238">
        <f>AK185/AK128</f>
        <v>2.4114482590928556E-2</v>
      </c>
      <c r="AL186" s="238">
        <f>AL185/AL128</f>
        <v>2.4114482590928556E-2</v>
      </c>
      <c r="AN186" s="238">
        <f>AN185/AN128</f>
        <v>4.1295902724244993E-2</v>
      </c>
      <c r="AO186" s="238">
        <f>AO185/AO128</f>
        <v>1.3389025340672498E-2</v>
      </c>
      <c r="AP186" s="238">
        <f>AP185/AP128</f>
        <v>1.3389025340672498E-2</v>
      </c>
      <c r="AR186" s="238">
        <f>AR185/AR128</f>
        <v>1.1126701360405087E-2</v>
      </c>
      <c r="AS186" s="238">
        <f>AS185/AS128</f>
        <v>5.3394325295994277E-2</v>
      </c>
      <c r="AT186" s="238">
        <f>AT185/AT128</f>
        <v>5.3394325295994277E-2</v>
      </c>
      <c r="AV186" s="238">
        <f>AV185/AV128</f>
        <v>3.4293325777016562E-2</v>
      </c>
      <c r="AW186" s="238">
        <f>AW185/AW128</f>
        <v>3.994259309049851E-2</v>
      </c>
      <c r="AX186" s="238">
        <f>AX185/AX128</f>
        <v>3.994259309049851E-2</v>
      </c>
      <c r="AZ186" s="238">
        <f>AZ185/AZ128</f>
        <v>3.0026818782904897E-2</v>
      </c>
      <c r="BA186" s="238">
        <f>BA185/BA128</f>
        <v>3.0659194755812049E-2</v>
      </c>
      <c r="BB186" s="238">
        <f>BB185/BB128</f>
        <v>3.0659194755812049E-2</v>
      </c>
      <c r="BD186" s="238">
        <f>BD185/BD128</f>
        <v>2.8132599308376072E-2</v>
      </c>
      <c r="BE186" s="238">
        <f>BE185/BE128</f>
        <v>3.5633445639143647E-2</v>
      </c>
      <c r="BF186" s="238">
        <f>BF185/BF128</f>
        <v>3.5633445639143647E-2</v>
      </c>
      <c r="BH186" s="238">
        <f>BH185/BH128</f>
        <v>3.1342291782472914E-2</v>
      </c>
      <c r="BI186" s="238">
        <f>BI185/BI128</f>
        <v>3.5454910812020062E-2</v>
      </c>
      <c r="BJ186" s="238">
        <f>BJ185/BJ128</f>
        <v>3.5454910812020062E-2</v>
      </c>
      <c r="BL186" s="238">
        <f>BL185/BL128</f>
        <v>3.2917861379050763E-2</v>
      </c>
      <c r="BM186" s="238">
        <f>BM185/BM128</f>
        <v>3.7205009996250267E-2</v>
      </c>
      <c r="BN186" s="238">
        <f>BN185/BN128</f>
        <v>3.7205009996250267E-2</v>
      </c>
      <c r="BP186" s="238">
        <f>BP185/BP128</f>
        <v>4.0905805885532442E-2</v>
      </c>
      <c r="BQ186" s="238">
        <f>BQ185/BQ128</f>
        <v>4.1778483482172807E-2</v>
      </c>
      <c r="BR186" s="238">
        <f>BR185/BR128</f>
        <v>4.1778483482172807E-2</v>
      </c>
      <c r="BT186" s="238">
        <f>BT185/BT128</f>
        <v>3.4474599716058145E-2</v>
      </c>
      <c r="BU186" s="238">
        <f>BU185/BU128</f>
        <v>4.3253506198976985E-2</v>
      </c>
      <c r="BV186" s="238">
        <f>BV185/BV128</f>
        <v>4.3253506198976985E-2</v>
      </c>
      <c r="BX186" s="238">
        <f>BX185/BX128</f>
        <v>3.8169862989540088E-2</v>
      </c>
      <c r="BY186" s="238">
        <f>BY185/BY128</f>
        <v>4.304906331700295E-2</v>
      </c>
      <c r="BZ186" s="238">
        <f>BZ185/BZ128</f>
        <v>4.304906331700295E-2</v>
      </c>
    </row>
    <row r="187" spans="1:78" s="256" customFormat="1">
      <c r="A187" s="247"/>
      <c r="B187" s="247"/>
    </row>
    <row r="188" spans="1:78" s="256" customFormat="1">
      <c r="A188" s="247"/>
      <c r="B188" s="247" t="s">
        <v>80</v>
      </c>
      <c r="D188" s="218">
        <f>BS!D51-BS!D24</f>
        <v>112.82000000000002</v>
      </c>
      <c r="E188" s="218">
        <f>BS!E51-BS!E24</f>
        <v>104.48900000000012</v>
      </c>
      <c r="F188" s="218">
        <f>BS!F51-BS!F24</f>
        <v>104.48900000000012</v>
      </c>
      <c r="H188" s="218">
        <f>BS!H51-BS!H24</f>
        <v>102.22599999999994</v>
      </c>
      <c r="I188" s="218">
        <f>BS!I51-BS!I24</f>
        <v>81.922000000000025</v>
      </c>
      <c r="J188" s="218">
        <f>BS!J51-BS!J24</f>
        <v>81.922000000000025</v>
      </c>
      <c r="L188" s="218">
        <f>BS!L51-BS!L24</f>
        <v>100.9319999999999</v>
      </c>
      <c r="M188" s="218">
        <f>BS!M51-BS!M24</f>
        <v>90.133000000000038</v>
      </c>
      <c r="N188" s="218">
        <f>BS!N51-BS!N24</f>
        <v>90.133000000000038</v>
      </c>
      <c r="P188" s="218">
        <f>BS!P51-BS!P24</f>
        <v>146.33799999999991</v>
      </c>
      <c r="Q188" s="218">
        <f>BS!Q51-BS!Q24</f>
        <v>82.252000000000066</v>
      </c>
      <c r="R188" s="218">
        <f>BS!R51-BS!R24</f>
        <v>82.252000000000066</v>
      </c>
      <c r="T188" s="218">
        <f>BS!T51-BS!T24</f>
        <v>79.357000000000028</v>
      </c>
      <c r="U188" s="218">
        <f>BS!U51-BS!U24</f>
        <v>107.4219999999998</v>
      </c>
      <c r="V188" s="218">
        <f>BS!V51-BS!V24</f>
        <v>107.4219999999998</v>
      </c>
      <c r="X188" s="218">
        <f>BS!X51-BS!X24</f>
        <v>44.608000000000061</v>
      </c>
      <c r="Y188" s="218">
        <f>BS!Y51-BS!Y24</f>
        <v>128.6099999999999</v>
      </c>
      <c r="Z188" s="218">
        <f>BS!Z51-BS!Z24</f>
        <v>128.6099999999999</v>
      </c>
      <c r="AB188" s="218">
        <f>BS!AB51-BS!AB24</f>
        <v>99.516999999999825</v>
      </c>
      <c r="AC188" s="218">
        <f>BS!AC51-BS!AC24</f>
        <v>375.16700000000003</v>
      </c>
      <c r="AD188" s="218">
        <f>BS!AD51-BS!AD24</f>
        <v>375.16700000000003</v>
      </c>
      <c r="AF188" s="218">
        <f>BS!AF51-BS!AF24</f>
        <v>-605.1220000000003</v>
      </c>
      <c r="AG188" s="218">
        <f>BS!AG51-BS!AG24</f>
        <v>-443.4729999999995</v>
      </c>
      <c r="AH188" s="218">
        <f>BS!AH51-BS!AH24</f>
        <v>-443.4729999999995</v>
      </c>
      <c r="AJ188" s="218">
        <f>BS!AJ51-BS!AJ24</f>
        <v>-519.58800000000042</v>
      </c>
      <c r="AK188" s="218">
        <f>BS!AK51-BS!AK24</f>
        <v>-293.68299999999977</v>
      </c>
      <c r="AL188" s="218">
        <f>BS!AL51-BS!AL24</f>
        <v>-293.68299999999977</v>
      </c>
      <c r="AN188" s="218">
        <f>BS!AN51-BS!AN24</f>
        <v>-598.50599999999986</v>
      </c>
      <c r="AO188" s="218">
        <f>BS!AO51-BS!AO24</f>
        <v>-527.80300000000034</v>
      </c>
      <c r="AP188" s="218">
        <f>BS!AP51-BS!AP24</f>
        <v>-527.80300000000034</v>
      </c>
      <c r="AR188" s="218">
        <f>BS!AR51-BS!AR24</f>
        <v>-484.09168015132582</v>
      </c>
      <c r="AS188" s="218">
        <f>BS!AS51-BS!AS24</f>
        <v>-351.25602100674496</v>
      </c>
      <c r="AT188" s="218">
        <f>BS!AT51-BS!AT24</f>
        <v>-351.25602100674496</v>
      </c>
      <c r="AV188" s="218">
        <f>BS!AV51-BS!AV24</f>
        <v>-316.9805845307219</v>
      </c>
      <c r="AW188" s="218">
        <f>BS!AW51-BS!AW24</f>
        <v>-183.24098577640598</v>
      </c>
      <c r="AX188" s="218">
        <f>BS!AX51-BS!AX24</f>
        <v>-183.24098577640643</v>
      </c>
      <c r="AZ188" s="218">
        <f>BS!AZ51-BS!AZ24</f>
        <v>-156.07581070799688</v>
      </c>
      <c r="BA188" s="218">
        <f>BS!BA51-BS!BA24</f>
        <v>-21.986736004277645</v>
      </c>
      <c r="BB188" s="218">
        <f>BS!BB51-BS!BB24</f>
        <v>-21.986736004277191</v>
      </c>
      <c r="BD188" s="218">
        <f>BS!BD51-BS!BD24</f>
        <v>-4.0654966498582326</v>
      </c>
      <c r="BE188" s="218">
        <f>BS!BE51-BS!BE24</f>
        <v>128.80287499777114</v>
      </c>
      <c r="BF188" s="218">
        <f>BS!BF51-BS!BF24</f>
        <v>128.80287499777069</v>
      </c>
      <c r="BH188" s="218">
        <f>BS!BH51-BS!BH24</f>
        <v>141.7663789661483</v>
      </c>
      <c r="BI188" s="218">
        <f>BS!BI51-BS!BI24</f>
        <v>274.7209769039805</v>
      </c>
      <c r="BJ188" s="218">
        <f>BS!BJ51-BS!BJ24</f>
        <v>274.7209769039805</v>
      </c>
      <c r="BL188" s="218">
        <f>BS!BL51-BS!BL24</f>
        <v>283.57845275191721</v>
      </c>
      <c r="BM188" s="218">
        <f>BS!BM51-BS!BM24</f>
        <v>417.75686219999307</v>
      </c>
      <c r="BN188" s="218">
        <f>BS!BN51-BS!BN24</f>
        <v>417.75686219999307</v>
      </c>
      <c r="BP188" s="218">
        <f>BS!BP51-BS!BP24</f>
        <v>423.21561282072321</v>
      </c>
      <c r="BQ188" s="218">
        <f>BS!BQ51-BS!BQ24</f>
        <v>559.61748049049174</v>
      </c>
      <c r="BR188" s="218">
        <f>BS!BR51-BS!BR24</f>
        <v>559.61748049049152</v>
      </c>
      <c r="BT188" s="218">
        <f>BS!BT51-BS!BT24</f>
        <v>562.26498186369054</v>
      </c>
      <c r="BU188" s="218">
        <f>BS!BU51-BS!BU24</f>
        <v>701.77821455750836</v>
      </c>
      <c r="BV188" s="218">
        <f>BS!BV51-BS!BV24</f>
        <v>701.77821455750814</v>
      </c>
      <c r="BX188" s="218">
        <f>BS!BX51-BS!BX24</f>
        <v>702.10251733136965</v>
      </c>
      <c r="BY188" s="218">
        <f>BS!BY51-BS!BY24</f>
        <v>845.52516544693572</v>
      </c>
      <c r="BZ188" s="218">
        <f>BS!BZ51-BS!BZ24</f>
        <v>845.52516544693549</v>
      </c>
    </row>
    <row r="189" spans="1:78" s="256" customFormat="1">
      <c r="A189" s="247"/>
      <c r="B189" s="247" t="s">
        <v>81</v>
      </c>
      <c r="D189" s="269">
        <f>D188/D131</f>
        <v>1.7830794828936745</v>
      </c>
      <c r="E189" s="269">
        <f>E188/E131</f>
        <v>1.6365664410358391</v>
      </c>
      <c r="F189" s="269">
        <f>F188/F131</f>
        <v>1.6365664410358391</v>
      </c>
      <c r="H189" s="269">
        <f>H188/H131</f>
        <v>1.6011220415673362</v>
      </c>
      <c r="I189" s="269">
        <f>I188/I131</f>
        <v>1.2831091883599028</v>
      </c>
      <c r="J189" s="269">
        <f>J188/J131</f>
        <v>1.2831091883599028</v>
      </c>
      <c r="L189" s="269">
        <f>L188/L131</f>
        <v>1.5808546739525593</v>
      </c>
      <c r="M189" s="269">
        <f>M188/M131</f>
        <v>1.4117145635414559</v>
      </c>
      <c r="N189" s="269">
        <f>N188/N131</f>
        <v>1.4117145635414559</v>
      </c>
      <c r="P189" s="269">
        <f>P188/P131</f>
        <v>1.9949913771406187</v>
      </c>
      <c r="Q189" s="269">
        <f>Q188/Q131</f>
        <v>1.1190325350696277</v>
      </c>
      <c r="R189" s="269">
        <f>R188/R131</f>
        <v>1.1190325350696277</v>
      </c>
      <c r="T189" s="269">
        <f>T188/T131</f>
        <v>1.0753436958052061</v>
      </c>
      <c r="U189" s="269">
        <f>U188/U131</f>
        <v>1.4552127990992829</v>
      </c>
      <c r="V189" s="269">
        <f>V188/V131</f>
        <v>1.4552127990992829</v>
      </c>
      <c r="X189" s="269">
        <f>X188/X131</f>
        <v>0.59973755297532794</v>
      </c>
      <c r="Y189" s="269">
        <f>Y188/Y131</f>
        <v>1.7285475535447528</v>
      </c>
      <c r="Z189" s="269">
        <f>Z188/Z131</f>
        <v>1.7285475535447528</v>
      </c>
      <c r="AB189" s="269">
        <f>AB188/AB131</f>
        <v>1.3365331768840401</v>
      </c>
      <c r="AC189" s="269">
        <f>AC188/AC131</f>
        <v>4.0598479418580373</v>
      </c>
      <c r="AD189" s="269">
        <f>AD188/AD131</f>
        <v>4.0598479418580373</v>
      </c>
      <c r="AF189" s="269">
        <f>AF188/AF131</f>
        <v>-5.9600011102080686</v>
      </c>
      <c r="AG189" s="269">
        <f>AG188/AG131</f>
        <v>-4.0908672447055743</v>
      </c>
      <c r="AH189" s="269">
        <f>AH188/AH131</f>
        <v>-4.0908672447055743</v>
      </c>
      <c r="AJ189" s="269">
        <f>AJ188/AJ131</f>
        <v>-4.792998739364255</v>
      </c>
      <c r="AK189" s="269">
        <f>AK188/AK131</f>
        <v>-2.5387897136981916</v>
      </c>
      <c r="AL189" s="269">
        <f>AL188/AL131</f>
        <v>-2.5387897136981916</v>
      </c>
      <c r="AN189" s="269">
        <f>AN188/AN131</f>
        <v>-5.1335378047689071</v>
      </c>
      <c r="AO189" s="269">
        <f>AO188/AO131</f>
        <v>-4.5271002362055617</v>
      </c>
      <c r="AP189" s="269">
        <f>AP188/AP131</f>
        <v>-4.5271002362055617</v>
      </c>
      <c r="AR189" s="269">
        <f>AR188/AR131</f>
        <v>-4.1621214187693685</v>
      </c>
      <c r="AS189" s="269">
        <f>AS188/AS131</f>
        <v>-3.0268585367756295</v>
      </c>
      <c r="AT189" s="269">
        <f>AT188/AT131</f>
        <v>-3.0268585367756295</v>
      </c>
      <c r="AV189" s="269">
        <f>AV188/AV131</f>
        <v>-2.7374909503331679</v>
      </c>
      <c r="AW189" s="269">
        <f>AW188/AW131</f>
        <v>-1.5857966901690079</v>
      </c>
      <c r="AX189" s="269">
        <f>AX188/AX131</f>
        <v>-1.5857966901690119</v>
      </c>
      <c r="AZ189" s="269">
        <f>AZ188/AZ131</f>
        <v>-1.3534367171674382</v>
      </c>
      <c r="BA189" s="269">
        <f>BA188/BA131</f>
        <v>-0.19102810621630587</v>
      </c>
      <c r="BB189" s="269">
        <f>BB188/BB131</f>
        <v>-0.1910281062163019</v>
      </c>
      <c r="BD189" s="269">
        <f>BD188/BD131</f>
        <v>-3.5388233956009887E-2</v>
      </c>
      <c r="BE189" s="269">
        <f>BE188/BE131</f>
        <v>1.1231546817200584</v>
      </c>
      <c r="BF189" s="269">
        <f>BF188/BF131</f>
        <v>1.1231546817200544</v>
      </c>
      <c r="BH189" s="269">
        <f>BH188/BH131</f>
        <v>1.2383188785200701</v>
      </c>
      <c r="BI189" s="269">
        <f>BI188/BI131</f>
        <v>2.4035840052307282</v>
      </c>
      <c r="BJ189" s="269">
        <f>BJ188/BJ131</f>
        <v>2.4035840052307282</v>
      </c>
      <c r="BL189" s="269">
        <f>BL188/BL131</f>
        <v>2.4850046329738182</v>
      </c>
      <c r="BM189" s="269">
        <f>BM188/BM131</f>
        <v>3.6663159743434761</v>
      </c>
      <c r="BN189" s="269">
        <f>BN188/BN131</f>
        <v>3.6663159743434761</v>
      </c>
      <c r="BP189" s="269">
        <f>BP188/BP131</f>
        <v>3.7196338855739728</v>
      </c>
      <c r="BQ189" s="269">
        <f>BQ188/BQ131</f>
        <v>4.9252747709578228</v>
      </c>
      <c r="BR189" s="269">
        <f>BR188/BR131</f>
        <v>4.9252747709578211</v>
      </c>
      <c r="BT189" s="269">
        <f>BT188/BT131</f>
        <v>4.9552129291298463</v>
      </c>
      <c r="BU189" s="269">
        <f>BU188/BU131</f>
        <v>6.1926161285354624</v>
      </c>
      <c r="BV189" s="269">
        <f>BV188/BV131</f>
        <v>6.1926161285354597</v>
      </c>
      <c r="BX189" s="269">
        <f>BX188/BX131</f>
        <v>6.2031264281482486</v>
      </c>
      <c r="BY189" s="269">
        <f>BY188/BY131</f>
        <v>7.4790360341097033</v>
      </c>
      <c r="BZ189" s="269">
        <f>BZ188/BZ131</f>
        <v>7.4790360341097015</v>
      </c>
    </row>
    <row r="190" spans="1:78" s="256" customFormat="1">
      <c r="A190" s="247"/>
      <c r="B190" s="247" t="s">
        <v>82</v>
      </c>
      <c r="D190" s="257"/>
      <c r="E190" s="257">
        <f>E127/E189</f>
        <v>-1311786794.700006</v>
      </c>
      <c r="F190" s="257">
        <f>F127/F189</f>
        <v>-1311786794.700006</v>
      </c>
      <c r="H190" s="257">
        <f>H127/H189</f>
        <v>-1340826114.6030285</v>
      </c>
      <c r="I190" s="257">
        <f>I127/I189</f>
        <v>-1673143848.9222562</v>
      </c>
      <c r="J190" s="257">
        <f>J127/J189</f>
        <v>-1673143848.9222562</v>
      </c>
      <c r="L190" s="257">
        <f>L127/L189</f>
        <v>8.0732911192208689</v>
      </c>
      <c r="M190" s="257">
        <f>M127/M189</f>
        <v>9.3008178417183469</v>
      </c>
      <c r="N190" s="257">
        <f>N127/N189</f>
        <v>9.3008178417183469</v>
      </c>
      <c r="P190" s="257">
        <f>P127/P189</f>
        <v>6.102081512476599</v>
      </c>
      <c r="Q190" s="257">
        <f>Q127/Q189</f>
        <v>9.1369997561007565</v>
      </c>
      <c r="R190" s="257">
        <f>R127/R189</f>
        <v>9.1369997561007565</v>
      </c>
      <c r="T190" s="257">
        <f>T127/T189</f>
        <v>10.919857572798866</v>
      </c>
      <c r="U190" s="257">
        <f>U127/U189</f>
        <v>9.8931922595176225</v>
      </c>
      <c r="V190" s="257">
        <f>V127/V189</f>
        <v>9.8931922595176225</v>
      </c>
      <c r="X190" s="257">
        <f>X127/X189</f>
        <v>26.438231058464812</v>
      </c>
      <c r="Y190" s="257">
        <f>Y127/Y189</f>
        <v>12.685852902936798</v>
      </c>
      <c r="Z190" s="257">
        <f>Z127/Z189</f>
        <v>12.685852902936798</v>
      </c>
      <c r="AB190" s="257">
        <f>AB127/AB189</f>
        <v>18.876074635735637</v>
      </c>
      <c r="AC190" s="257">
        <f>AC127/AC189</f>
        <v>4.3548429037735188</v>
      </c>
      <c r="AD190" s="257">
        <f>AD127/AD189</f>
        <v>4.3548429037735188</v>
      </c>
      <c r="AF190" s="257">
        <f>AF127/AF189</f>
        <v>-3.7802006381192537</v>
      </c>
      <c r="AG190" s="257">
        <f>AG127/AG189</f>
        <v>-7.1867401803492061</v>
      </c>
      <c r="AH190" s="257">
        <f>AH127/AH189</f>
        <v>-7.1867401803492061</v>
      </c>
      <c r="AJ190" s="257">
        <f>AJ127/AJ189</f>
        <v>-5.7375354126731128</v>
      </c>
      <c r="AK190" s="257">
        <f>AK127/AK189</f>
        <v>-12.48232566447497</v>
      </c>
      <c r="AL190" s="257">
        <f>AL127/AL189</f>
        <v>-12.48232566447497</v>
      </c>
      <c r="AN190" s="257">
        <f>AN127/AN189</f>
        <v>-6.0776799911780346</v>
      </c>
      <c r="AO190" s="257">
        <f>AO127/AO189</f>
        <v>-7.8372463936733912</v>
      </c>
      <c r="AP190" s="257">
        <f>AP127/AP189</f>
        <v>-7.8372463936733912</v>
      </c>
      <c r="AR190" s="257">
        <f>AR127/AR189</f>
        <v>-8.9848219783691459</v>
      </c>
      <c r="AS190" s="257">
        <f>AS127/AS189</f>
        <v>-13.021850608845192</v>
      </c>
      <c r="AT190" s="257">
        <f>AT127/AT189</f>
        <v>-13.021850608845192</v>
      </c>
      <c r="AV190" s="257">
        <f>AV127/AV189</f>
        <v>-15.17584043799812</v>
      </c>
      <c r="AW190" s="257">
        <f>AW127/AW189</f>
        <v>-27.612043416889854</v>
      </c>
      <c r="AX190" s="257">
        <f>AX127/AX189</f>
        <v>-27.612043416889787</v>
      </c>
      <c r="AZ190" s="257">
        <f>AZ127/AZ189</f>
        <v>-34.099554988502568</v>
      </c>
      <c r="BA190" s="257">
        <f>BA127/BA189</f>
        <v>-254.64198212014105</v>
      </c>
      <c r="BB190" s="257">
        <f>BB127/BB189</f>
        <v>-254.64198212014634</v>
      </c>
      <c r="BD190" s="257">
        <f>BD127/BD189</f>
        <v>-1448.8018688392044</v>
      </c>
      <c r="BE190" s="257">
        <f>BE127/BE189</f>
        <v>48.113718886973402</v>
      </c>
      <c r="BF190" s="257">
        <f>BF127/BF189</f>
        <v>48.113718886973572</v>
      </c>
      <c r="BH190" s="257">
        <f>BH127/BH189</f>
        <v>45.995634595001988</v>
      </c>
      <c r="BI190" s="257">
        <f>BI127/BI189</f>
        <v>24.976432985440059</v>
      </c>
      <c r="BJ190" s="257">
        <f>BJ127/BJ189</f>
        <v>24.976432985440059</v>
      </c>
      <c r="BL190" s="257">
        <f>BL127/BL189</f>
        <v>25.46262230372658</v>
      </c>
      <c r="BM190" s="257">
        <f>BM127/BM189</f>
        <v>18.190349799721304</v>
      </c>
      <c r="BN190" s="257">
        <f>BN127/BN189</f>
        <v>18.190349799721304</v>
      </c>
      <c r="BP190" s="257">
        <f>BP127/BP189</f>
        <v>18.897804728823786</v>
      </c>
      <c r="BQ190" s="257">
        <f>BQ127/BQ189</f>
        <v>15.042558167537269</v>
      </c>
      <c r="BR190" s="257">
        <f>BR127/BR189</f>
        <v>15.042558167537276</v>
      </c>
      <c r="BT190" s="257">
        <f>BT127/BT189</f>
        <v>15.759065229018212</v>
      </c>
      <c r="BU190" s="257">
        <f>BU127/BU189</f>
        <v>13.291047975402892</v>
      </c>
      <c r="BV190" s="257">
        <f>BV127/BV189</f>
        <v>13.291047975402897</v>
      </c>
      <c r="BX190" s="257">
        <f>BX127/BX189</f>
        <v>13.985028742776528</v>
      </c>
      <c r="BY190" s="257">
        <f>BY127/BY189</f>
        <v>12.225566189402878</v>
      </c>
      <c r="BZ190" s="257">
        <f>BZ127/BZ189</f>
        <v>12.225566189402882</v>
      </c>
    </row>
    <row r="191" spans="1:78" s="256" customFormat="1">
      <c r="A191" s="247"/>
      <c r="B191" s="247" t="s">
        <v>83</v>
      </c>
      <c r="D191" s="218">
        <f t="shared" ref="D191" si="1025">AVERAGE(A188,D188)</f>
        <v>112.82000000000002</v>
      </c>
      <c r="E191" s="218">
        <f t="shared" ref="E191" si="1026">AVERAGE(D188:E188)</f>
        <v>108.65450000000007</v>
      </c>
      <c r="F191" s="218">
        <f t="shared" ref="F191" si="1027">AVERAGE(D191:E191)</f>
        <v>110.73725000000005</v>
      </c>
      <c r="H191" s="218">
        <f t="shared" ref="H191" si="1028">AVERAGE(E188,H188)</f>
        <v>103.35750000000003</v>
      </c>
      <c r="I191" s="218">
        <f t="shared" ref="I191" si="1029">AVERAGE(H188:I188)</f>
        <v>92.073999999999984</v>
      </c>
      <c r="J191" s="218">
        <f t="shared" ref="J191" si="1030">AVERAGE(H191:I191)</f>
        <v>97.715750000000014</v>
      </c>
      <c r="L191" s="218">
        <f t="shared" ref="L191" si="1031">AVERAGE(I188,L188)</f>
        <v>91.426999999999964</v>
      </c>
      <c r="M191" s="218">
        <f t="shared" ref="M191" si="1032">AVERAGE(L188:M188)</f>
        <v>95.53249999999997</v>
      </c>
      <c r="N191" s="218">
        <f t="shared" ref="N191" si="1033">AVERAGE(L191:M191)</f>
        <v>93.479749999999967</v>
      </c>
      <c r="P191" s="218">
        <f t="shared" ref="P191" si="1034">AVERAGE(M188,P188)</f>
        <v>118.23549999999997</v>
      </c>
      <c r="Q191" s="218">
        <f t="shared" ref="Q191" si="1035">AVERAGE(P188:Q188)</f>
        <v>114.29499999999999</v>
      </c>
      <c r="R191" s="218">
        <f t="shared" ref="R191" si="1036">AVERAGE(P191:Q191)</f>
        <v>116.26524999999998</v>
      </c>
      <c r="T191" s="218">
        <f t="shared" ref="T191" si="1037">AVERAGE(Q188,T188)</f>
        <v>80.804500000000047</v>
      </c>
      <c r="U191" s="218">
        <f t="shared" ref="U191" si="1038">AVERAGE(T188:U188)</f>
        <v>93.389499999999913</v>
      </c>
      <c r="V191" s="218">
        <f t="shared" ref="V191" si="1039">AVERAGE(T191:U191)</f>
        <v>87.09699999999998</v>
      </c>
      <c r="X191" s="218">
        <f t="shared" ref="X191" si="1040">AVERAGE(U188,X188)</f>
        <v>76.01499999999993</v>
      </c>
      <c r="Y191" s="218">
        <f t="shared" ref="Y191" si="1041">AVERAGE(X188:Y188)</f>
        <v>86.60899999999998</v>
      </c>
      <c r="Z191" s="218">
        <f t="shared" ref="Z191" si="1042">AVERAGE(X191:Y191)</f>
        <v>81.311999999999955</v>
      </c>
      <c r="AB191" s="218">
        <f>AVERAGE(Y188,AB188)</f>
        <v>114.06349999999986</v>
      </c>
      <c r="AC191" s="218">
        <f>AVERAGE(AB188:AC188)</f>
        <v>237.34199999999993</v>
      </c>
      <c r="AD191" s="218">
        <f>AVERAGE(AB191:AC191)</f>
        <v>175.7027499999999</v>
      </c>
      <c r="AF191" s="218">
        <f t="shared" ref="AF191" si="1043">AVERAGE(AC188,AF188)</f>
        <v>-114.97750000000013</v>
      </c>
      <c r="AG191" s="218">
        <f>AVERAGE(AF188:AG188)</f>
        <v>-524.2974999999999</v>
      </c>
      <c r="AH191" s="218">
        <f>AVERAGE(AF191:AG191)</f>
        <v>-319.63750000000005</v>
      </c>
      <c r="AJ191" s="218">
        <f t="shared" ref="AJ191" si="1044">AVERAGE(AG188,AJ188)</f>
        <v>-481.53049999999996</v>
      </c>
      <c r="AK191" s="218">
        <f>AVERAGE(AJ188:AK188)</f>
        <v>-406.63550000000009</v>
      </c>
      <c r="AL191" s="218">
        <f>AVERAGE(AJ191:AK191)</f>
        <v>-444.08300000000003</v>
      </c>
      <c r="AN191" s="218">
        <f t="shared" ref="AN191" si="1045">AVERAGE(AK188,AN188)</f>
        <v>-446.09449999999981</v>
      </c>
      <c r="AO191" s="218">
        <f>AVERAGE(AN188:AO188)</f>
        <v>-563.1545000000001</v>
      </c>
      <c r="AP191" s="218">
        <f>AVERAGE(AN191:AO191)</f>
        <v>-504.62449999999995</v>
      </c>
      <c r="AR191" s="218">
        <f t="shared" ref="AR191" si="1046">AVERAGE(AO188,AR188)</f>
        <v>-505.94734007566308</v>
      </c>
      <c r="AS191" s="218">
        <f t="shared" ref="AS191" si="1047">AVERAGE(AR188:AS188)</f>
        <v>-417.67385057903539</v>
      </c>
      <c r="AT191" s="218">
        <f t="shared" ref="AT191" si="1048">AVERAGE(AR191:AS191)</f>
        <v>-461.81059532734923</v>
      </c>
      <c r="AV191" s="218">
        <f t="shared" ref="AV191" si="1049">AVERAGE(AS188,AV188)</f>
        <v>-334.11830276873343</v>
      </c>
      <c r="AW191" s="218">
        <f t="shared" ref="AW191" si="1050">AVERAGE(AV188:AW188)</f>
        <v>-250.11078515356394</v>
      </c>
      <c r="AX191" s="218">
        <f t="shared" ref="AX191" si="1051">AVERAGE(AV191:AW191)</f>
        <v>-292.11454396114868</v>
      </c>
      <c r="AZ191" s="218">
        <f t="shared" ref="AZ191" si="1052">AVERAGE(AW188,AZ188)</f>
        <v>-169.65839824220143</v>
      </c>
      <c r="BA191" s="218">
        <f t="shared" ref="BA191" si="1053">AVERAGE(AZ188:BA188)</f>
        <v>-89.031273356137262</v>
      </c>
      <c r="BB191" s="218">
        <f t="shared" ref="BB191" si="1054">AVERAGE(AZ191:BA191)</f>
        <v>-129.34483579916935</v>
      </c>
      <c r="BD191" s="218">
        <f t="shared" ref="BD191" si="1055">AVERAGE(BA188,BD188)</f>
        <v>-13.026116327067939</v>
      </c>
      <c r="BE191" s="218">
        <f t="shared" ref="BE191" si="1056">AVERAGE(BD188:BE188)</f>
        <v>62.368689173956454</v>
      </c>
      <c r="BF191" s="218">
        <f t="shared" ref="BF191" si="1057">AVERAGE(BD191:BE191)</f>
        <v>24.671286423444258</v>
      </c>
      <c r="BH191" s="218">
        <f t="shared" ref="BH191" si="1058">AVERAGE(BE188,BH188)</f>
        <v>135.28462698195972</v>
      </c>
      <c r="BI191" s="218">
        <f t="shared" ref="BI191" si="1059">AVERAGE(BH188:BI188)</f>
        <v>208.2436779350644</v>
      </c>
      <c r="BJ191" s="218">
        <f t="shared" ref="BJ191" si="1060">AVERAGE(BH191:BI191)</f>
        <v>171.76415245851206</v>
      </c>
      <c r="BL191" s="218">
        <f t="shared" ref="BL191" si="1061">AVERAGE(BI188,BL188)</f>
        <v>279.14971482794886</v>
      </c>
      <c r="BM191" s="218">
        <f t="shared" ref="BM191" si="1062">AVERAGE(BL188:BM188)</f>
        <v>350.66765747595514</v>
      </c>
      <c r="BN191" s="218">
        <f t="shared" ref="BN191" si="1063">AVERAGE(BL191:BM191)</f>
        <v>314.908686151952</v>
      </c>
      <c r="BP191" s="218">
        <f t="shared" ref="BP191" si="1064">AVERAGE(BM188,BP188)</f>
        <v>420.48623751035814</v>
      </c>
      <c r="BQ191" s="218">
        <f t="shared" ref="BQ191" si="1065">AVERAGE(BP188:BQ188)</f>
        <v>491.41654665560748</v>
      </c>
      <c r="BR191" s="218">
        <f t="shared" ref="BR191" si="1066">AVERAGE(BP191:BQ191)</f>
        <v>455.95139208298281</v>
      </c>
      <c r="BT191" s="218">
        <f t="shared" ref="BT191" si="1067">AVERAGE(BQ188,BT188)</f>
        <v>560.94123117709114</v>
      </c>
      <c r="BU191" s="218">
        <f t="shared" ref="BU191" si="1068">AVERAGE(BT188:BU188)</f>
        <v>632.02159821059945</v>
      </c>
      <c r="BV191" s="218">
        <f t="shared" ref="BV191" si="1069">AVERAGE(BT191:BU191)</f>
        <v>596.4814146938453</v>
      </c>
      <c r="BX191" s="218">
        <f t="shared" ref="BX191" si="1070">AVERAGE(BU188,BX188)</f>
        <v>701.94036594443901</v>
      </c>
      <c r="BY191" s="218">
        <f t="shared" ref="BY191" si="1071">AVERAGE(BX188:BY188)</f>
        <v>773.81384138915269</v>
      </c>
      <c r="BZ191" s="218">
        <f t="shared" ref="BZ191" si="1072">AVERAGE(BX191:BY191)</f>
        <v>737.87710366679585</v>
      </c>
    </row>
    <row r="192" spans="1:78" s="256" customFormat="1">
      <c r="A192" s="247"/>
      <c r="B192" s="247" t="s">
        <v>55</v>
      </c>
      <c r="D192" s="238">
        <f>D39/D191/D4</f>
        <v>0.27299854327401002</v>
      </c>
      <c r="E192" s="238">
        <f>E39/E191/E4</f>
        <v>0.5710491046855396</v>
      </c>
      <c r="F192" s="238">
        <f>F39/F191/F4</f>
        <v>0.36843970750583022</v>
      </c>
      <c r="H192" s="238">
        <f>H39/H191/H4</f>
        <v>0.28506718449787538</v>
      </c>
      <c r="I192" s="238">
        <f>I39/I191/I4</f>
        <v>0.63650640362898192</v>
      </c>
      <c r="J192" s="238">
        <f>J39/J191/J4</f>
        <v>0.42036212176644921</v>
      </c>
      <c r="L192" s="238">
        <f>L39/L191/L4</f>
        <v>0.33823522068687778</v>
      </c>
      <c r="M192" s="238">
        <f>M39/M191/M4</f>
        <v>0.66999269722938659</v>
      </c>
      <c r="N192" s="238">
        <f>N39/N191/N4</f>
        <v>0.4856024967974345</v>
      </c>
      <c r="P192" s="238">
        <f>P39/P191/P4</f>
        <v>0.32949324790814544</v>
      </c>
      <c r="Q192" s="238">
        <f>Q39/Q191/Q4</f>
        <v>0.543828500398431</v>
      </c>
      <c r="R192" s="238">
        <f>R39/R191/R4</f>
        <v>0.43120364855363047</v>
      </c>
      <c r="T192" s="238">
        <f>T39/T191/T4</f>
        <v>0.56428586225422817</v>
      </c>
      <c r="U192" s="238">
        <f>U39/U191/U4</f>
        <v>0.60405360063244606</v>
      </c>
      <c r="V192" s="238">
        <f>V39/V191/V4</f>
        <v>0.58526700115962649</v>
      </c>
      <c r="X192" s="238">
        <f>X39/X191/X4</f>
        <v>0.78460558413814285</v>
      </c>
      <c r="Y192" s="238">
        <f>Y39/Y191/Y4</f>
        <v>0.822099498546494</v>
      </c>
      <c r="Z192" s="238">
        <f>Z39/Z191/Z4</f>
        <v>0.803989571035027</v>
      </c>
      <c r="AB192" s="238">
        <f>AB39/AB191/AB4</f>
        <v>0.53105621372991973</v>
      </c>
      <c r="AC192" s="238">
        <f>AC39/AC191/AC4</f>
        <v>0.36359646399087286</v>
      </c>
      <c r="AD192" s="238">
        <f>AD39/AD191/AD4</f>
        <v>0.42138782688375659</v>
      </c>
      <c r="AF192" s="238">
        <f>AF39/AF191/AF4</f>
        <v>-0.80607288004363642</v>
      </c>
      <c r="AG192" s="238">
        <f>AG39/AG191/AG4</f>
        <v>-0.3172610421959256</v>
      </c>
      <c r="AH192" s="238">
        <f>AH39/AH191/AH4</f>
        <v>-0.40391693715537141</v>
      </c>
      <c r="AJ192" s="238">
        <f>AJ39/AJ191/AJ4</f>
        <v>-0.29044008815550693</v>
      </c>
      <c r="AK192" s="238">
        <f>AK39/AK191/AK4</f>
        <v>-0.49794090911750344</v>
      </c>
      <c r="AL192" s="238">
        <f>AL39/AL191/AL4</f>
        <v>-0.38510593740359361</v>
      </c>
      <c r="AN192" s="238">
        <f>AN39/AN191/AN4</f>
        <v>-0.35356998349004526</v>
      </c>
      <c r="AO192" s="238">
        <f>AO39/AO191/AO4</f>
        <v>-0.43236675151837634</v>
      </c>
      <c r="AP192" s="238">
        <f>AP39/AP191/AP4</f>
        <v>-0.39688322703316975</v>
      </c>
      <c r="AR192" s="238">
        <f>AR39/AR191/AR4</f>
        <v>-0.35973597126189572</v>
      </c>
      <c r="AS192" s="238">
        <f>AS39/AS191/AS4</f>
        <v>-0.63667182031538072</v>
      </c>
      <c r="AT192" s="238">
        <f>AT39/AT191/AT4</f>
        <v>-0.48422332803822909</v>
      </c>
      <c r="AV192" s="238">
        <f>AV39/AV191/AV4</f>
        <v>-0.58699879092681151</v>
      </c>
      <c r="AW192" s="238">
        <f>AW39/AW191/AW4</f>
        <v>-1.1589907380254472</v>
      </c>
      <c r="AX192" s="238">
        <f>AX39/AX191/AX4</f>
        <v>-0.8305519070700087</v>
      </c>
      <c r="AZ192" s="238">
        <f>AZ39/AZ191/AZ4</f>
        <v>-1.2590937199690311</v>
      </c>
      <c r="BA192" s="238">
        <f>BA39/BA191/BA4</f>
        <v>-3.5037610526135787</v>
      </c>
      <c r="BB192" s="238">
        <f>BB39/BB191/BB4</f>
        <v>-2.0295468870129953</v>
      </c>
      <c r="BD192" s="238">
        <f>BD39/BD191/BD4</f>
        <v>-17.085416407362587</v>
      </c>
      <c r="BE192" s="238">
        <f>BE39/BE191/BE4</f>
        <v>5.2428578735469706</v>
      </c>
      <c r="BF192" s="238">
        <f>BF39/BF191/BF4</f>
        <v>11.119980274689153</v>
      </c>
      <c r="BH192" s="238">
        <f>BH39/BH191/BH4</f>
        <v>1.7187869258196626</v>
      </c>
      <c r="BI192" s="238">
        <f>BI39/BI191/BI4</f>
        <v>1.6415314273363943</v>
      </c>
      <c r="BJ192" s="238">
        <f>BJ39/BJ191/BJ4</f>
        <v>1.6693399583179853</v>
      </c>
      <c r="BL192" s="238">
        <f>BL39/BL191/BL4</f>
        <v>0.87035899825745677</v>
      </c>
      <c r="BM192" s="238">
        <f>BM39/BM191/BM4</f>
        <v>1.0191664920158061</v>
      </c>
      <c r="BN192" s="238">
        <f>BN39/BN191/BN4</f>
        <v>0.95171824818680983</v>
      </c>
      <c r="BP192" s="238">
        <f>BP39/BP191/BP4</f>
        <v>0.60544232188716496</v>
      </c>
      <c r="BQ192" s="238">
        <f>BQ39/BQ191/BQ4</f>
        <v>0.75829811332568064</v>
      </c>
      <c r="BR192" s="238">
        <f>BR39/BR191/BR4</f>
        <v>0.68710752724628543</v>
      </c>
      <c r="BT192" s="238">
        <f>BT39/BT191/BT4</f>
        <v>0.47299409631432071</v>
      </c>
      <c r="BU192" s="238">
        <f>BU39/BU191/BU4</f>
        <v>0.61822951611193822</v>
      </c>
      <c r="BV192" s="238">
        <f>BV39/BV191/BV4</f>
        <v>0.54907453410988483</v>
      </c>
      <c r="BX192" s="238">
        <f>BX39/BX191/BX4</f>
        <v>0.39504446784679764</v>
      </c>
      <c r="BY192" s="238">
        <f>BY39/BY191/BY4</f>
        <v>0.52803949206557721</v>
      </c>
      <c r="BZ192" s="238">
        <f>BZ39/BZ191/BZ4</f>
        <v>0.46404929105109682</v>
      </c>
    </row>
    <row r="193" spans="1:78" s="256" customFormat="1">
      <c r="A193" s="247"/>
      <c r="B193" s="247"/>
    </row>
    <row r="194" spans="1:78" s="256" customFormat="1">
      <c r="A194" s="247"/>
      <c r="B194" s="247" t="s">
        <v>84</v>
      </c>
      <c r="D194" s="218">
        <f>BS!D62</f>
        <v>279.28399999999999</v>
      </c>
      <c r="E194" s="218">
        <f>BS!E62</f>
        <v>293.87299999999999</v>
      </c>
      <c r="F194" s="218">
        <f>BS!F62</f>
        <v>293.87299999999999</v>
      </c>
      <c r="H194" s="218">
        <f>BS!H62</f>
        <v>289.64699999999999</v>
      </c>
      <c r="I194" s="218">
        <f>BS!I62</f>
        <v>276.714</v>
      </c>
      <c r="J194" s="218">
        <f>BS!J62</f>
        <v>276.714</v>
      </c>
      <c r="L194" s="218">
        <f>BS!L62</f>
        <v>306.66500000000002</v>
      </c>
      <c r="M194" s="218">
        <f>BS!M62</f>
        <v>290.72899999999998</v>
      </c>
      <c r="N194" s="218">
        <f>BS!N62</f>
        <v>290.72899999999998</v>
      </c>
      <c r="P194" s="218">
        <f>BS!P62</f>
        <v>398.90300000000002</v>
      </c>
      <c r="Q194" s="218">
        <f>BS!Q62</f>
        <v>415.10300000000007</v>
      </c>
      <c r="R194" s="218">
        <f>BS!R62</f>
        <v>415.10300000000007</v>
      </c>
      <c r="T194" s="218">
        <f>BS!T62</f>
        <v>413.16300000000001</v>
      </c>
      <c r="U194" s="218">
        <f>BS!U62</f>
        <v>429.27799999999996</v>
      </c>
      <c r="V194" s="218">
        <f>BS!V62</f>
        <v>429.27799999999996</v>
      </c>
      <c r="X194" s="218">
        <f>BS!X62</f>
        <v>431.64799999999997</v>
      </c>
      <c r="Y194" s="218">
        <f>BS!Y62</f>
        <v>478.75399999999996</v>
      </c>
      <c r="Z194" s="218">
        <f>BS!Z62</f>
        <v>478.75399999999996</v>
      </c>
      <c r="AB194" s="218">
        <f>BS!AB62</f>
        <v>478.39800000000002</v>
      </c>
      <c r="AC194" s="218">
        <f>BS!AC62</f>
        <v>854.49400000000003</v>
      </c>
      <c r="AD194" s="218">
        <f>BS!AD62</f>
        <v>854.49400000000003</v>
      </c>
      <c r="AF194" s="218">
        <f>BS!AF62</f>
        <v>1015.3290000000001</v>
      </c>
      <c r="AG194" s="218">
        <f>BS!AG62</f>
        <v>1279.8529999999998</v>
      </c>
      <c r="AH194" s="218">
        <f>BS!AH62</f>
        <v>1279.8529999999998</v>
      </c>
      <c r="AJ194" s="218">
        <f>BS!AJ62</f>
        <v>1252.6790000000001</v>
      </c>
      <c r="AK194" s="218">
        <f>BS!AK62</f>
        <v>1512.3200000000002</v>
      </c>
      <c r="AL194" s="218">
        <f>BS!AL62</f>
        <v>1512.3200000000002</v>
      </c>
      <c r="AN194" s="218">
        <f>BS!AN62</f>
        <v>1529.8789999999999</v>
      </c>
      <c r="AO194" s="218">
        <f>BS!AO62</f>
        <v>1691.769</v>
      </c>
      <c r="AP194" s="218">
        <f>BS!AP62</f>
        <v>1691.769</v>
      </c>
      <c r="AR194" s="218">
        <f>BS!AR62</f>
        <v>1680.1559172486748</v>
      </c>
      <c r="AS194" s="218">
        <f>BS!AS62</f>
        <v>1748.977068993255</v>
      </c>
      <c r="AT194" s="218">
        <f>BS!AT62</f>
        <v>1748.977068993255</v>
      </c>
      <c r="AV194" s="218">
        <f>BS!AV62</f>
        <v>1728.9863158515288</v>
      </c>
      <c r="AW194" s="218">
        <f>BS!AW62</f>
        <v>1806.6324339485943</v>
      </c>
      <c r="AX194" s="218">
        <f>BS!AX62</f>
        <v>1806.6324339485943</v>
      </c>
      <c r="AZ194" s="218">
        <f>BS!AZ62</f>
        <v>1786.6373561411908</v>
      </c>
      <c r="BA194" s="218">
        <f>BS!BA62</f>
        <v>1872.036678273472</v>
      </c>
      <c r="BB194" s="218">
        <f>BS!BB62</f>
        <v>1872.036678273472</v>
      </c>
      <c r="BD194" s="218">
        <f>BS!BD62</f>
        <v>1848.6665339380268</v>
      </c>
      <c r="BE194" s="218">
        <f>BS!BE62</f>
        <v>1938.9614760529246</v>
      </c>
      <c r="BF194" s="218">
        <f>BS!BF62</f>
        <v>1938.961476052925</v>
      </c>
      <c r="BH194" s="218">
        <f>BS!BH62</f>
        <v>1915.475118279712</v>
      </c>
      <c r="BI194" s="218">
        <f>BS!BI62</f>
        <v>2010.9034881089694</v>
      </c>
      <c r="BJ194" s="218">
        <f>BS!BJ62</f>
        <v>2010.9034881089694</v>
      </c>
      <c r="BL194" s="218">
        <f>BS!BL62</f>
        <v>1987.2993331668074</v>
      </c>
      <c r="BM194" s="218">
        <f>BS!BM62</f>
        <v>2088.1107580564308</v>
      </c>
      <c r="BN194" s="218">
        <f>BS!BN62</f>
        <v>2088.1107580564308</v>
      </c>
      <c r="BP194" s="218">
        <f>BS!BP62</f>
        <v>2064.387272665906</v>
      </c>
      <c r="BQ194" s="218">
        <f>BS!BQ62</f>
        <v>2170.843795619257</v>
      </c>
      <c r="BR194" s="218">
        <f>BS!BR62</f>
        <v>2170.843795619257</v>
      </c>
      <c r="BT194" s="218">
        <f>BS!BT62</f>
        <v>2146.9995049985332</v>
      </c>
      <c r="BU194" s="218">
        <f>BS!BU62</f>
        <v>2259.3762110941648</v>
      </c>
      <c r="BV194" s="218">
        <f>BS!BV62</f>
        <v>2259.3762110941648</v>
      </c>
      <c r="BX194" s="218">
        <f>BS!BX62</f>
        <v>2235.4097076863964</v>
      </c>
      <c r="BY194" s="218">
        <f>BS!BY62</f>
        <v>2353.9953824322374</v>
      </c>
      <c r="BZ194" s="218">
        <f>BS!BZ62</f>
        <v>2353.9953824322374</v>
      </c>
    </row>
    <row r="195" spans="1:78" s="256" customFormat="1">
      <c r="A195" s="247"/>
      <c r="B195" s="247" t="s">
        <v>85</v>
      </c>
      <c r="D195" s="269">
        <f>D194/D131</f>
        <v>4.4139830730409226</v>
      </c>
      <c r="E195" s="269">
        <f>E194/E131</f>
        <v>4.6028068957165305</v>
      </c>
      <c r="F195" s="269">
        <f>F194/F131</f>
        <v>4.6028068957165305</v>
      </c>
      <c r="H195" s="269">
        <f>H194/H131</f>
        <v>4.5366168682512713</v>
      </c>
      <c r="I195" s="269">
        <f>I194/I131</f>
        <v>4.3340528301045147</v>
      </c>
      <c r="J195" s="269">
        <f>J194/J131</f>
        <v>4.3340528301045147</v>
      </c>
      <c r="L195" s="269">
        <f>L194/L131</f>
        <v>4.8031625112715695</v>
      </c>
      <c r="M195" s="269">
        <f>M194/M131</f>
        <v>4.5535637706926844</v>
      </c>
      <c r="N195" s="269">
        <f>N194/N131</f>
        <v>4.5535637706926844</v>
      </c>
      <c r="P195" s="269">
        <f>P194/P131</f>
        <v>5.4381503458809384</v>
      </c>
      <c r="Q195" s="269">
        <f>Q194/Q131</f>
        <v>5.6474464135219495</v>
      </c>
      <c r="R195" s="269">
        <f>R194/R131</f>
        <v>5.6474464135219495</v>
      </c>
      <c r="T195" s="269">
        <f>T194/T131</f>
        <v>5.5986520078879769</v>
      </c>
      <c r="U195" s="269">
        <f>U194/U131</f>
        <v>5.8152970524822019</v>
      </c>
      <c r="V195" s="269">
        <f>V194/V131</f>
        <v>5.8152970524822019</v>
      </c>
      <c r="X195" s="269">
        <f>X194/X131</f>
        <v>5.8033427920259593</v>
      </c>
      <c r="Y195" s="269">
        <f>Y194/Y131</f>
        <v>6.4345622848127295</v>
      </c>
      <c r="Z195" s="269">
        <f>Z194/Z131</f>
        <v>6.4345622848127295</v>
      </c>
      <c r="AB195" s="269">
        <f>AB194/AB131</f>
        <v>6.4249806440605344</v>
      </c>
      <c r="AC195" s="269">
        <f>AC194/AC131</f>
        <v>9.2468572855022995</v>
      </c>
      <c r="AD195" s="269">
        <f>AD194/AD131</f>
        <v>9.2468572855022995</v>
      </c>
      <c r="AF195" s="269">
        <f>AF194/AF131</f>
        <v>10.000234609263</v>
      </c>
      <c r="AG195" s="269">
        <f>AG194/AG131</f>
        <v>11.806149902560401</v>
      </c>
      <c r="AH195" s="269">
        <f>AH194/AH131</f>
        <v>11.806149902560401</v>
      </c>
      <c r="AJ195" s="269">
        <f>AJ194/AJ131</f>
        <v>11.555480241707027</v>
      </c>
      <c r="AK195" s="269">
        <f>AK194/AK131</f>
        <v>13.073492370413176</v>
      </c>
      <c r="AL195" s="269">
        <f>AL194/AL131</f>
        <v>13.073492370413176</v>
      </c>
      <c r="AN195" s="269">
        <f>AN194/AN131</f>
        <v>13.122160317894979</v>
      </c>
      <c r="AO195" s="269">
        <f>AO194/AO131</f>
        <v>14.510731919873972</v>
      </c>
      <c r="AP195" s="269">
        <f>AP194/AP131</f>
        <v>14.510731919873972</v>
      </c>
      <c r="AR195" s="269">
        <f>AR194/AR131</f>
        <v>14.445637503761281</v>
      </c>
      <c r="AS195" s="269">
        <f>AS194/AS131</f>
        <v>15.071360646670303</v>
      </c>
      <c r="AT195" s="269">
        <f>AT194/AT131</f>
        <v>15.071360646670303</v>
      </c>
      <c r="AV195" s="269">
        <f>AV194/AV131</f>
        <v>14.931780127481947</v>
      </c>
      <c r="AW195" s="269">
        <f>AW194/AW131</f>
        <v>15.634884968385439</v>
      </c>
      <c r="AX195" s="269">
        <f>AX194/AX131</f>
        <v>15.634884968385439</v>
      </c>
      <c r="AZ195" s="269">
        <f>AZ194/AZ131</f>
        <v>15.493115730716802</v>
      </c>
      <c r="BA195" s="269">
        <f>BA194/BA131</f>
        <v>16.264879941637076</v>
      </c>
      <c r="BB195" s="269">
        <f>BB194/BB131</f>
        <v>16.264879941637076</v>
      </c>
      <c r="BD195" s="269">
        <f>BD194/BD131</f>
        <v>16.091771668764277</v>
      </c>
      <c r="BE195" s="269">
        <f>BE194/BE131</f>
        <v>16.907647904143147</v>
      </c>
      <c r="BF195" s="269">
        <f>BF194/BF131</f>
        <v>16.90764790414315</v>
      </c>
      <c r="BH195" s="269">
        <f>BH194/BH131</f>
        <v>16.731534074575062</v>
      </c>
      <c r="BI195" s="269">
        <f>BI194/BI131</f>
        <v>17.593761912730614</v>
      </c>
      <c r="BJ195" s="269">
        <f>BJ194/BJ131</f>
        <v>17.593761912730614</v>
      </c>
      <c r="BL195" s="269">
        <f>BL194/BL131</f>
        <v>17.414750669881101</v>
      </c>
      <c r="BM195" s="269">
        <f>BM194/BM131</f>
        <v>18.325668639276</v>
      </c>
      <c r="BN195" s="269">
        <f>BN194/BN131</f>
        <v>18.325668639276</v>
      </c>
      <c r="BP195" s="269">
        <f>BP194/BP131</f>
        <v>18.143860055580024</v>
      </c>
      <c r="BQ195" s="269">
        <f>BQ194/BQ131</f>
        <v>19.105911718273266</v>
      </c>
      <c r="BR195" s="269">
        <f>BR194/BR131</f>
        <v>19.105911718273266</v>
      </c>
      <c r="BT195" s="269">
        <f>BT194/BT131</f>
        <v>18.921398360503407</v>
      </c>
      <c r="BU195" s="269">
        <f>BU194/BU131</f>
        <v>19.937138650097715</v>
      </c>
      <c r="BV195" s="269">
        <f>BV194/BV131</f>
        <v>19.937138650097715</v>
      </c>
      <c r="BX195" s="269">
        <f>BX194/BX131</f>
        <v>19.750006150375452</v>
      </c>
      <c r="BY195" s="269">
        <f>BY194/BY131</f>
        <v>20.822107973607636</v>
      </c>
      <c r="BZ195" s="269">
        <f>BZ194/BZ131</f>
        <v>20.822107973607636</v>
      </c>
    </row>
    <row r="196" spans="1:78" s="256" customFormat="1">
      <c r="A196" s="247"/>
      <c r="B196" s="247" t="s">
        <v>86</v>
      </c>
      <c r="D196" s="257"/>
      <c r="E196" s="257">
        <f>E127/E195</f>
        <v>-466416752.7857582</v>
      </c>
      <c r="F196" s="257">
        <f>F127/F195</f>
        <v>-466416752.7857582</v>
      </c>
      <c r="H196" s="257">
        <f>H127/H195</f>
        <v>-473221854.15836906</v>
      </c>
      <c r="I196" s="257">
        <f>I127/I195</f>
        <v>-495339196.39558935</v>
      </c>
      <c r="J196" s="257">
        <f>J127/J195</f>
        <v>-495339196.39558935</v>
      </c>
      <c r="L196" s="257">
        <f>L127/L195</f>
        <v>2.6571451559362824</v>
      </c>
      <c r="M196" s="257">
        <f>M127/M195</f>
        <v>2.88347779040825</v>
      </c>
      <c r="N196" s="257">
        <f>N127/N195</f>
        <v>2.88347779040825</v>
      </c>
      <c r="P196" s="257">
        <f>P127/P195</f>
        <v>2.2385552487015641</v>
      </c>
      <c r="Q196" s="257">
        <f>Q127/Q195</f>
        <v>1.810481986251123</v>
      </c>
      <c r="R196" s="257">
        <f>R127/R195</f>
        <v>1.810481986251123</v>
      </c>
      <c r="T196" s="257">
        <f>T127/T195</f>
        <v>2.0973977277844336</v>
      </c>
      <c r="U196" s="257">
        <f>U127/U195</f>
        <v>2.4756602921694104</v>
      </c>
      <c r="V196" s="257">
        <f>V127/V195</f>
        <v>2.4756602921694104</v>
      </c>
      <c r="X196" s="257">
        <f>X127/X195</f>
        <v>2.7322184072577653</v>
      </c>
      <c r="Y196" s="257">
        <f>Y127/Y195</f>
        <v>3.4078619538357913</v>
      </c>
      <c r="Z196" s="257">
        <f>Z127/Z195</f>
        <v>3.4078619538357913</v>
      </c>
      <c r="AB196" s="257">
        <f>AB127/AB195</f>
        <v>3.9266266153380656</v>
      </c>
      <c r="AC196" s="257">
        <f>AC127/AC195</f>
        <v>1.9120009592577596</v>
      </c>
      <c r="AD196" s="257">
        <f>AD127/AD195</f>
        <v>1.9120009592577596</v>
      </c>
      <c r="AF196" s="257">
        <f>AF127/AF195</f>
        <v>2.2529471437731021</v>
      </c>
      <c r="AG196" s="257">
        <f>AG127/AG195</f>
        <v>2.4902275714476585</v>
      </c>
      <c r="AH196" s="257">
        <f>AH127/AH195</f>
        <v>2.4902275714476585</v>
      </c>
      <c r="AJ196" s="257">
        <f>AJ127/AJ195</f>
        <v>2.3798232029115196</v>
      </c>
      <c r="AK196" s="257">
        <f>AK127/AK195</f>
        <v>2.4239888701597541</v>
      </c>
      <c r="AL196" s="257">
        <f>AL127/AL195</f>
        <v>2.4239888701597541</v>
      </c>
      <c r="AN196" s="257">
        <f>AN127/AN195</f>
        <v>2.3776572793011734</v>
      </c>
      <c r="AO196" s="257">
        <f>AO127/AO195</f>
        <v>2.4450868637030232</v>
      </c>
      <c r="AP196" s="257">
        <f>AP127/AP195</f>
        <v>2.4450868637030232</v>
      </c>
      <c r="AR196" s="257">
        <f>AR127/AR195</f>
        <v>2.5887344875062133</v>
      </c>
      <c r="AS196" s="257">
        <f>AS127/AS195</f>
        <v>2.6152449406555718</v>
      </c>
      <c r="AT196" s="257">
        <f>AT127/AT195</f>
        <v>2.6152449406555718</v>
      </c>
      <c r="AV196" s="257">
        <f>AV127/AV195</f>
        <v>2.7822353067106014</v>
      </c>
      <c r="AW196" s="257">
        <f>AW127/AW195</f>
        <v>2.8006018047364387</v>
      </c>
      <c r="AX196" s="257">
        <f>AX127/AX195</f>
        <v>2.8006018047364387</v>
      </c>
      <c r="AZ196" s="257">
        <f>AZ127/AZ195</f>
        <v>2.9788449633154719</v>
      </c>
      <c r="BA196" s="257">
        <f>BA127/BA195</f>
        <v>2.9907245415966419</v>
      </c>
      <c r="BB196" s="257">
        <f>BB127/BB195</f>
        <v>2.9907245415966419</v>
      </c>
      <c r="BD196" s="257">
        <f>BD127/BD195</f>
        <v>3.1861339164976665</v>
      </c>
      <c r="BE196" s="257">
        <f>BE127/BE195</f>
        <v>3.1961363833241947</v>
      </c>
      <c r="BF196" s="257">
        <f>BF127/BF195</f>
        <v>3.1961363833241938</v>
      </c>
      <c r="BH196" s="257">
        <f>BH127/BH195</f>
        <v>3.4041865135996718</v>
      </c>
      <c r="BI196" s="257">
        <f>BI127/BI195</f>
        <v>3.4121727422082393</v>
      </c>
      <c r="BJ196" s="257">
        <f>BJ127/BJ195</f>
        <v>3.4121727422082393</v>
      </c>
      <c r="BL196" s="257">
        <f>BL127/BL195</f>
        <v>3.6333988118392644</v>
      </c>
      <c r="BM196" s="257">
        <f>BM127/BM195</f>
        <v>3.6392434765888404</v>
      </c>
      <c r="BN196" s="257">
        <f>BN127/BN195</f>
        <v>3.6392434765888404</v>
      </c>
      <c r="BP196" s="257">
        <f>BP127/BP195</f>
        <v>3.8741984680748738</v>
      </c>
      <c r="BQ196" s="257">
        <f>BQ127/BQ195</f>
        <v>3.8777909856234158</v>
      </c>
      <c r="BR196" s="257">
        <f>BR127/BR195</f>
        <v>3.8777909856234158</v>
      </c>
      <c r="BT196" s="257">
        <f>BT127/BT195</f>
        <v>4.1270482385084177</v>
      </c>
      <c r="BU196" s="257">
        <f>BU127/BU195</f>
        <v>4.1282934077009665</v>
      </c>
      <c r="BV196" s="257">
        <f>BV127/BV195</f>
        <v>4.1282934077009665</v>
      </c>
      <c r="BX196" s="257">
        <f>BX127/BX195</f>
        <v>4.3924493355705012</v>
      </c>
      <c r="BY196" s="257">
        <f>BY127/BY195</f>
        <v>4.3912676941178725</v>
      </c>
      <c r="BZ196" s="257">
        <f>BZ127/BZ195</f>
        <v>4.3912676941178725</v>
      </c>
    </row>
    <row r="197" spans="1:78" s="256" customFormat="1">
      <c r="A197" s="247"/>
      <c r="B197" s="247" t="s">
        <v>87</v>
      </c>
      <c r="D197" s="218">
        <f t="shared" ref="D197" si="1073">AVERAGE(A194,D194)</f>
        <v>279.28399999999999</v>
      </c>
      <c r="E197" s="218">
        <f t="shared" ref="E197" si="1074">AVERAGE(D194:E194)</f>
        <v>286.57849999999996</v>
      </c>
      <c r="F197" s="218">
        <f t="shared" ref="F197" si="1075">AVERAGE(F194,B194)</f>
        <v>293.87299999999999</v>
      </c>
      <c r="H197" s="218">
        <f t="shared" ref="H197" si="1076">AVERAGE(E194,H194)</f>
        <v>291.76</v>
      </c>
      <c r="I197" s="218">
        <f t="shared" ref="I197" si="1077">AVERAGE(H194:I194)</f>
        <v>283.18049999999999</v>
      </c>
      <c r="J197" s="218">
        <f t="shared" ref="J197" si="1078">AVERAGE(J194,F194)</f>
        <v>285.29349999999999</v>
      </c>
      <c r="L197" s="218">
        <f t="shared" ref="L197" si="1079">AVERAGE(I194,L194)</f>
        <v>291.68950000000001</v>
      </c>
      <c r="M197" s="218">
        <f t="shared" ref="M197" si="1080">AVERAGE(L194:M194)</f>
        <v>298.697</v>
      </c>
      <c r="N197" s="218">
        <f t="shared" ref="N197" si="1081">AVERAGE(N194,J194)</f>
        <v>283.72149999999999</v>
      </c>
      <c r="P197" s="218">
        <f t="shared" ref="P197" si="1082">AVERAGE(M194,P194)</f>
        <v>344.81600000000003</v>
      </c>
      <c r="Q197" s="218">
        <f t="shared" ref="Q197" si="1083">AVERAGE(P194:Q194)</f>
        <v>407.00300000000004</v>
      </c>
      <c r="R197" s="218">
        <f t="shared" ref="R197" si="1084">AVERAGE(R194,N194)</f>
        <v>352.91600000000005</v>
      </c>
      <c r="T197" s="218">
        <f t="shared" ref="T197" si="1085">AVERAGE(Q194,T194)</f>
        <v>414.13300000000004</v>
      </c>
      <c r="U197" s="218">
        <f t="shared" ref="U197" si="1086">AVERAGE(T194:U194)</f>
        <v>421.22050000000002</v>
      </c>
      <c r="V197" s="218">
        <f t="shared" ref="V197" si="1087">AVERAGE(V194,R194)</f>
        <v>422.19050000000004</v>
      </c>
      <c r="X197" s="218">
        <f t="shared" ref="X197" si="1088">AVERAGE(U194,X194)</f>
        <v>430.46299999999997</v>
      </c>
      <c r="Y197" s="218">
        <f t="shared" ref="Y197" si="1089">AVERAGE(X194:Y194)</f>
        <v>455.20099999999996</v>
      </c>
      <c r="Z197" s="218">
        <f t="shared" ref="Z197" si="1090">AVERAGE(Z194,V194)</f>
        <v>454.01599999999996</v>
      </c>
      <c r="AB197" s="218">
        <f>AVERAGE(Y194,AB194)</f>
        <v>478.57600000000002</v>
      </c>
      <c r="AC197" s="218">
        <f>AVERAGE(AB194:AC194)</f>
        <v>666.44600000000003</v>
      </c>
      <c r="AD197" s="218">
        <f>AVERAGE(AD194,Z194)</f>
        <v>666.62400000000002</v>
      </c>
      <c r="AF197" s="218">
        <f t="shared" ref="AF197" si="1091">AVERAGE(AC194,AF194)</f>
        <v>934.91150000000005</v>
      </c>
      <c r="AG197" s="218">
        <f>AVERAGE(AF194:AG194)</f>
        <v>1147.5909999999999</v>
      </c>
      <c r="AH197" s="218">
        <f>AVERAGE(AH194,AD194)</f>
        <v>1067.1734999999999</v>
      </c>
      <c r="AJ197" s="218">
        <f t="shared" ref="AJ197" si="1092">AVERAGE(AG194,AJ194)</f>
        <v>1266.2660000000001</v>
      </c>
      <c r="AK197" s="218">
        <f>AVERAGE(AJ194:AK194)</f>
        <v>1382.4995000000001</v>
      </c>
      <c r="AL197" s="218">
        <f>AVERAGE(AL194,AH194)</f>
        <v>1396.0864999999999</v>
      </c>
      <c r="AN197" s="218">
        <f t="shared" ref="AN197" si="1093">AVERAGE(AK194,AN194)</f>
        <v>1521.0995</v>
      </c>
      <c r="AO197" s="218">
        <f>AVERAGE(AN194:AO194)</f>
        <v>1610.8240000000001</v>
      </c>
      <c r="AP197" s="218">
        <f>AVERAGE(AP194,AL194)</f>
        <v>1602.0445</v>
      </c>
      <c r="AR197" s="218">
        <f t="shared" ref="AR197" si="1094">AVERAGE(AO194,AR194)</f>
        <v>1685.9624586243374</v>
      </c>
      <c r="AS197" s="218">
        <f t="shared" ref="AS197" si="1095">AVERAGE(AR194:AS194)</f>
        <v>1714.5664931209649</v>
      </c>
      <c r="AT197" s="218">
        <f t="shared" ref="AT197" si="1096">AVERAGE(AT194,AP194)</f>
        <v>1720.3730344966275</v>
      </c>
      <c r="AV197" s="218">
        <f t="shared" ref="AV197" si="1097">AVERAGE(AS194,AV194)</f>
        <v>1738.9816924223919</v>
      </c>
      <c r="AW197" s="218">
        <f t="shared" ref="AW197" si="1098">AVERAGE(AV194:AW194)</f>
        <v>1767.8093749000616</v>
      </c>
      <c r="AX197" s="218">
        <f t="shared" ref="AX197" si="1099">AVERAGE(AX194,AT194)</f>
        <v>1777.8047514709247</v>
      </c>
      <c r="AZ197" s="218">
        <f t="shared" ref="AZ197" si="1100">AVERAGE(AW194,AZ194)</f>
        <v>1796.6348950448926</v>
      </c>
      <c r="BA197" s="218">
        <f t="shared" ref="BA197" si="1101">AVERAGE(AZ194:BA194)</f>
        <v>1829.3370172073314</v>
      </c>
      <c r="BB197" s="218">
        <f t="shared" ref="BB197" si="1102">AVERAGE(BB194,AX194)</f>
        <v>1839.3345561110332</v>
      </c>
      <c r="BD197" s="218">
        <f t="shared" ref="BD197" si="1103">AVERAGE(BA194,BD194)</f>
        <v>1860.3516061057494</v>
      </c>
      <c r="BE197" s="218">
        <f t="shared" ref="BE197" si="1104">AVERAGE(BD194:BE194)</f>
        <v>1893.8140049954757</v>
      </c>
      <c r="BF197" s="218">
        <f t="shared" ref="BF197" si="1105">AVERAGE(BF194,BB194)</f>
        <v>1905.4990771631985</v>
      </c>
      <c r="BH197" s="218">
        <f t="shared" ref="BH197" si="1106">AVERAGE(BE194,BH194)</f>
        <v>1927.2182971663183</v>
      </c>
      <c r="BI197" s="218">
        <f t="shared" ref="BI197" si="1107">AVERAGE(BH194:BI194)</f>
        <v>1963.1893031943407</v>
      </c>
      <c r="BJ197" s="218">
        <f t="shared" ref="BJ197" si="1108">AVERAGE(BJ194,BF194)</f>
        <v>1974.9324820809472</v>
      </c>
      <c r="BL197" s="218">
        <f t="shared" ref="BL197" si="1109">AVERAGE(BI194,BL194)</f>
        <v>1999.1014106378884</v>
      </c>
      <c r="BM197" s="218">
        <f t="shared" ref="BM197" si="1110">AVERAGE(BL194:BM194)</f>
        <v>2037.705045611619</v>
      </c>
      <c r="BN197" s="218">
        <f t="shared" ref="BN197" si="1111">AVERAGE(BN194,BJ194)</f>
        <v>2049.5071230827002</v>
      </c>
      <c r="BP197" s="218">
        <f t="shared" ref="BP197" si="1112">AVERAGE(BM194,BP194)</f>
        <v>2076.2490153611684</v>
      </c>
      <c r="BQ197" s="218">
        <f t="shared" ref="BQ197" si="1113">AVERAGE(BP194:BQ194)</f>
        <v>2117.6155341425815</v>
      </c>
      <c r="BR197" s="218">
        <f t="shared" ref="BR197" si="1114">AVERAGE(BR194,BN194)</f>
        <v>2129.4772768378439</v>
      </c>
      <c r="BT197" s="218">
        <f t="shared" ref="BT197" si="1115">AVERAGE(BQ194,BT194)</f>
        <v>2158.9216503088951</v>
      </c>
      <c r="BU197" s="218">
        <f t="shared" ref="BU197" si="1116">AVERAGE(BT194:BU194)</f>
        <v>2203.187858046349</v>
      </c>
      <c r="BV197" s="218">
        <f t="shared" ref="BV197" si="1117">AVERAGE(BV194,BR194)</f>
        <v>2215.1100033567109</v>
      </c>
      <c r="BX197" s="218">
        <f t="shared" ref="BX197" si="1118">AVERAGE(BU194,BX194)</f>
        <v>2247.3929593902803</v>
      </c>
      <c r="BY197" s="218">
        <f t="shared" ref="BY197" si="1119">AVERAGE(BX194:BY194)</f>
        <v>2294.7025450593169</v>
      </c>
      <c r="BZ197" s="218">
        <f t="shared" ref="BZ197" si="1120">AVERAGE(BZ194,BV194)</f>
        <v>2306.6857967632013</v>
      </c>
    </row>
    <row r="198" spans="1:78" s="256" customFormat="1">
      <c r="A198" s="247"/>
      <c r="B198" s="247" t="s">
        <v>526</v>
      </c>
      <c r="D198" s="238">
        <f>D89/D197/D4</f>
        <v>0.20160240503199764</v>
      </c>
      <c r="E198" s="238">
        <f>E89/E197/E4</f>
        <v>0.1862234130391025</v>
      </c>
      <c r="F198" s="238">
        <f>F89/F197/F4</f>
        <v>0.16777995937020418</v>
      </c>
      <c r="H198" s="238">
        <f>H89/H197/H4</f>
        <v>9.9749105131078653E-2</v>
      </c>
      <c r="I198" s="238">
        <f>I89/I197/I4</f>
        <v>0.18376161911685482</v>
      </c>
      <c r="J198" s="238">
        <f>J89/J197/J4</f>
        <v>0.13192379076284569</v>
      </c>
      <c r="L198" s="238">
        <f>L89/L197/L4</f>
        <v>0.16755588897872878</v>
      </c>
      <c r="M198" s="238">
        <f>M89/M197/M4</f>
        <v>0.19482047967565663</v>
      </c>
      <c r="N198" s="238">
        <f>N89/N197/N4</f>
        <v>0.18172750390788137</v>
      </c>
      <c r="P198" s="238">
        <f>P89/P197/P4</f>
        <v>2.5652228762712639E-2</v>
      </c>
      <c r="Q198" s="238">
        <f>Q89/Q197/Q4</f>
        <v>0.20461392339364431</v>
      </c>
      <c r="R198" s="238">
        <f>R89/R197/R4</f>
        <v>0.12872184882521612</v>
      </c>
      <c r="T198" s="238">
        <f>T89/T197/T4</f>
        <v>3.719055703486996E-2</v>
      </c>
      <c r="U198" s="238">
        <f>U89/U197/U4</f>
        <v>0.17695078160558836</v>
      </c>
      <c r="V198" s="238">
        <f>V89/V197/V4</f>
        <v>0.10612981580589799</v>
      </c>
      <c r="X198" s="238">
        <f>X89/X197/X4</f>
        <v>0.10737301160762291</v>
      </c>
      <c r="Y198" s="238">
        <f>Y89/Y197/Y4</f>
        <v>0.20995897617009243</v>
      </c>
      <c r="Z198" s="238">
        <f>Z89/Z197/Z4</f>
        <v>0.15570816887510588</v>
      </c>
      <c r="AB198" s="238">
        <f>AB89/AB197/AB4</f>
        <v>0.12268773947856909</v>
      </c>
      <c r="AC198" s="238">
        <f>AC89/AC197/AC4</f>
        <v>0.15257090857943542</v>
      </c>
      <c r="AD198" s="238">
        <f>AD89/AD197/AD4</f>
        <v>0.12129326276881706</v>
      </c>
      <c r="AF198" s="238">
        <f>AF89/AF197/AF4</f>
        <v>4.8079998457886252E-3</v>
      </c>
      <c r="AG198" s="238">
        <f>AG89/AG197/AG4</f>
        <v>0.11064713119369333</v>
      </c>
      <c r="AH198" s="238">
        <f>AH89/AH197/AH4</f>
        <v>6.1033187199644741E-2</v>
      </c>
      <c r="AJ198" s="238">
        <f>AJ89/AJ197/AJ4</f>
        <v>8.3620180360483451E-2</v>
      </c>
      <c r="AK198" s="238">
        <f>AK89/AK197/AK4</f>
        <v>0.12192779880146136</v>
      </c>
      <c r="AL198" s="238">
        <f>AL89/AL197/AL4</f>
        <v>9.8185893209339167E-2</v>
      </c>
      <c r="AN198" s="238">
        <f>AN89/AN197/AN4</f>
        <v>3.4617854444733191E-2</v>
      </c>
      <c r="AO198" s="238">
        <f>AO89/AO197/AO4</f>
        <v>0.19222146227730705</v>
      </c>
      <c r="AP198" s="238">
        <f>AP89/AP197/AP4</f>
        <v>0.11241260776464063</v>
      </c>
      <c r="AR198" s="238">
        <f>AR89/AR197/AR4</f>
        <v>8.9129106396188845E-2</v>
      </c>
      <c r="AS198" s="238">
        <f>AS89/AS197/AS4</f>
        <v>0.13627699964601975</v>
      </c>
      <c r="AT198" s="238">
        <f>AT89/AT197/AT4</f>
        <v>0.11138250806679947</v>
      </c>
      <c r="AV198" s="238">
        <f>AV89/AV197/AV4</f>
        <v>9.4531132807954291E-2</v>
      </c>
      <c r="AW198" s="238">
        <f>AW89/AW197/AW4</f>
        <v>0.1457232288507638</v>
      </c>
      <c r="AX198" s="238">
        <f>AX89/AX197/AX4</f>
        <v>0.11846986649999539</v>
      </c>
      <c r="AZ198" s="238">
        <f>AZ89/AZ197/AZ4</f>
        <v>0.10118346098676693</v>
      </c>
      <c r="BA198" s="238">
        <f>BA89/BA197/BA4</f>
        <v>0.15293435886466539</v>
      </c>
      <c r="BB198" s="238">
        <f>BB89/BB197/BB4</f>
        <v>0.12532326328647311</v>
      </c>
      <c r="BD198" s="238">
        <f>BD89/BD197/BD4</f>
        <v>0.10257065952352604</v>
      </c>
      <c r="BE198" s="238">
        <f>BE89/BE197/BE4</f>
        <v>0.15562509251219717</v>
      </c>
      <c r="BF198" s="238">
        <f>BF89/BF197/BF4</f>
        <v>0.12718149343881871</v>
      </c>
      <c r="BH198" s="238">
        <f>BH89/BH197/BH4</f>
        <v>0.10418452231458443</v>
      </c>
      <c r="BI198" s="238">
        <f>BI89/BI197/BI4</f>
        <v>0.15768899514715598</v>
      </c>
      <c r="BJ198" s="238">
        <f>BJ89/BJ197/BJ4</f>
        <v>0.12898302368150313</v>
      </c>
      <c r="BL198" s="238">
        <f>BL89/BL197/BL4</f>
        <v>0.105658139503452</v>
      </c>
      <c r="BM198" s="238">
        <f>BM89/BM197/BM4</f>
        <v>0.15955377529401837</v>
      </c>
      <c r="BN198" s="238">
        <f>BN89/BN197/BN4</f>
        <v>0.13061888885786685</v>
      </c>
      <c r="BP198" s="238">
        <f>BP89/BP197/BP4</f>
        <v>0.10728678272947853</v>
      </c>
      <c r="BQ198" s="238">
        <f>BQ89/BQ197/BQ4</f>
        <v>0.16077725655143424</v>
      </c>
      <c r="BR198" s="238">
        <f>BR89/BR197/BR4</f>
        <v>0.13209233863079134</v>
      </c>
      <c r="BT198" s="238">
        <f>BT89/BT197/BT4</f>
        <v>0.10819418122832175</v>
      </c>
      <c r="BU198" s="238">
        <f>BU89/BU197/BU4</f>
        <v>0.16270478804369198</v>
      </c>
      <c r="BV198" s="238">
        <f>BV89/BV197/BV4</f>
        <v>0.13340771087233455</v>
      </c>
      <c r="BX198" s="238">
        <f>BX89/BX197/BX4</f>
        <v>0.10926372571557087</v>
      </c>
      <c r="BY198" s="238">
        <f>BY89/BY197/BY4</f>
        <v>0.16400342397343151</v>
      </c>
      <c r="BZ198" s="238">
        <f>BZ89/BZ197/BZ4</f>
        <v>0.13457027709408459</v>
      </c>
    </row>
    <row r="199" spans="1:78" s="256" customFormat="1">
      <c r="A199" s="247"/>
      <c r="B199" s="247" t="s">
        <v>558</v>
      </c>
      <c r="D199" s="238">
        <f>D39/D197/D4</f>
        <v>0.11028091710292684</v>
      </c>
      <c r="E199" s="238">
        <f>E39/E197/E4</f>
        <v>0.21650980427720501</v>
      </c>
      <c r="F199" s="238">
        <f>F39/F197/F4</f>
        <v>0.13883548335505477</v>
      </c>
      <c r="H199" s="238">
        <f>H39/H197/H4</f>
        <v>0.10098653524040022</v>
      </c>
      <c r="I199" s="238">
        <f>I39/I197/I4</f>
        <v>0.2069552480051941</v>
      </c>
      <c r="J199" s="238">
        <f>J39/J197/J4</f>
        <v>0.14397804366380557</v>
      </c>
      <c r="L199" s="238">
        <f>L39/L197/L4</f>
        <v>0.10601626565830845</v>
      </c>
      <c r="M199" s="238">
        <f>M39/M197/M4</f>
        <v>0.21428429930018164</v>
      </c>
      <c r="N199" s="238">
        <f>N39/N197/N4</f>
        <v>0.15999492460035622</v>
      </c>
      <c r="P199" s="238">
        <f>P39/P197/P4</f>
        <v>0.11298141302330379</v>
      </c>
      <c r="Q199" s="238">
        <f>Q39/Q197/Q4</f>
        <v>0.15271847738969654</v>
      </c>
      <c r="R199" s="238">
        <f>R39/R197/R4</f>
        <v>0.14205646669462413</v>
      </c>
      <c r="T199" s="238">
        <f>T39/T197/T4</f>
        <v>0.11010191642907424</v>
      </c>
      <c r="U199" s="238">
        <f>U39/U197/U4</f>
        <v>0.13392573185840614</v>
      </c>
      <c r="V199" s="238">
        <f>V39/V197/V4</f>
        <v>0.12073933449473633</v>
      </c>
      <c r="X199" s="238">
        <f>X39/X197/X4</f>
        <v>0.1385526595276734</v>
      </c>
      <c r="Y199" s="238">
        <f>Y39/Y197/Y4</f>
        <v>0.15641708930695078</v>
      </c>
      <c r="Z199" s="238">
        <f>Z39/Z197/Z4</f>
        <v>0.14399052015788008</v>
      </c>
      <c r="AB199" s="238">
        <f>AB39/AB197/AB4</f>
        <v>0.12657160082156779</v>
      </c>
      <c r="AC199" s="238">
        <f>AC39/AC197/AC4</f>
        <v>0.1294879284390959</v>
      </c>
      <c r="AD199" s="238">
        <f>AD39/AD197/AD4</f>
        <v>0.1110656081989246</v>
      </c>
      <c r="AF199" s="238">
        <f>AF39/AF197/AF4</f>
        <v>9.9132639362353892E-2</v>
      </c>
      <c r="AG199" s="238">
        <f>AG39/AG197/AG4</f>
        <v>0.14494638880116545</v>
      </c>
      <c r="AH199" s="238">
        <f>AH39/AH197/AH4</f>
        <v>0.12098032794105183</v>
      </c>
      <c r="AJ199" s="238">
        <f>AJ39/AJ197/AJ4</f>
        <v>0.11044737904165895</v>
      </c>
      <c r="AK199" s="238">
        <f>AK39/AK197/AK4</f>
        <v>0.14645969170292691</v>
      </c>
      <c r="AL199" s="238">
        <f>AL39/AL197/AL4</f>
        <v>0.12249885662528796</v>
      </c>
      <c r="AN199" s="238">
        <f>AN39/AN197/AN4</f>
        <v>0.10369185250537517</v>
      </c>
      <c r="AO199" s="238">
        <f>AO39/AO197/AO4</f>
        <v>0.1511582157752526</v>
      </c>
      <c r="AP199" s="238">
        <f>AP39/AP197/AP4</f>
        <v>0.12501338133865805</v>
      </c>
      <c r="AR199" s="238">
        <f>AR39/AR197/AR4</f>
        <v>0.10795463259484464</v>
      </c>
      <c r="AS199" s="238">
        <f>AS39/AS197/AS4</f>
        <v>0.15509528024325372</v>
      </c>
      <c r="AT199" s="238">
        <f>AT39/AT197/AT4</f>
        <v>0.12998312511806767</v>
      </c>
      <c r="AV199" s="238">
        <f>AV39/AV197/AV4</f>
        <v>0.11278269380660412</v>
      </c>
      <c r="AW199" s="238">
        <f>AW39/AW197/AW4</f>
        <v>0.16397474048333999</v>
      </c>
      <c r="AX199" s="238">
        <f>AX39/AX197/AX4</f>
        <v>0.136469593395496</v>
      </c>
      <c r="AZ199" s="238">
        <f>AZ39/AZ197/AZ4</f>
        <v>0.11889773729538028</v>
      </c>
      <c r="BA199" s="238">
        <f>BA39/BA197/BA4</f>
        <v>0.17052314861372095</v>
      </c>
      <c r="BB199" s="238">
        <f>BB39/BB197/BB4</f>
        <v>0.14272085954957964</v>
      </c>
      <c r="BD199" s="238">
        <f>BD39/BD197/BD4</f>
        <v>0.11963148304237779</v>
      </c>
      <c r="BE199" s="238">
        <f>BE39/BE197/BE4</f>
        <v>0.17266224256233781</v>
      </c>
      <c r="BF199" s="238">
        <f>BF39/BF197/BF4</f>
        <v>0.14397499409358672</v>
      </c>
      <c r="BH199" s="238">
        <f>BH39/BH197/BH4</f>
        <v>0.1206534041643729</v>
      </c>
      <c r="BI199" s="238">
        <f>BI39/BI197/BI4</f>
        <v>0.17412408539426891</v>
      </c>
      <c r="BJ199" s="238">
        <f>BJ39/BJ197/BJ4</f>
        <v>0.14518610925042458</v>
      </c>
      <c r="BL199" s="238">
        <f>BL39/BL197/BL4</f>
        <v>0.12153483803704718</v>
      </c>
      <c r="BM199" s="238">
        <f>BM39/BM197/BM4</f>
        <v>0.17538785954465694</v>
      </c>
      <c r="BN199" s="238">
        <f>BN39/BN197/BN4</f>
        <v>0.14623239887673822</v>
      </c>
      <c r="BP199" s="238">
        <f>BP39/BP197/BP4</f>
        <v>0.12261542911103286</v>
      </c>
      <c r="BQ199" s="238">
        <f>BQ39/BQ197/BQ4</f>
        <v>0.17597162193884727</v>
      </c>
      <c r="BR199" s="238">
        <f>BR39/BR197/BR4</f>
        <v>0.14711950062404738</v>
      </c>
      <c r="BT199" s="238">
        <f>BT39/BT197/BT4</f>
        <v>0.12289556255461558</v>
      </c>
      <c r="BU199" s="238">
        <f>BU39/BU197/BU4</f>
        <v>0.17734956436284641</v>
      </c>
      <c r="BV199" s="238">
        <f>BV39/BV197/BV4</f>
        <v>0.14785394602612292</v>
      </c>
      <c r="BX199" s="238">
        <f>BX39/BX197/BX4</f>
        <v>0.12338636960041843</v>
      </c>
      <c r="BY199" s="238">
        <f>BY39/BY197/BY4</f>
        <v>0.17806415417117996</v>
      </c>
      <c r="BZ199" s="238">
        <f>BZ39/BZ197/BZ4</f>
        <v>0.14844299441210995</v>
      </c>
    </row>
    <row r="200" spans="1:78" s="256" customFormat="1">
      <c r="A200" s="247"/>
      <c r="B200" s="247" t="s">
        <v>559</v>
      </c>
      <c r="D200" s="238"/>
      <c r="E200" s="238"/>
      <c r="F200" s="238"/>
      <c r="H200" s="238"/>
      <c r="I200" s="238"/>
      <c r="J200" s="238"/>
      <c r="L200" s="238"/>
      <c r="M200" s="238"/>
      <c r="N200" s="238"/>
      <c r="P200" s="238"/>
      <c r="Q200" s="238"/>
      <c r="R200" s="238"/>
      <c r="T200" s="238"/>
      <c r="U200" s="238"/>
      <c r="V200" s="238"/>
      <c r="X200" s="238"/>
      <c r="Y200" s="238"/>
      <c r="Z200" s="238"/>
      <c r="AB200" s="238"/>
      <c r="AC200" s="238"/>
      <c r="AD200" s="238"/>
      <c r="AF200" s="238"/>
      <c r="AG200" s="238"/>
      <c r="AH200" s="238"/>
      <c r="AJ200" s="238"/>
      <c r="AK200" s="238"/>
      <c r="AL200" s="238"/>
      <c r="AN200" s="238"/>
      <c r="AO200" s="238"/>
      <c r="AP200" s="238"/>
      <c r="AR200" s="238"/>
      <c r="AS200" s="238"/>
      <c r="AT200" s="238"/>
      <c r="AV200" s="238"/>
      <c r="AW200" s="238"/>
      <c r="AX200" s="238"/>
      <c r="AZ200" s="238"/>
      <c r="BA200" s="238"/>
      <c r="BB200" s="238"/>
      <c r="BD200" s="238"/>
      <c r="BE200" s="238"/>
      <c r="BF200" s="238"/>
      <c r="BH200" s="238"/>
      <c r="BI200" s="238"/>
      <c r="BJ200" s="238"/>
      <c r="BL200" s="238"/>
      <c r="BM200" s="238"/>
      <c r="BN200" s="238"/>
      <c r="BP200" s="238"/>
      <c r="BQ200" s="238"/>
      <c r="BR200" s="238"/>
      <c r="BT200" s="238"/>
      <c r="BU200" s="238"/>
      <c r="BV200" s="238"/>
      <c r="BX200" s="238"/>
      <c r="BY200" s="238"/>
      <c r="BZ200" s="238"/>
    </row>
    <row r="201" spans="1:78" s="256" customFormat="1">
      <c r="A201" s="247"/>
      <c r="B201" s="247"/>
    </row>
    <row r="202" spans="1:78" s="256" customFormat="1">
      <c r="A202" s="247"/>
      <c r="B202" s="247" t="s">
        <v>88</v>
      </c>
      <c r="D202" s="218">
        <f>BS!D30</f>
        <v>652.50099999999998</v>
      </c>
      <c r="E202" s="218">
        <f>BS!E30</f>
        <v>721.10100000000011</v>
      </c>
      <c r="F202" s="218">
        <f>BS!F30</f>
        <v>721.10100000000011</v>
      </c>
      <c r="H202" s="218">
        <f>BS!H30</f>
        <v>672.68499999999995</v>
      </c>
      <c r="I202" s="218">
        <f>BS!I30</f>
        <v>754.36199999999997</v>
      </c>
      <c r="J202" s="218">
        <f>BS!J30</f>
        <v>754.36199999999997</v>
      </c>
      <c r="L202" s="218">
        <f>BS!L30</f>
        <v>710.91699999999992</v>
      </c>
      <c r="M202" s="218">
        <f>BS!M30</f>
        <v>781.14099999999996</v>
      </c>
      <c r="N202" s="218">
        <f>BS!N30</f>
        <v>781.14099999999996</v>
      </c>
      <c r="P202" s="218">
        <f>BS!P30</f>
        <v>814.89699999999993</v>
      </c>
      <c r="Q202" s="218">
        <f>BS!Q30</f>
        <v>855.92600000000004</v>
      </c>
      <c r="R202" s="218">
        <f>BS!R30</f>
        <v>855.92600000000004</v>
      </c>
      <c r="T202" s="218">
        <f>BS!T30</f>
        <v>836.48</v>
      </c>
      <c r="U202" s="218">
        <f>BS!U30</f>
        <v>1020.3539999999998</v>
      </c>
      <c r="V202" s="218">
        <f>BS!V30</f>
        <v>1020.3539999999998</v>
      </c>
      <c r="X202" s="218">
        <f>BS!X30</f>
        <v>1115.335</v>
      </c>
      <c r="Y202" s="218">
        <f>BS!Y30</f>
        <v>1146.1179999999999</v>
      </c>
      <c r="Z202" s="218">
        <f>BS!Z30</f>
        <v>1146.1179999999999</v>
      </c>
      <c r="AB202" s="218">
        <f>BS!AB30</f>
        <v>1185.9459999999999</v>
      </c>
      <c r="AC202" s="218">
        <f>BS!AC30</f>
        <v>1640.482</v>
      </c>
      <c r="AD202" s="218">
        <f>BS!AD30</f>
        <v>1640.482</v>
      </c>
      <c r="AF202" s="218">
        <f>BS!AF30</f>
        <v>3483.4839999999999</v>
      </c>
      <c r="AG202" s="218">
        <f>BS!AG30</f>
        <v>3884.3180000000002</v>
      </c>
      <c r="AH202" s="218">
        <f>BS!AH30</f>
        <v>3884.3180000000002</v>
      </c>
      <c r="AJ202" s="218">
        <f>BS!AJ30</f>
        <v>3757.1219999999998</v>
      </c>
      <c r="AK202" s="218">
        <f>BS!AK30</f>
        <v>4049.25</v>
      </c>
      <c r="AL202" s="218">
        <f>BS!AL30</f>
        <v>4049.25</v>
      </c>
      <c r="AN202" s="218">
        <f>BS!AN30</f>
        <v>4431.4960000000001</v>
      </c>
      <c r="AO202" s="218">
        <f>BS!AO30</f>
        <v>4733.357</v>
      </c>
      <c r="AP202" s="218">
        <f>BS!AP30</f>
        <v>4733.357</v>
      </c>
      <c r="AR202" s="218">
        <f>BS!AR30</f>
        <v>4703.7985577359323</v>
      </c>
      <c r="AS202" s="218">
        <f>BS!AS30</f>
        <v>4920.1231136303932</v>
      </c>
      <c r="AT202" s="218">
        <f>BS!AT30</f>
        <v>4920.1231136303932</v>
      </c>
      <c r="AV202" s="218">
        <f>BS!AV30</f>
        <v>4823.9477206059646</v>
      </c>
      <c r="AW202" s="218">
        <f>BS!AW30</f>
        <v>5059.8513153835656</v>
      </c>
      <c r="AX202" s="218">
        <f>BS!AX30</f>
        <v>5059.8513153835656</v>
      </c>
      <c r="AZ202" s="218">
        <f>BS!AZ30</f>
        <v>4939.1378002294277</v>
      </c>
      <c r="BA202" s="218">
        <f>BS!BA30</f>
        <v>5178.8233183556767</v>
      </c>
      <c r="BB202" s="218">
        <f>BS!BB30</f>
        <v>5178.8233183556767</v>
      </c>
      <c r="BD202" s="218">
        <f>BS!BD30</f>
        <v>5037.6786548540967</v>
      </c>
      <c r="BE202" s="218">
        <f>BS!BE30</f>
        <v>5301.409274628546</v>
      </c>
      <c r="BF202" s="218">
        <f>BS!BF30</f>
        <v>5301.409274628546</v>
      </c>
      <c r="BH202" s="218">
        <f>BS!BH30</f>
        <v>5147.7785626437544</v>
      </c>
      <c r="BI202" s="218">
        <f>BS!BI30</f>
        <v>5425.0961725240149</v>
      </c>
      <c r="BJ202" s="218">
        <f>BS!BJ30</f>
        <v>5425.0961725240149</v>
      </c>
      <c r="BL202" s="218">
        <f>BS!BL30</f>
        <v>5264.502761917629</v>
      </c>
      <c r="BM202" s="218">
        <f>BS!BM30</f>
        <v>5555.9340994466575</v>
      </c>
      <c r="BN202" s="218">
        <f>BS!BN30</f>
        <v>5555.9340994466575</v>
      </c>
      <c r="BP202" s="218">
        <f>BS!BP30</f>
        <v>5393.9498864598454</v>
      </c>
      <c r="BQ202" s="218">
        <f>BS!BQ30</f>
        <v>5687.8091838926048</v>
      </c>
      <c r="BR202" s="218">
        <f>BS!BR30</f>
        <v>5687.8091838926048</v>
      </c>
      <c r="BT202" s="218">
        <f>BS!BT30</f>
        <v>5519.0270387283508</v>
      </c>
      <c r="BU202" s="218">
        <f>BS!BU30</f>
        <v>5840.3447260314624</v>
      </c>
      <c r="BV202" s="218">
        <f>BS!BV30</f>
        <v>5840.3447260314624</v>
      </c>
      <c r="BX202" s="218">
        <f>BS!BX30</f>
        <v>5657.4623793376504</v>
      </c>
      <c r="BY202" s="218">
        <f>BS!BY30</f>
        <v>5994.5936583813891</v>
      </c>
      <c r="BZ202" s="218">
        <f>BS!BZ30</f>
        <v>5994.5936583813891</v>
      </c>
    </row>
    <row r="203" spans="1:78" s="256" customFormat="1">
      <c r="A203" s="247"/>
      <c r="B203" s="247" t="s">
        <v>89</v>
      </c>
      <c r="D203" s="218">
        <f t="shared" ref="D203" si="1121">AVERAGE(A202,D202)</f>
        <v>652.50099999999998</v>
      </c>
      <c r="E203" s="218">
        <f t="shared" ref="E203" si="1122">AVERAGE(D202:E202)</f>
        <v>686.80100000000004</v>
      </c>
      <c r="F203" s="218">
        <f t="shared" ref="F203" si="1123">AVERAGE(D203:E203)</f>
        <v>669.65100000000007</v>
      </c>
      <c r="H203" s="218">
        <f t="shared" ref="H203" si="1124">AVERAGE(E202,H202)</f>
        <v>696.89300000000003</v>
      </c>
      <c r="I203" s="218">
        <f t="shared" ref="I203" si="1125">AVERAGE(H202:I202)</f>
        <v>713.52350000000001</v>
      </c>
      <c r="J203" s="218">
        <f t="shared" ref="J203" si="1126">AVERAGE(H203:I203)</f>
        <v>705.20825000000002</v>
      </c>
      <c r="L203" s="218">
        <f t="shared" ref="L203" si="1127">AVERAGE(I202,L202)</f>
        <v>732.6395</v>
      </c>
      <c r="M203" s="218">
        <f t="shared" ref="M203" si="1128">AVERAGE(L202:M202)</f>
        <v>746.029</v>
      </c>
      <c r="N203" s="218">
        <f t="shared" ref="N203" si="1129">AVERAGE(L203:M203)</f>
        <v>739.33425</v>
      </c>
      <c r="P203" s="218">
        <f t="shared" ref="P203" si="1130">AVERAGE(M202,P202)</f>
        <v>798.01900000000001</v>
      </c>
      <c r="Q203" s="218">
        <f t="shared" ref="Q203" si="1131">AVERAGE(P202:Q202)</f>
        <v>835.41149999999993</v>
      </c>
      <c r="R203" s="218">
        <f t="shared" ref="R203" si="1132">AVERAGE(P203:Q203)</f>
        <v>816.71524999999997</v>
      </c>
      <c r="T203" s="218">
        <f t="shared" ref="T203" si="1133">AVERAGE(Q202,T202)</f>
        <v>846.20299999999997</v>
      </c>
      <c r="U203" s="218">
        <f t="shared" ref="U203" si="1134">AVERAGE(T202:U202)</f>
        <v>928.41699999999992</v>
      </c>
      <c r="V203" s="218">
        <f t="shared" ref="V203" si="1135">AVERAGE(T203:U203)</f>
        <v>887.31</v>
      </c>
      <c r="X203" s="218">
        <f t="shared" ref="X203" si="1136">AVERAGE(U202,X202)</f>
        <v>1067.8444999999999</v>
      </c>
      <c r="Y203" s="218">
        <f t="shared" ref="Y203" si="1137">AVERAGE(X202:Y202)</f>
        <v>1130.7265</v>
      </c>
      <c r="Z203" s="218">
        <f t="shared" ref="Z203" si="1138">AVERAGE(X203:Y203)</f>
        <v>1099.2855</v>
      </c>
      <c r="AB203" s="218">
        <f>AVERAGE(Y202,AB202)</f>
        <v>1166.0319999999999</v>
      </c>
      <c r="AC203" s="218">
        <f>AVERAGE(AB202:AC202)</f>
        <v>1413.2139999999999</v>
      </c>
      <c r="AD203" s="218">
        <f>AVERAGE(AB203:AC203)</f>
        <v>1289.623</v>
      </c>
      <c r="AF203" s="218">
        <f t="shared" ref="AF203" si="1139">AVERAGE(AC202,AF202)</f>
        <v>2561.9830000000002</v>
      </c>
      <c r="AG203" s="218">
        <f>AVERAGE(AF202:AG202)</f>
        <v>3683.9009999999998</v>
      </c>
      <c r="AH203" s="218">
        <f>AVERAGE(AF203:AG203)</f>
        <v>3122.942</v>
      </c>
      <c r="AJ203" s="218">
        <f t="shared" ref="AJ203" si="1140">AVERAGE(AG202,AJ202)</f>
        <v>3820.7200000000003</v>
      </c>
      <c r="AK203" s="218">
        <f>AVERAGE(AJ202:AK202)</f>
        <v>3903.1859999999997</v>
      </c>
      <c r="AL203" s="218">
        <f>AVERAGE(AJ203:AK203)</f>
        <v>3861.953</v>
      </c>
      <c r="AN203" s="218">
        <f t="shared" ref="AN203" si="1141">AVERAGE(AK202,AN202)</f>
        <v>4240.3729999999996</v>
      </c>
      <c r="AO203" s="218">
        <f>AVERAGE(AN202:AO202)</f>
        <v>4582.4264999999996</v>
      </c>
      <c r="AP203" s="218">
        <f>AVERAGE(AN203:AO203)</f>
        <v>4411.3997499999996</v>
      </c>
      <c r="AR203" s="218">
        <f t="shared" ref="AR203" si="1142">AVERAGE(AO202,AR202)</f>
        <v>4718.5777788679661</v>
      </c>
      <c r="AS203" s="218">
        <f t="shared" ref="AS203" si="1143">AVERAGE(AR202:AS202)</f>
        <v>4811.9608356831632</v>
      </c>
      <c r="AT203" s="218">
        <f t="shared" ref="AT203" si="1144">AVERAGE(AR203:AS203)</f>
        <v>4765.2693072755646</v>
      </c>
      <c r="AV203" s="218">
        <f t="shared" ref="AV203" si="1145">AVERAGE(AS202,AV202)</f>
        <v>4872.0354171181789</v>
      </c>
      <c r="AW203" s="218">
        <f t="shared" ref="AW203" si="1146">AVERAGE(AV202:AW202)</f>
        <v>4941.8995179947651</v>
      </c>
      <c r="AX203" s="218">
        <f t="shared" ref="AX203" si="1147">AVERAGE(AV203:AW203)</f>
        <v>4906.967467556472</v>
      </c>
      <c r="AZ203" s="218">
        <f t="shared" ref="AZ203" si="1148">AVERAGE(AW202,AZ202)</f>
        <v>4999.4945578064962</v>
      </c>
      <c r="BA203" s="218">
        <f t="shared" ref="BA203" si="1149">AVERAGE(AZ202:BA202)</f>
        <v>5058.9805592925522</v>
      </c>
      <c r="BB203" s="218">
        <f t="shared" ref="BB203" si="1150">AVERAGE(AZ203:BA203)</f>
        <v>5029.2375585495247</v>
      </c>
      <c r="BD203" s="218">
        <f t="shared" ref="BD203" si="1151">AVERAGE(BA202,BD202)</f>
        <v>5108.2509866048867</v>
      </c>
      <c r="BE203" s="218">
        <f t="shared" ref="BE203" si="1152">AVERAGE(BD202:BE202)</f>
        <v>5169.5439647413214</v>
      </c>
      <c r="BF203" s="218">
        <f t="shared" ref="BF203" si="1153">AVERAGE(BD203:BE203)</f>
        <v>5138.8974756731041</v>
      </c>
      <c r="BH203" s="218">
        <f t="shared" ref="BH203" si="1154">AVERAGE(BE202,BH202)</f>
        <v>5224.5939186361502</v>
      </c>
      <c r="BI203" s="218">
        <f t="shared" ref="BI203" si="1155">AVERAGE(BH202:BI202)</f>
        <v>5286.4373675838851</v>
      </c>
      <c r="BJ203" s="218">
        <f t="shared" ref="BJ203" si="1156">AVERAGE(BH203:BI203)</f>
        <v>5255.5156431100177</v>
      </c>
      <c r="BL203" s="218">
        <f t="shared" ref="BL203" si="1157">AVERAGE(BI202,BL202)</f>
        <v>5344.7994672208224</v>
      </c>
      <c r="BM203" s="218">
        <f t="shared" ref="BM203" si="1158">AVERAGE(BL202:BM202)</f>
        <v>5410.2184306821437</v>
      </c>
      <c r="BN203" s="218">
        <f t="shared" ref="BN203" si="1159">AVERAGE(BL203:BM203)</f>
        <v>5377.508948951483</v>
      </c>
      <c r="BP203" s="218">
        <f t="shared" ref="BP203" si="1160">AVERAGE(BM202,BP202)</f>
        <v>5474.9419929532514</v>
      </c>
      <c r="BQ203" s="218">
        <f t="shared" ref="BQ203" si="1161">AVERAGE(BP202:BQ202)</f>
        <v>5540.8795351762255</v>
      </c>
      <c r="BR203" s="218">
        <f t="shared" ref="BR203" si="1162">AVERAGE(BP203:BQ203)</f>
        <v>5507.910764064738</v>
      </c>
      <c r="BT203" s="218">
        <f t="shared" ref="BT203" si="1163">AVERAGE(BQ202,BT202)</f>
        <v>5603.4181113104778</v>
      </c>
      <c r="BU203" s="218">
        <f t="shared" ref="BU203" si="1164">AVERAGE(BT202:BU202)</f>
        <v>5679.6858823799066</v>
      </c>
      <c r="BV203" s="218">
        <f t="shared" ref="BV203" si="1165">AVERAGE(BT203:BU203)</f>
        <v>5641.5519968451918</v>
      </c>
      <c r="BX203" s="218">
        <f t="shared" ref="BX203" si="1166">AVERAGE(BU202,BX202)</f>
        <v>5748.9035526845564</v>
      </c>
      <c r="BY203" s="218">
        <f t="shared" ref="BY203" si="1167">AVERAGE(BX202:BY202)</f>
        <v>5826.0280188595198</v>
      </c>
      <c r="BZ203" s="218">
        <f t="shared" ref="BZ203" si="1168">AVERAGE(BX203:BY203)</f>
        <v>5787.4657857720376</v>
      </c>
    </row>
    <row r="204" spans="1:78" s="256" customFormat="1">
      <c r="A204" s="247"/>
      <c r="B204" s="247" t="s">
        <v>560</v>
      </c>
      <c r="D204" s="238">
        <f>D89/D203/D4</f>
        <v>8.6290022677293104E-2</v>
      </c>
      <c r="E204" s="238">
        <f>E89/E203/E4</f>
        <v>7.7704642791181763E-2</v>
      </c>
      <c r="F204" s="238">
        <f>F89/F203/F4</f>
        <v>7.3629397999853671E-2</v>
      </c>
      <c r="H204" s="238">
        <f>H89/H203/H4</f>
        <v>4.1760785246865023E-2</v>
      </c>
      <c r="I204" s="238">
        <f>I89/I203/I4</f>
        <v>7.2930614313782935E-2</v>
      </c>
      <c r="J204" s="238">
        <f>J89/J203/J4</f>
        <v>5.3370050619799068E-2</v>
      </c>
      <c r="L204" s="238">
        <f>L89/L203/L4</f>
        <v>6.6709880477725955E-2</v>
      </c>
      <c r="M204" s="238">
        <f>M89/M203/M4</f>
        <v>7.8002722169888308E-2</v>
      </c>
      <c r="N204" s="238">
        <f>N89/N203/N4</f>
        <v>6.9738416690421093E-2</v>
      </c>
      <c r="P204" s="238">
        <f>P89/P203/P4</f>
        <v>1.108407057105598E-2</v>
      </c>
      <c r="Q204" s="238">
        <f>Q89/Q203/Q4</f>
        <v>9.9685580893946787E-2</v>
      </c>
      <c r="R204" s="238">
        <f>R89/R203/R4</f>
        <v>5.5622813459158482E-2</v>
      </c>
      <c r="T204" s="238">
        <f>T89/T203/T4</f>
        <v>1.820111362937948E-2</v>
      </c>
      <c r="U204" s="238">
        <f>U89/U203/U4</f>
        <v>8.0282132601295256E-2</v>
      </c>
      <c r="V204" s="238">
        <f>V89/V203/V4</f>
        <v>5.0497571311041219E-2</v>
      </c>
      <c r="X204" s="238">
        <f>X89/X203/X4</f>
        <v>4.3283557386541001E-2</v>
      </c>
      <c r="Y204" s="238">
        <f>Y89/Y203/Y4</f>
        <v>8.4524008159004183E-2</v>
      </c>
      <c r="Z204" s="238">
        <f>Z89/Z203/Z4</f>
        <v>6.430904437473256E-2</v>
      </c>
      <c r="AB204" s="238">
        <f>AB89/AB203/AB4</f>
        <v>5.0354885293624606E-2</v>
      </c>
      <c r="AC204" s="238">
        <f>AC89/AC203/AC4</f>
        <v>7.1949663489839763E-2</v>
      </c>
      <c r="AD204" s="238">
        <f>AD89/AD203/AD4</f>
        <v>6.269816837944106E-2</v>
      </c>
      <c r="AF204" s="238">
        <f>AF89/AF203/AF4</f>
        <v>1.7545215357892743E-3</v>
      </c>
      <c r="AG204" s="238">
        <f>AG89/AG203/AG4</f>
        <v>3.446825849383621E-2</v>
      </c>
      <c r="AH204" s="238">
        <f>AH89/AH203/AH4</f>
        <v>2.0856295121715378E-2</v>
      </c>
      <c r="AJ204" s="238">
        <f>AJ89/AJ203/AJ4</f>
        <v>2.7713465342748992E-2</v>
      </c>
      <c r="AK204" s="238">
        <f>AK89/AK203/AK4</f>
        <v>4.3186545780580517E-2</v>
      </c>
      <c r="AL204" s="238">
        <f>AL89/AL203/AL4</f>
        <v>3.549395862663271E-2</v>
      </c>
      <c r="AN204" s="238">
        <f>AN89/AN203/AN4</f>
        <v>1.2418058762037313E-2</v>
      </c>
      <c r="AO204" s="238">
        <f>AO89/AO203/AO4</f>
        <v>6.7570084266792049E-2</v>
      </c>
      <c r="AP204" s="238">
        <f>AP89/AP203/AP4</f>
        <v>4.0823777078919182E-2</v>
      </c>
      <c r="AR204" s="238">
        <f>AR89/AR203/AR4</f>
        <v>3.1846105838857143E-2</v>
      </c>
      <c r="AS204" s="238">
        <f>AS89/AS203/AS4</f>
        <v>4.8557331481886526E-2</v>
      </c>
      <c r="AT204" s="238">
        <f>AT89/AT203/AT4</f>
        <v>4.0211675571024341E-2</v>
      </c>
      <c r="AV204" s="238">
        <f>AV89/AV203/AV4</f>
        <v>3.3741115415416689E-2</v>
      </c>
      <c r="AW204" s="238">
        <f>AW89/AW203/AW4</f>
        <v>5.212790935247831E-2</v>
      </c>
      <c r="AX204" s="238">
        <f>AX89/AX203/AX4</f>
        <v>4.2921884639006737E-2</v>
      </c>
      <c r="AZ204" s="238">
        <f>AZ89/AZ203/AZ4</f>
        <v>3.636162310175578E-2</v>
      </c>
      <c r="BA204" s="238">
        <f>BA89/BA203/BA4</f>
        <v>5.5301355795904741E-2</v>
      </c>
      <c r="BB204" s="238">
        <f>BB89/BB203/BB4</f>
        <v>4.5834265366039434E-2</v>
      </c>
      <c r="BD204" s="238">
        <f>BD89/BD203/BD4</f>
        <v>3.735476030529606E-2</v>
      </c>
      <c r="BE204" s="238">
        <f>BE89/BE203/BE4</f>
        <v>5.7011794800175042E-2</v>
      </c>
      <c r="BF204" s="238">
        <f>BF89/BF203/BF4</f>
        <v>4.7158796128378429E-2</v>
      </c>
      <c r="BH204" s="238">
        <f>BH89/BH203/BH4</f>
        <v>3.8430990200021858E-2</v>
      </c>
      <c r="BI204" s="238">
        <f>BI89/BI203/BI4</f>
        <v>5.8559919843682633E-2</v>
      </c>
      <c r="BJ204" s="238">
        <f>BJ89/BJ203/BJ4</f>
        <v>4.8469604203266202E-2</v>
      </c>
      <c r="BL204" s="238">
        <f>BL89/BL203/BL4</f>
        <v>3.9519038463861414E-2</v>
      </c>
      <c r="BM204" s="238">
        <f>BM89/BM203/BM4</f>
        <v>6.0094345011872413E-2</v>
      </c>
      <c r="BN204" s="238">
        <f>BN89/BN203/BN4</f>
        <v>4.9782221780503622E-2</v>
      </c>
      <c r="BP204" s="238">
        <f>BP89/BP203/BP4</f>
        <v>4.0686107230003925E-2</v>
      </c>
      <c r="BQ204" s="238">
        <f>BQ89/BQ203/BQ4</f>
        <v>6.1445915553425941E-2</v>
      </c>
      <c r="BR204" s="238">
        <f>BR89/BR203/BR4</f>
        <v>5.1069751418967198E-2</v>
      </c>
      <c r="BT204" s="238">
        <f>BT89/BT203/BT4</f>
        <v>4.1685763162984786E-2</v>
      </c>
      <c r="BU204" s="238">
        <f>BU89/BU203/BU4</f>
        <v>6.3114267388614961E-2</v>
      </c>
      <c r="BV204" s="238">
        <f>BV89/BV203/BV4</f>
        <v>5.238146436361512E-2</v>
      </c>
      <c r="BX204" s="238">
        <f>BX89/BX203/BX4</f>
        <v>4.2713975915504201E-2</v>
      </c>
      <c r="BY204" s="238">
        <f>BY89/BY203/BY4</f>
        <v>6.4596166234014457E-2</v>
      </c>
      <c r="BZ204" s="238">
        <f>BZ89/BZ203/BZ4</f>
        <v>5.363510702776534E-2</v>
      </c>
    </row>
    <row r="205" spans="1:78" s="256" customFormat="1">
      <c r="A205" s="247"/>
      <c r="B205" s="247"/>
    </row>
    <row r="206" spans="1:78" s="229" customFormat="1" ht="15.6">
      <c r="A206" s="228"/>
      <c r="B206" s="576" t="s">
        <v>176</v>
      </c>
    </row>
    <row r="207" spans="1:78">
      <c r="A207" s="133"/>
      <c r="B207" s="280"/>
      <c r="AM207" s="161"/>
    </row>
    <row r="208" spans="1:78">
      <c r="A208" s="133"/>
      <c r="B208" s="154" t="s">
        <v>372</v>
      </c>
      <c r="F208" s="393">
        <v>-0.06</v>
      </c>
      <c r="P208" s="393">
        <v>0.05</v>
      </c>
      <c r="X208" s="393">
        <v>5.5E-2</v>
      </c>
      <c r="Z208" s="393">
        <v>6.2E-2</v>
      </c>
    </row>
    <row r="209" spans="1:78" s="135" customFormat="1">
      <c r="B209" s="151" t="s">
        <v>258</v>
      </c>
      <c r="D209" s="343">
        <v>2600</v>
      </c>
      <c r="E209" s="343">
        <v>2600</v>
      </c>
      <c r="F209" s="343">
        <v>2600</v>
      </c>
      <c r="Q209" s="232">
        <f>+R209</f>
        <v>2100</v>
      </c>
      <c r="R209" s="343">
        <v>2100</v>
      </c>
      <c r="U209" s="232">
        <f>+V209</f>
        <v>2300</v>
      </c>
      <c r="V209" s="313">
        <v>2300</v>
      </c>
      <c r="X209" s="313">
        <v>2600</v>
      </c>
      <c r="Y209" s="232">
        <f>+Z209</f>
        <v>2600</v>
      </c>
      <c r="Z209" s="313">
        <v>2600</v>
      </c>
      <c r="AA209" s="377" t="s">
        <v>324</v>
      </c>
      <c r="AC209" s="232">
        <f>+AD209</f>
        <v>2900</v>
      </c>
      <c r="AD209" s="313">
        <v>2900</v>
      </c>
      <c r="AE209" s="377" t="s">
        <v>324</v>
      </c>
      <c r="AG209" s="232">
        <f>+AH209</f>
        <v>3400</v>
      </c>
      <c r="AH209" s="343">
        <v>3400</v>
      </c>
      <c r="AK209" s="232">
        <f>+AL209</f>
        <v>3500</v>
      </c>
      <c r="AL209" s="343">
        <v>3500</v>
      </c>
      <c r="AO209" s="232">
        <f>+AP209</f>
        <v>3600</v>
      </c>
      <c r="AP209" s="913">
        <v>3600</v>
      </c>
    </row>
    <row r="210" spans="1:78">
      <c r="A210" s="133"/>
      <c r="B210" s="280"/>
      <c r="V210" s="173">
        <f>+V211/V209</f>
        <v>0.14913043478260871</v>
      </c>
      <c r="Z210" s="173">
        <f>+Z211/Z209</f>
        <v>0.14669230769230768</v>
      </c>
      <c r="AD210" s="173">
        <f>+AD211/AD209</f>
        <v>0.14251724137931035</v>
      </c>
      <c r="AF210" s="256"/>
      <c r="AH210" s="173">
        <f>+AH211/AH209</f>
        <v>0.13417647058823529</v>
      </c>
      <c r="AJ210" s="256"/>
      <c r="AL210" s="535">
        <f>+AL211/AL209</f>
        <v>0.14004828571428571</v>
      </c>
      <c r="AN210" s="256"/>
      <c r="AP210" s="535">
        <f>+AP211/AP209</f>
        <v>0.14708333333333334</v>
      </c>
    </row>
    <row r="211" spans="1:78" ht="14.4" thickBot="1">
      <c r="B211" s="150" t="s">
        <v>177</v>
      </c>
      <c r="D211" s="168">
        <v>120.178</v>
      </c>
      <c r="E211" s="136">
        <f>F211-D211</f>
        <v>132.62800000000001</v>
      </c>
      <c r="F211" s="168">
        <v>252.80600000000001</v>
      </c>
      <c r="H211" s="168">
        <v>115.51</v>
      </c>
      <c r="I211" s="136">
        <f>J211-H211</f>
        <v>144.27800000000002</v>
      </c>
      <c r="J211" s="168">
        <v>259.78800000000001</v>
      </c>
      <c r="L211" s="168">
        <v>126.61</v>
      </c>
      <c r="M211" s="136">
        <f>N211-L211</f>
        <v>156.69</v>
      </c>
      <c r="N211" s="168">
        <v>283.3</v>
      </c>
      <c r="P211" s="168">
        <v>163.30000000000001</v>
      </c>
      <c r="Q211" s="136">
        <f>R211-P211</f>
        <v>170</v>
      </c>
      <c r="R211" s="168">
        <v>333.3</v>
      </c>
      <c r="T211" s="168">
        <v>163.30000000000001</v>
      </c>
      <c r="U211" s="136">
        <f>V211-T211</f>
        <v>179.7</v>
      </c>
      <c r="V211" s="168">
        <v>343</v>
      </c>
      <c r="X211" s="168">
        <v>176.4</v>
      </c>
      <c r="Y211" s="136">
        <f>Z211-X211</f>
        <v>204.99999999999997</v>
      </c>
      <c r="Z211" s="168">
        <v>381.4</v>
      </c>
      <c r="AB211" s="168">
        <v>194.3</v>
      </c>
      <c r="AC211" s="136">
        <f>AD211-AB211</f>
        <v>219</v>
      </c>
      <c r="AD211" s="168">
        <v>413.3</v>
      </c>
      <c r="AF211" s="264">
        <v>218.8</v>
      </c>
      <c r="AG211" s="136">
        <f>AH211-AF211</f>
        <v>237.39999999999998</v>
      </c>
      <c r="AH211" s="264">
        <v>456.2</v>
      </c>
      <c r="AJ211" s="264">
        <v>234.3</v>
      </c>
      <c r="AK211" s="136">
        <f>AL211-AJ211</f>
        <v>255.86899999999997</v>
      </c>
      <c r="AL211" s="264">
        <f>490.2-0.031</f>
        <v>490.16899999999998</v>
      </c>
      <c r="AN211" s="168">
        <v>257.89999999999998</v>
      </c>
      <c r="AO211" s="136">
        <f>AP211-AN211</f>
        <v>271.60000000000002</v>
      </c>
      <c r="AP211" s="912">
        <v>529.5</v>
      </c>
      <c r="AR211" s="136">
        <f t="shared" ref="AR211:AS211" si="1169">+(AN211+AN219)*(1+AR212)</f>
        <v>273.37399999999997</v>
      </c>
      <c r="AS211" s="136">
        <f t="shared" si="1169"/>
        <v>285.18000000000006</v>
      </c>
      <c r="AT211" s="136">
        <f t="shared" ref="AT211" si="1170">+AR211+AS211</f>
        <v>558.55400000000009</v>
      </c>
      <c r="AV211" s="136">
        <f t="shared" ref="AV211:AW211" si="1171">+(AR211+AR219)*(1+AV212)</f>
        <v>283.25098935</v>
      </c>
      <c r="AW211" s="136">
        <f t="shared" si="1171"/>
        <v>295.79456448387106</v>
      </c>
      <c r="AX211" s="136">
        <f t="shared" ref="AX211" si="1172">+AV211+AW211</f>
        <v>579.04555383387105</v>
      </c>
      <c r="AZ211" s="136">
        <f t="shared" ref="AZ211:BA211" si="1173">+(AV211+AV219)*(1+AZ212)</f>
        <v>293.62284634973685</v>
      </c>
      <c r="BA211" s="136">
        <f t="shared" si="1173"/>
        <v>306.91432293035763</v>
      </c>
      <c r="BB211" s="136">
        <f t="shared" ref="BB211" si="1174">+AZ211+BA211</f>
        <v>600.53716928009453</v>
      </c>
      <c r="BD211" s="136">
        <f t="shared" ref="BD211:BE211" si="1175">+(AZ211+AZ219)*(1+BD212)</f>
        <v>304.48769671786005</v>
      </c>
      <c r="BE211" s="136">
        <f t="shared" si="1175"/>
        <v>318.56839987962678</v>
      </c>
      <c r="BF211" s="136">
        <f t="shared" ref="BF211" si="1176">+BD211+BE211</f>
        <v>623.05609659748689</v>
      </c>
      <c r="BH211" s="136">
        <f t="shared" ref="BH211:BI211" si="1177">+(BD211+BD219)*(1+BH212)</f>
        <v>315.81946376540219</v>
      </c>
      <c r="BI211" s="136">
        <f t="shared" si="1177"/>
        <v>330.73134789241442</v>
      </c>
      <c r="BJ211" s="136">
        <f t="shared" ref="BJ211" si="1178">+BH211+BI211</f>
        <v>646.55081165781667</v>
      </c>
      <c r="BL211" s="136">
        <f t="shared" ref="BL211:BM211" si="1179">+(BH211+BH219)*(1+BL212)</f>
        <v>327.63996680955438</v>
      </c>
      <c r="BM211" s="136">
        <f t="shared" si="1179"/>
        <v>343.42713386621762</v>
      </c>
      <c r="BN211" s="136">
        <f t="shared" ref="BN211" si="1180">+BL211+BM211</f>
        <v>671.06710067577205</v>
      </c>
      <c r="BP211" s="136">
        <f t="shared" ref="BP211:BQ211" si="1181">+(BL211+BL219)*(1+BP212)</f>
        <v>339.97208560303181</v>
      </c>
      <c r="BQ211" s="136">
        <f t="shared" si="1181"/>
        <v>356.68089351029454</v>
      </c>
      <c r="BR211" s="136">
        <f t="shared" ref="BR211" si="1182">+BP211+BQ211</f>
        <v>696.65297911332641</v>
      </c>
      <c r="BT211" s="136">
        <f t="shared" ref="BT211" si="1183">+(BP211+BP219)*(1+BT212)</f>
        <v>352.83981274524314</v>
      </c>
      <c r="BU211" s="136">
        <f t="shared" ref="BU211" si="1184">+(BQ211+BQ219)*(1+BU212)</f>
        <v>370.51898919559068</v>
      </c>
      <c r="BV211" s="136">
        <f t="shared" ref="BV211" si="1185">+BT211+BU211</f>
        <v>723.35880194083381</v>
      </c>
      <c r="BX211" s="136">
        <f t="shared" ref="BX211" si="1186">+(BT211+BT219)*(1+BX212)</f>
        <v>366.26830870180618</v>
      </c>
      <c r="BY211" s="136">
        <f t="shared" ref="BY211" si="1187">+(BU211+BU219)*(1+BY212)</f>
        <v>384.96907068534722</v>
      </c>
      <c r="BZ211" s="136">
        <f t="shared" ref="BZ211" si="1188">+BX211+BY211</f>
        <v>751.2373793871534</v>
      </c>
    </row>
    <row r="212" spans="1:78" s="220" customFormat="1" ht="14.4" thickBot="1">
      <c r="A212" s="660"/>
      <c r="B212" s="661" t="s">
        <v>602</v>
      </c>
      <c r="D212" s="387"/>
      <c r="E212" s="387"/>
      <c r="F212" s="387"/>
      <c r="H212" s="387"/>
      <c r="I212" s="387"/>
      <c r="J212" s="387"/>
      <c r="L212" s="387">
        <f>+L211/H211-1</f>
        <v>9.6095576140593941E-2</v>
      </c>
      <c r="M212" s="387">
        <f>+M211/I211-1</f>
        <v>8.6028361912418916E-2</v>
      </c>
      <c r="N212" s="387">
        <f>+N211/J211-1</f>
        <v>9.0504565260905112E-2</v>
      </c>
      <c r="P212" s="387">
        <f>+P211/L211-1</f>
        <v>0.28978753652950018</v>
      </c>
      <c r="Q212" s="387">
        <f>+Q211/M211-1</f>
        <v>8.494479545599587E-2</v>
      </c>
      <c r="R212" s="387">
        <f>+R211/N211-1</f>
        <v>0.17649135192375565</v>
      </c>
      <c r="T212" s="387">
        <f>+T211/P211-1</f>
        <v>0</v>
      </c>
      <c r="U212" s="387">
        <f>+U211/Q211-1</f>
        <v>5.7058823529411606E-2</v>
      </c>
      <c r="V212" s="387">
        <f>+V211/R211-1</f>
        <v>2.9102910291028961E-2</v>
      </c>
      <c r="X212" s="387">
        <f>+X211/T211-1</f>
        <v>8.0220453153704741E-2</v>
      </c>
      <c r="Y212" s="387">
        <f>+Y211/U211-1</f>
        <v>0.14079020589872004</v>
      </c>
      <c r="Z212" s="387">
        <f>+Z211/V211-1</f>
        <v>0.11195335276967922</v>
      </c>
      <c r="AB212" s="387">
        <f>+AB211/X211-1</f>
        <v>0.10147392290249435</v>
      </c>
      <c r="AC212" s="387">
        <f>+AC211/Y211-1</f>
        <v>6.8292682926829329E-2</v>
      </c>
      <c r="AD212" s="387">
        <f>+AD211/Z211-1</f>
        <v>8.3639223911903704E-2</v>
      </c>
      <c r="AF212" s="388">
        <f>+AF211/AB211-1</f>
        <v>0.12609366958311896</v>
      </c>
      <c r="AG212" s="387">
        <f>+AG211/AC211-1</f>
        <v>8.4018264840182599E-2</v>
      </c>
      <c r="AH212" s="387">
        <f>+AH211/AD211-1</f>
        <v>0.10379869344301951</v>
      </c>
      <c r="AJ212" s="388">
        <f>+AJ211/AF211-1</f>
        <v>7.0840950639853739E-2</v>
      </c>
      <c r="AK212" s="387">
        <f>+AK211/AG211-1</f>
        <v>7.7796967144060591E-2</v>
      </c>
      <c r="AL212" s="388">
        <f>+AL211/AH211-1</f>
        <v>7.4460762823323146E-2</v>
      </c>
      <c r="AN212" s="387">
        <f>+AN211/AJ211-1</f>
        <v>0.10072556551429779</v>
      </c>
      <c r="AO212" s="387">
        <f>+AO211/AK211-1</f>
        <v>6.1480679566497054E-2</v>
      </c>
      <c r="AP212" s="388">
        <f>+AP211/AL211-1</f>
        <v>8.0239672439505583E-2</v>
      </c>
      <c r="AR212" s="662">
        <f>+Scenarios!AF11</f>
        <v>0.06</v>
      </c>
      <c r="AS212" s="662">
        <f>+Scenarios!AG11</f>
        <v>0.05</v>
      </c>
      <c r="AT212" s="220">
        <f t="shared" ref="AT212" si="1189">+AT211/(AP211+AP219)-1</f>
        <v>5.4870632672332498E-2</v>
      </c>
      <c r="AV212" s="662">
        <f>+Scenarios!AJ11</f>
        <v>0.05</v>
      </c>
      <c r="AW212" s="662">
        <f>+Scenarios!AK11</f>
        <v>0.05</v>
      </c>
      <c r="AX212" s="220">
        <f t="shared" ref="AX212" si="1190">+AX211/(AT211+AT219)-1</f>
        <v>5.0000000000000044E-2</v>
      </c>
      <c r="AZ212" s="662">
        <f>+Scenarios!AN11</f>
        <v>0.05</v>
      </c>
      <c r="BA212" s="662">
        <f>+Scenarios!AO11</f>
        <v>0.05</v>
      </c>
      <c r="BB212" s="220">
        <f t="shared" ref="BB212" si="1191">+BB211/(AX211+AX219)-1</f>
        <v>5.0000000000000266E-2</v>
      </c>
      <c r="BD212" s="662">
        <f>+Scenarios!AR11</f>
        <v>0.05</v>
      </c>
      <c r="BE212" s="662">
        <f>+Scenarios!AS11</f>
        <v>0.05</v>
      </c>
      <c r="BF212" s="220">
        <f t="shared" ref="BF212" si="1192">+BF211/(BB211+BB219)-1</f>
        <v>5.0000000000000044E-2</v>
      </c>
      <c r="BH212" s="662">
        <f>+Scenarios!AV11</f>
        <v>0.05</v>
      </c>
      <c r="BI212" s="662">
        <f>+Scenarios!AW11</f>
        <v>0.05</v>
      </c>
      <c r="BJ212" s="220">
        <f t="shared" ref="BJ212" si="1193">+BJ211/(BF211+BF219)-1</f>
        <v>5.0000000000000044E-2</v>
      </c>
      <c r="BL212" s="662">
        <f>+Scenarios!AZ11</f>
        <v>0.05</v>
      </c>
      <c r="BM212" s="662">
        <f>+Scenarios!BA11</f>
        <v>0.05</v>
      </c>
      <c r="BN212" s="220">
        <f t="shared" ref="BN212" si="1194">+BN211/(BJ211+BJ219)-1</f>
        <v>5.0000000000000044E-2</v>
      </c>
      <c r="BP212" s="662">
        <f>+Scenarios!BD11</f>
        <v>0.05</v>
      </c>
      <c r="BQ212" s="662">
        <f>+Scenarios!BE11</f>
        <v>0.05</v>
      </c>
      <c r="BR212" s="220">
        <f t="shared" ref="BR212" si="1195">+BR211/(BN211+BN219)-1</f>
        <v>5.0000000000000044E-2</v>
      </c>
      <c r="BT212" s="662">
        <f>+Scenarios!BH11</f>
        <v>0.05</v>
      </c>
      <c r="BU212" s="662">
        <f>+Scenarios!BI11</f>
        <v>0.05</v>
      </c>
      <c r="BV212" s="220">
        <f t="shared" ref="BV212" si="1196">+BV211/(BR211+BR219)-1</f>
        <v>5.0000000000000044E-2</v>
      </c>
      <c r="BX212" s="662">
        <f>+Scenarios!BL11</f>
        <v>0.05</v>
      </c>
      <c r="BY212" s="662">
        <f>+Scenarios!BM11</f>
        <v>0.05</v>
      </c>
      <c r="BZ212" s="220">
        <f t="shared" ref="BZ212" si="1197">+BZ211/(BV211+BV219)-1</f>
        <v>5.0000000000000044E-2</v>
      </c>
    </row>
    <row r="213" spans="1:78">
      <c r="B213" s="150" t="s">
        <v>178</v>
      </c>
      <c r="D213" s="168">
        <v>14.212</v>
      </c>
      <c r="E213" s="136">
        <f>F213-D213</f>
        <v>10.626000000000001</v>
      </c>
      <c r="F213" s="168">
        <v>24.838000000000001</v>
      </c>
      <c r="H213" s="168">
        <v>13.44</v>
      </c>
      <c r="I213" s="136">
        <f>J213-H213</f>
        <v>10.218999999999999</v>
      </c>
      <c r="J213" s="168">
        <v>23.658999999999999</v>
      </c>
      <c r="L213" s="168">
        <v>14.234999999999999</v>
      </c>
      <c r="M213" s="136">
        <f>N213-L213</f>
        <v>11.465</v>
      </c>
      <c r="N213" s="168">
        <v>25.7</v>
      </c>
      <c r="P213" s="168">
        <v>17.3</v>
      </c>
      <c r="Q213" s="136">
        <f>R213-P213</f>
        <v>10.3</v>
      </c>
      <c r="R213" s="168">
        <v>27.6</v>
      </c>
      <c r="T213" s="168">
        <v>17.3</v>
      </c>
      <c r="U213" s="136">
        <f t="shared" ref="U213:U224" si="1198">V213-T213</f>
        <v>13.599999999999998</v>
      </c>
      <c r="V213" s="168">
        <v>30.9</v>
      </c>
      <c r="X213" s="168">
        <v>17.7</v>
      </c>
      <c r="Y213" s="136">
        <f t="shared" ref="Y213:Y224" si="1199">Z213-X213</f>
        <v>12.400000000000002</v>
      </c>
      <c r="Z213" s="168">
        <v>30.1</v>
      </c>
      <c r="AB213" s="168">
        <v>17.5</v>
      </c>
      <c r="AC213" s="136">
        <f t="shared" ref="AC213:AC224" si="1200">AD213-AB213</f>
        <v>12.7</v>
      </c>
      <c r="AD213" s="168">
        <v>30.2</v>
      </c>
      <c r="AF213" s="264">
        <v>18</v>
      </c>
      <c r="AG213" s="136">
        <f t="shared" ref="AG213:AG215" si="1201">AH213-AF213</f>
        <v>11.3</v>
      </c>
      <c r="AH213" s="264">
        <v>29.3</v>
      </c>
      <c r="AJ213" s="264">
        <v>19.5</v>
      </c>
      <c r="AK213" s="136">
        <f t="shared" ref="AK213:AK215" si="1202">AL213-AJ213</f>
        <v>9.5</v>
      </c>
      <c r="AL213" s="264">
        <v>29</v>
      </c>
      <c r="AN213" s="168">
        <v>19.8</v>
      </c>
      <c r="AO213" s="136">
        <f t="shared" ref="AO213:AO215" si="1203">AP213-AN213</f>
        <v>10</v>
      </c>
      <c r="AP213" s="912">
        <v>29.8</v>
      </c>
      <c r="AR213" s="136">
        <f>AN213</f>
        <v>19.8</v>
      </c>
      <c r="AS213" s="136">
        <f>AO213</f>
        <v>10</v>
      </c>
      <c r="AT213" s="136">
        <f>AR213+AS213</f>
        <v>29.8</v>
      </c>
      <c r="AV213" s="136">
        <f>AR213</f>
        <v>19.8</v>
      </c>
      <c r="AW213" s="136">
        <f>AS213</f>
        <v>10</v>
      </c>
      <c r="AX213" s="136">
        <f>AV213+AW213</f>
        <v>29.8</v>
      </c>
      <c r="AZ213" s="136">
        <f>AV213</f>
        <v>19.8</v>
      </c>
      <c r="BA213" s="136">
        <f>AW213</f>
        <v>10</v>
      </c>
      <c r="BB213" s="136">
        <f>AZ213+BA213</f>
        <v>29.8</v>
      </c>
      <c r="BD213" s="136">
        <f>AZ213</f>
        <v>19.8</v>
      </c>
      <c r="BE213" s="136">
        <f>BA213</f>
        <v>10</v>
      </c>
      <c r="BF213" s="136">
        <f>BD213+BE213</f>
        <v>29.8</v>
      </c>
      <c r="BH213" s="136">
        <f>BD213</f>
        <v>19.8</v>
      </c>
      <c r="BI213" s="136">
        <f>BE213</f>
        <v>10</v>
      </c>
      <c r="BJ213" s="136">
        <f>BH213+BI213</f>
        <v>29.8</v>
      </c>
      <c r="BL213" s="136">
        <f>BH213</f>
        <v>19.8</v>
      </c>
      <c r="BM213" s="136">
        <f>BI213</f>
        <v>10</v>
      </c>
      <c r="BN213" s="136">
        <f>BL213+BM213</f>
        <v>29.8</v>
      </c>
      <c r="BP213" s="136">
        <f>BL213</f>
        <v>19.8</v>
      </c>
      <c r="BQ213" s="136">
        <f>BM213</f>
        <v>10</v>
      </c>
      <c r="BR213" s="136">
        <f>BP213+BQ213</f>
        <v>29.8</v>
      </c>
      <c r="BT213" s="136">
        <f>BP213</f>
        <v>19.8</v>
      </c>
      <c r="BU213" s="136">
        <f>BQ213</f>
        <v>10</v>
      </c>
      <c r="BV213" s="136">
        <f>BT213+BU213</f>
        <v>29.8</v>
      </c>
      <c r="BX213" s="136">
        <f>BT213</f>
        <v>19.8</v>
      </c>
      <c r="BY213" s="136">
        <f>BU213</f>
        <v>10</v>
      </c>
      <c r="BZ213" s="136">
        <f>BX213+BY213</f>
        <v>29.8</v>
      </c>
    </row>
    <row r="214" spans="1:78">
      <c r="B214" s="150" t="s">
        <v>179</v>
      </c>
      <c r="D214" s="168">
        <v>3.7519999999999998</v>
      </c>
      <c r="E214" s="136">
        <f>F214-D214</f>
        <v>3.0230000000000006</v>
      </c>
      <c r="F214" s="168">
        <v>6.7750000000000004</v>
      </c>
      <c r="H214" s="168">
        <v>3.6</v>
      </c>
      <c r="I214" s="136">
        <f>J214-H214</f>
        <v>2.7810000000000001</v>
      </c>
      <c r="J214" s="168">
        <v>6.3810000000000002</v>
      </c>
      <c r="L214" s="168">
        <v>3.28</v>
      </c>
      <c r="M214" s="136">
        <f>N214-L214</f>
        <v>3.1200000000000006</v>
      </c>
      <c r="N214" s="168">
        <v>6.4</v>
      </c>
      <c r="P214" s="168">
        <v>3</v>
      </c>
      <c r="Q214" s="136">
        <f>R214-P214</f>
        <v>4</v>
      </c>
      <c r="R214" s="168">
        <v>7</v>
      </c>
      <c r="T214" s="168">
        <v>3</v>
      </c>
      <c r="U214" s="136">
        <f t="shared" si="1198"/>
        <v>2.2000000000000002</v>
      </c>
      <c r="V214" s="168">
        <v>5.2</v>
      </c>
      <c r="X214" s="168">
        <v>1.3</v>
      </c>
      <c r="Y214" s="136">
        <f t="shared" si="1199"/>
        <v>0.90000000000000013</v>
      </c>
      <c r="Z214" s="168">
        <v>2.2000000000000002</v>
      </c>
      <c r="AB214" s="168">
        <v>1</v>
      </c>
      <c r="AC214" s="136">
        <f t="shared" si="1200"/>
        <v>1</v>
      </c>
      <c r="AD214" s="168">
        <v>2</v>
      </c>
      <c r="AF214" s="264">
        <v>5.9</v>
      </c>
      <c r="AG214" s="136">
        <f t="shared" si="1201"/>
        <v>9.6399999999999988</v>
      </c>
      <c r="AH214" s="264">
        <v>15.54</v>
      </c>
      <c r="AJ214" s="264">
        <v>14.1</v>
      </c>
      <c r="AK214" s="136">
        <f t="shared" si="1202"/>
        <v>15.299999999999999</v>
      </c>
      <c r="AL214" s="264">
        <v>29.4</v>
      </c>
      <c r="AN214" s="168">
        <v>17.8</v>
      </c>
      <c r="AO214" s="136">
        <f t="shared" si="1203"/>
        <v>14.8</v>
      </c>
      <c r="AP214" s="912">
        <v>32.6</v>
      </c>
      <c r="AR214" s="321">
        <f>+AN214</f>
        <v>17.8</v>
      </c>
      <c r="AS214" s="321">
        <f>+AO214</f>
        <v>14.8</v>
      </c>
      <c r="AT214" s="136">
        <f>+AR214+AS214</f>
        <v>32.6</v>
      </c>
      <c r="AV214" s="321">
        <f>+AR214</f>
        <v>17.8</v>
      </c>
      <c r="AW214" s="321">
        <f>+AS214</f>
        <v>14.8</v>
      </c>
      <c r="AX214" s="136">
        <f>+AV214+AW214</f>
        <v>32.6</v>
      </c>
      <c r="AZ214" s="321">
        <f>+AV214</f>
        <v>17.8</v>
      </c>
      <c r="BA214" s="321">
        <f>+AW214</f>
        <v>14.8</v>
      </c>
      <c r="BB214" s="136">
        <f>+AZ214+BA214</f>
        <v>32.6</v>
      </c>
      <c r="BD214" s="321">
        <f>+AZ214</f>
        <v>17.8</v>
      </c>
      <c r="BE214" s="321">
        <f>+BA214</f>
        <v>14.8</v>
      </c>
      <c r="BF214" s="136">
        <f>+BD214+BE214</f>
        <v>32.6</v>
      </c>
      <c r="BH214" s="321">
        <f>+BD214</f>
        <v>17.8</v>
      </c>
      <c r="BI214" s="321">
        <f>+BE214</f>
        <v>14.8</v>
      </c>
      <c r="BJ214" s="136">
        <f>+BH214+BI214</f>
        <v>32.6</v>
      </c>
      <c r="BL214" s="321">
        <f>+BH214</f>
        <v>17.8</v>
      </c>
      <c r="BM214" s="321">
        <f>+BI214</f>
        <v>14.8</v>
      </c>
      <c r="BN214" s="136">
        <f>+BL214+BM214</f>
        <v>32.6</v>
      </c>
      <c r="BP214" s="321">
        <f>+BL214</f>
        <v>17.8</v>
      </c>
      <c r="BQ214" s="321">
        <f>+BM214</f>
        <v>14.8</v>
      </c>
      <c r="BR214" s="136">
        <f>+BP214+BQ214</f>
        <v>32.6</v>
      </c>
      <c r="BT214" s="321">
        <f>+BP214</f>
        <v>17.8</v>
      </c>
      <c r="BU214" s="321">
        <f>+BQ214</f>
        <v>14.8</v>
      </c>
      <c r="BV214" s="136">
        <f>+BT214+BU214</f>
        <v>32.6</v>
      </c>
      <c r="BX214" s="321">
        <f>+BT214</f>
        <v>17.8</v>
      </c>
      <c r="BY214" s="321">
        <f>+BU214</f>
        <v>14.8</v>
      </c>
      <c r="BZ214" s="136">
        <f>+BX214+BY214</f>
        <v>32.6</v>
      </c>
    </row>
    <row r="215" spans="1:78">
      <c r="B215" s="150" t="s">
        <v>141</v>
      </c>
      <c r="D215" s="168">
        <f>6.786+3.284</f>
        <v>10.07</v>
      </c>
      <c r="E215" s="136">
        <f>F215-D215</f>
        <v>13.827000000000002</v>
      </c>
      <c r="F215" s="168">
        <f>7.512+13.268+3.117</f>
        <v>23.897000000000002</v>
      </c>
      <c r="H215" s="168">
        <f>7.284+0.526+3.253</f>
        <v>11.062999999999999</v>
      </c>
      <c r="I215" s="136">
        <f>J215-H215</f>
        <v>11.829000000000001</v>
      </c>
      <c r="J215" s="168">
        <f>7.577+13.32+1.995</f>
        <v>22.891999999999999</v>
      </c>
      <c r="L215" s="168">
        <f>6.564+0.34+3.411</f>
        <v>10.315</v>
      </c>
      <c r="M215" s="136">
        <f>N215-L215</f>
        <v>11.885</v>
      </c>
      <c r="N215" s="168">
        <f>7.9+12.1+2.2</f>
        <v>22.2</v>
      </c>
      <c r="P215" s="168">
        <v>4.4000000000000004</v>
      </c>
      <c r="Q215" s="136">
        <f>R215-P215</f>
        <v>6</v>
      </c>
      <c r="R215" s="168">
        <v>10.4</v>
      </c>
      <c r="T215" s="168">
        <v>4.4000000000000004</v>
      </c>
      <c r="U215" s="136">
        <f t="shared" si="1198"/>
        <v>11.4</v>
      </c>
      <c r="V215" s="168">
        <v>15.8</v>
      </c>
      <c r="X215" s="168">
        <v>10.1</v>
      </c>
      <c r="Y215" s="136">
        <f t="shared" si="1199"/>
        <v>5.4</v>
      </c>
      <c r="Z215" s="168">
        <v>15.5</v>
      </c>
      <c r="AB215" s="168">
        <v>6.2</v>
      </c>
      <c r="AC215" s="136">
        <f t="shared" si="1200"/>
        <v>5.4999999999999991</v>
      </c>
      <c r="AD215" s="168">
        <v>11.7</v>
      </c>
      <c r="AF215" s="264">
        <v>7</v>
      </c>
      <c r="AG215" s="136">
        <f t="shared" si="1201"/>
        <v>11.64</v>
      </c>
      <c r="AH215" s="264">
        <v>18.64</v>
      </c>
      <c r="AJ215" s="264">
        <v>6.9</v>
      </c>
      <c r="AK215" s="136">
        <f t="shared" si="1202"/>
        <v>8.1999999999999993</v>
      </c>
      <c r="AL215" s="264">
        <v>15.1</v>
      </c>
      <c r="AN215" s="168">
        <v>7.1</v>
      </c>
      <c r="AO215" s="136">
        <f t="shared" si="1203"/>
        <v>12.1</v>
      </c>
      <c r="AP215" s="912">
        <v>19.2</v>
      </c>
      <c r="AR215" s="321">
        <f>+AN215</f>
        <v>7.1</v>
      </c>
      <c r="AS215" s="321">
        <f>+AO215</f>
        <v>12.1</v>
      </c>
      <c r="AT215" s="136">
        <f>+AR215+AS215</f>
        <v>19.2</v>
      </c>
      <c r="AV215" s="321">
        <f>+AR215</f>
        <v>7.1</v>
      </c>
      <c r="AW215" s="321">
        <f>+AS215</f>
        <v>12.1</v>
      </c>
      <c r="AX215" s="136">
        <f>+AV215+AW215</f>
        <v>19.2</v>
      </c>
      <c r="AZ215" s="321">
        <f>+AV215</f>
        <v>7.1</v>
      </c>
      <c r="BA215" s="321">
        <f>+AW215</f>
        <v>12.1</v>
      </c>
      <c r="BB215" s="136">
        <f>+AZ215+BA215</f>
        <v>19.2</v>
      </c>
      <c r="BD215" s="321">
        <f>+AZ215</f>
        <v>7.1</v>
      </c>
      <c r="BE215" s="321">
        <f>+BA215</f>
        <v>12.1</v>
      </c>
      <c r="BF215" s="136">
        <f>+BD215+BE215</f>
        <v>19.2</v>
      </c>
      <c r="BH215" s="321">
        <f>+BD215</f>
        <v>7.1</v>
      </c>
      <c r="BI215" s="321">
        <f>+BE215</f>
        <v>12.1</v>
      </c>
      <c r="BJ215" s="136">
        <f>+BH215+BI215</f>
        <v>19.2</v>
      </c>
      <c r="BL215" s="321">
        <f>+BH215</f>
        <v>7.1</v>
      </c>
      <c r="BM215" s="321">
        <f>+BI215</f>
        <v>12.1</v>
      </c>
      <c r="BN215" s="136">
        <f>+BL215+BM215</f>
        <v>19.2</v>
      </c>
      <c r="BP215" s="321">
        <f>+BL215</f>
        <v>7.1</v>
      </c>
      <c r="BQ215" s="321">
        <f>+BM215</f>
        <v>12.1</v>
      </c>
      <c r="BR215" s="136">
        <f>+BP215+BQ215</f>
        <v>19.2</v>
      </c>
      <c r="BT215" s="321">
        <f>+BP215</f>
        <v>7.1</v>
      </c>
      <c r="BU215" s="321">
        <f>+BQ215</f>
        <v>12.1</v>
      </c>
      <c r="BV215" s="136">
        <f>+BT215+BU215</f>
        <v>19.2</v>
      </c>
      <c r="BX215" s="321">
        <f>+BT215</f>
        <v>7.1</v>
      </c>
      <c r="BY215" s="321">
        <f>+BU215</f>
        <v>12.1</v>
      </c>
      <c r="BZ215" s="136">
        <f>+BX215+BY215</f>
        <v>19.2</v>
      </c>
    </row>
    <row r="216" spans="1:78" s="135" customFormat="1">
      <c r="A216" s="134"/>
      <c r="B216" s="151" t="s">
        <v>608</v>
      </c>
      <c r="D216" s="232">
        <f>+D211+D213+D214+D215</f>
        <v>148.21199999999999</v>
      </c>
      <c r="E216" s="232">
        <f>+E211+E213+E214+E215</f>
        <v>160.10400000000001</v>
      </c>
      <c r="F216" s="232">
        <f>+F211+F213+F214+F215</f>
        <v>308.31599999999997</v>
      </c>
      <c r="G216" s="133"/>
      <c r="H216" s="232">
        <f>+H211+H213+H214+H215</f>
        <v>143.613</v>
      </c>
      <c r="I216" s="232">
        <f>+I211+I213+I214+I215</f>
        <v>169.10700000000003</v>
      </c>
      <c r="J216" s="232">
        <f>+J211+J213+J214+J215</f>
        <v>312.71999999999997</v>
      </c>
      <c r="K216" s="133"/>
      <c r="L216" s="232">
        <f>+L211+L213+L214+L215</f>
        <v>154.44</v>
      </c>
      <c r="M216" s="232">
        <f>+M211+M213+M214+M215</f>
        <v>183.16</v>
      </c>
      <c r="N216" s="232">
        <f>+N211+N213+N214+N215</f>
        <v>337.59999999999997</v>
      </c>
      <c r="O216" s="133"/>
      <c r="P216" s="232">
        <f>+P211+P213+P214+P215</f>
        <v>188.00000000000003</v>
      </c>
      <c r="Q216" s="232">
        <f>+Q211+Q213+Q214+Q215</f>
        <v>190.3</v>
      </c>
      <c r="R216" s="232">
        <f>+R211+R213+R214+R215</f>
        <v>378.3</v>
      </c>
      <c r="S216" s="133"/>
      <c r="T216" s="232">
        <f>+T211+T213+T214+T215</f>
        <v>188.00000000000003</v>
      </c>
      <c r="U216" s="232">
        <f>+U211+U213+U214+U215</f>
        <v>206.89999999999998</v>
      </c>
      <c r="V216" s="232">
        <f>+V211+V213+V214+V215</f>
        <v>394.9</v>
      </c>
      <c r="W216" s="133"/>
      <c r="X216" s="232">
        <f>+X211+X213+X214+X215</f>
        <v>205.5</v>
      </c>
      <c r="Y216" s="232">
        <f>+Y211+Y213+Y214+Y215</f>
        <v>223.7</v>
      </c>
      <c r="Z216" s="232">
        <f>+Z211+Z213+Z214+Z215</f>
        <v>429.2</v>
      </c>
      <c r="AA216" s="133"/>
      <c r="AB216" s="232">
        <f>+AB211+AB213+AB214+AB215</f>
        <v>219</v>
      </c>
      <c r="AC216" s="232">
        <f>+AC211+AC213+AC214+AC215</f>
        <v>238.2</v>
      </c>
      <c r="AD216" s="232">
        <f>+AD211+AD213+AD214+AD215</f>
        <v>457.2</v>
      </c>
      <c r="AE216" s="133"/>
      <c r="AF216" s="323">
        <f>+AF211+AF213+AF214+AF215</f>
        <v>249.70000000000002</v>
      </c>
      <c r="AG216" s="232">
        <f>+AG211+AG213+AG214+AG215</f>
        <v>269.97999999999996</v>
      </c>
      <c r="AH216" s="232">
        <f>+AH211+AH213+AH214+AH215</f>
        <v>519.68000000000006</v>
      </c>
      <c r="AI216" s="133"/>
      <c r="AJ216" s="323">
        <f>+AJ211+AJ213+AJ214+AJ215</f>
        <v>274.8</v>
      </c>
      <c r="AK216" s="232">
        <f>+AK211+AK213+AK214+AK215</f>
        <v>288.86899999999997</v>
      </c>
      <c r="AL216" s="323">
        <f>+AL211+AL213+AL214+AL215</f>
        <v>563.66899999999998</v>
      </c>
      <c r="AM216" s="133"/>
      <c r="AN216" s="232">
        <f>+AN211+AN213+AN214+AN215</f>
        <v>302.60000000000002</v>
      </c>
      <c r="AO216" s="232">
        <f>+AO211+AO213+AO214+AO215</f>
        <v>308.50000000000006</v>
      </c>
      <c r="AP216" s="323">
        <f>+AP211+AP213+AP214+AP215</f>
        <v>611.1</v>
      </c>
      <c r="AQ216" s="133"/>
      <c r="AR216" s="232">
        <f>+AR211+AR213+AR214+AR215</f>
        <v>318.07400000000001</v>
      </c>
      <c r="AS216" s="232">
        <f>+AS211+AS213+AS214+AS215</f>
        <v>322.0800000000001</v>
      </c>
      <c r="AT216" s="232">
        <f>+AT211+AT213+AT214+AT215</f>
        <v>640.15400000000011</v>
      </c>
      <c r="AU216" s="133"/>
      <c r="AV216" s="232">
        <f>+AV211+AV213+AV214+AV215</f>
        <v>327.95098935000004</v>
      </c>
      <c r="AW216" s="232">
        <f>+AW211+AW213+AW214+AW215</f>
        <v>332.69456448387109</v>
      </c>
      <c r="AX216" s="232">
        <f>+AX211+AX213+AX214+AX215</f>
        <v>660.64555383387108</v>
      </c>
      <c r="AY216" s="133"/>
      <c r="AZ216" s="232">
        <f>+AZ211+AZ213+AZ214+AZ215</f>
        <v>338.32284634973689</v>
      </c>
      <c r="BA216" s="232">
        <f>+BA211+BA213+BA214+BA215</f>
        <v>343.81432293035766</v>
      </c>
      <c r="BB216" s="232">
        <f>+BB211+BB213+BB214+BB215</f>
        <v>682.13716928009455</v>
      </c>
      <c r="BC216" s="133"/>
      <c r="BD216" s="232">
        <f>+BD211+BD213+BD214+BD215</f>
        <v>349.18769671786009</v>
      </c>
      <c r="BE216" s="232">
        <f>+BE211+BE213+BE214+BE215</f>
        <v>355.46839987962682</v>
      </c>
      <c r="BF216" s="232">
        <f>+BF211+BF213+BF214+BF215</f>
        <v>704.65609659748691</v>
      </c>
      <c r="BG216" s="133"/>
      <c r="BH216" s="232">
        <f>+BH211+BH213+BH214+BH215</f>
        <v>360.51946376540224</v>
      </c>
      <c r="BI216" s="232">
        <f>+BI211+BI213+BI214+BI215</f>
        <v>367.63134789241445</v>
      </c>
      <c r="BJ216" s="232">
        <f>+BJ211+BJ213+BJ214+BJ215</f>
        <v>728.15081165781669</v>
      </c>
      <c r="BK216" s="133"/>
      <c r="BL216" s="232">
        <f>+BL211+BL213+BL214+BL215</f>
        <v>372.33996680955443</v>
      </c>
      <c r="BM216" s="232">
        <f>+BM211+BM213+BM214+BM215</f>
        <v>380.32713386621765</v>
      </c>
      <c r="BN216" s="232">
        <f>+BN211+BN213+BN214+BN215</f>
        <v>752.66710067577208</v>
      </c>
      <c r="BO216" s="133"/>
      <c r="BP216" s="232">
        <f>+BP211+BP213+BP214+BP215</f>
        <v>384.67208560303186</v>
      </c>
      <c r="BQ216" s="232">
        <f>+BQ211+BQ213+BQ214+BQ215</f>
        <v>393.58089351029457</v>
      </c>
      <c r="BR216" s="232">
        <f>+BR211+BR213+BR214+BR215</f>
        <v>778.25297911332643</v>
      </c>
      <c r="BS216" s="133"/>
      <c r="BT216" s="232">
        <f>+BT211+BT213+BT214+BT215</f>
        <v>397.53981274524318</v>
      </c>
      <c r="BU216" s="232">
        <f>+BU211+BU213+BU214+BU215</f>
        <v>407.41898919559071</v>
      </c>
      <c r="BV216" s="232">
        <f>+BV211+BV213+BV214+BV215</f>
        <v>804.95880194083384</v>
      </c>
      <c r="BW216" s="133"/>
      <c r="BX216" s="232">
        <f>+BX211+BX213+BX214+BX215</f>
        <v>410.96830870180622</v>
      </c>
      <c r="BY216" s="232">
        <f>+BY211+BY213+BY214+BY215</f>
        <v>421.86907068534725</v>
      </c>
      <c r="BZ216" s="232">
        <f>+BZ211+BZ213+BZ214+BZ215</f>
        <v>832.83737938715342</v>
      </c>
    </row>
    <row r="217" spans="1:78" s="135" customFormat="1">
      <c r="A217" s="134"/>
      <c r="B217" s="408" t="s">
        <v>249</v>
      </c>
      <c r="D217" s="232"/>
      <c r="E217" s="232"/>
      <c r="F217" s="232"/>
      <c r="H217" s="232"/>
      <c r="I217" s="232"/>
      <c r="J217" s="232"/>
      <c r="L217" s="232"/>
      <c r="M217" s="232"/>
      <c r="N217" s="232"/>
      <c r="P217" s="232"/>
      <c r="Q217" s="232"/>
      <c r="R217" s="232"/>
      <c r="T217" s="232"/>
      <c r="U217" s="232"/>
      <c r="V217" s="232"/>
      <c r="X217" s="387">
        <f>+X216/T216-1</f>
        <v>9.3085106382978511E-2</v>
      </c>
      <c r="Y217" s="387">
        <f>+Y216/U216-1</f>
        <v>8.1198646689221832E-2</v>
      </c>
      <c r="Z217" s="387">
        <f>+Z216/V216-1</f>
        <v>8.6857432261332024E-2</v>
      </c>
      <c r="AB217" s="387">
        <f>+AB216/X216-1</f>
        <v>6.5693430656934337E-2</v>
      </c>
      <c r="AC217" s="387">
        <f>+AC216/Y216-1</f>
        <v>6.4818953956191416E-2</v>
      </c>
      <c r="AD217" s="387">
        <f>+AD216/Z216-1</f>
        <v>6.5237651444548073E-2</v>
      </c>
      <c r="AF217" s="388">
        <f>+AF216/AB216-1</f>
        <v>0.14018264840182648</v>
      </c>
      <c r="AG217" s="387">
        <f>+AG216/AC216-1</f>
        <v>0.13341729638958855</v>
      </c>
      <c r="AH217" s="387">
        <f>+AH216/AD216-1</f>
        <v>0.13665791776028002</v>
      </c>
      <c r="AJ217" s="388">
        <f>+AJ216/AF216-1</f>
        <v>0.10052062474969969</v>
      </c>
      <c r="AK217" s="387">
        <f>+AK216/AG216-1</f>
        <v>6.9964441810504541E-2</v>
      </c>
      <c r="AL217" s="388">
        <f>+AL216/AH216-1</f>
        <v>8.4646320812807652E-2</v>
      </c>
      <c r="AN217" s="388">
        <f>+AN216/AJ216-1</f>
        <v>0.10116448326055316</v>
      </c>
      <c r="AO217" s="387">
        <f>+AO216/AK216-1</f>
        <v>6.7958140195036876E-2</v>
      </c>
      <c r="AP217" s="388">
        <f>+AP216/AL216-1</f>
        <v>8.4146901816491759E-2</v>
      </c>
      <c r="AR217" s="387">
        <f>+AR216/AN216-1</f>
        <v>5.1136814276272258E-2</v>
      </c>
      <c r="AS217" s="387">
        <f>+AS216/AO216-1</f>
        <v>4.4019448946515549E-2</v>
      </c>
      <c r="AT217" s="387">
        <f>+AT216/AP216-1</f>
        <v>4.7543773523155197E-2</v>
      </c>
      <c r="AV217" s="387">
        <f>+AV216/AR216-1</f>
        <v>3.105248888623402E-2</v>
      </c>
      <c r="AW217" s="387">
        <f>+AW216/AS216-1</f>
        <v>3.2956298074611867E-2</v>
      </c>
      <c r="AX217" s="387">
        <f>+AX216/AT216-1</f>
        <v>3.2010350374864327E-2</v>
      </c>
      <c r="AZ217" s="387">
        <f>+AZ216/AV216-1</f>
        <v>3.1626240921833748E-2</v>
      </c>
      <c r="BA217" s="387">
        <f>+BA216/AW216-1</f>
        <v>3.3423324675404098E-2</v>
      </c>
      <c r="BB217" s="387">
        <f>+BB216/AX216-1</f>
        <v>3.2531234519785901E-2</v>
      </c>
      <c r="BD217" s="387">
        <f>+BD216/AZ216-1</f>
        <v>3.2113853632254497E-2</v>
      </c>
      <c r="BE217" s="387">
        <f>+BE216/BA216-1</f>
        <v>3.3896426565189319E-2</v>
      </c>
      <c r="BF217" s="387">
        <f>+BF216/BB216-1</f>
        <v>3.3012315310655405E-2</v>
      </c>
      <c r="BH217" s="387">
        <f>+BH216/BD216-1</f>
        <v>3.2451793559891806E-2</v>
      </c>
      <c r="BI217" s="387">
        <f>+BI216/BE216-1</f>
        <v>3.4216678660905941E-2</v>
      </c>
      <c r="BJ217" s="387">
        <f>+BJ216/BF216-1</f>
        <v>3.3342101450305694E-2</v>
      </c>
      <c r="BL217" s="387">
        <f>+BL216/BH216-1</f>
        <v>3.2787419909855453E-2</v>
      </c>
      <c r="BM217" s="387">
        <f>+BM216/BI216-1</f>
        <v>3.4534013616049242E-2</v>
      </c>
      <c r="BN217" s="387">
        <f>+BN216/BJ216-1</f>
        <v>3.3669246295472632E-2</v>
      </c>
      <c r="BP217" s="387">
        <f>+BP216/BL216-1</f>
        <v>3.3120588421239994E-2</v>
      </c>
      <c r="BQ217" s="387">
        <f>+BQ216/BM216-1</f>
        <v>3.4848314684639448E-2</v>
      </c>
      <c r="BR217" s="387">
        <f>+BR216/BN216-1</f>
        <v>3.3993618712153673E-2</v>
      </c>
      <c r="BT217" s="387">
        <f>+BT216/BP216-1</f>
        <v>3.3451159113974116E-2</v>
      </c>
      <c r="BU217" s="387">
        <f>+BU216/BQ216-1</f>
        <v>3.5159470171115315E-2</v>
      </c>
      <c r="BV217" s="387">
        <f>+BV216/BR216-1</f>
        <v>3.4315092321180352E-2</v>
      </c>
      <c r="BX217" s="387">
        <f>+BX216/BT216-1</f>
        <v>3.3778996533281758E-2</v>
      </c>
      <c r="BY217" s="387">
        <f>+BY216/BU216-1</f>
        <v>3.5467373571091532E-2</v>
      </c>
      <c r="BZ217" s="387">
        <f>+BZ216/BV216-1</f>
        <v>3.4633545690911927E-2</v>
      </c>
    </row>
    <row r="218" spans="1:78" s="135" customFormat="1">
      <c r="A218" s="134"/>
      <c r="B218" s="314"/>
      <c r="D218" s="232"/>
      <c r="E218" s="232"/>
      <c r="F218" s="232"/>
      <c r="G218" s="133"/>
      <c r="H218" s="232"/>
      <c r="I218" s="232"/>
      <c r="J218" s="232"/>
      <c r="K218" s="133"/>
      <c r="L218" s="232"/>
      <c r="M218" s="232"/>
      <c r="N218" s="232"/>
      <c r="O218" s="133"/>
      <c r="P218" s="232"/>
      <c r="Q218" s="232"/>
      <c r="R218" s="232"/>
      <c r="S218" s="133"/>
      <c r="T218" s="232"/>
      <c r="U218" s="232"/>
      <c r="V218" s="232"/>
      <c r="W218" s="133"/>
      <c r="X218" s="315"/>
      <c r="Y218" s="315"/>
      <c r="Z218" s="315"/>
      <c r="AA218" s="133"/>
      <c r="AB218" s="315"/>
      <c r="AC218" s="315"/>
      <c r="AD218" s="315"/>
      <c r="AE218" s="133"/>
      <c r="AF218" s="374"/>
      <c r="AG218" s="315"/>
      <c r="AH218" s="315"/>
      <c r="AI218" s="133"/>
      <c r="AJ218" s="374"/>
      <c r="AK218" s="315"/>
      <c r="AL218" s="374"/>
      <c r="AM218" s="133"/>
      <c r="AN218" s="374"/>
      <c r="AO218" s="315"/>
      <c r="AP218" s="374"/>
      <c r="AQ218" s="133"/>
      <c r="AR218" s="315"/>
      <c r="AS218" s="315"/>
      <c r="AT218" s="315"/>
      <c r="AU218" s="133"/>
      <c r="AV218" s="315"/>
      <c r="AW218" s="315"/>
      <c r="AX218" s="315"/>
      <c r="AY218" s="133"/>
      <c r="AZ218" s="315"/>
      <c r="BA218" s="315"/>
      <c r="BB218" s="315"/>
      <c r="BC218" s="133"/>
      <c r="BD218" s="315"/>
      <c r="BE218" s="315"/>
      <c r="BF218" s="315"/>
      <c r="BG218" s="133"/>
      <c r="BH218" s="315"/>
      <c r="BI218" s="315"/>
      <c r="BJ218" s="315"/>
      <c r="BK218" s="133"/>
      <c r="BL218" s="315"/>
      <c r="BM218" s="315"/>
      <c r="BN218" s="315"/>
      <c r="BO218" s="133"/>
      <c r="BP218" s="315"/>
      <c r="BQ218" s="315"/>
      <c r="BR218" s="315"/>
      <c r="BS218" s="133"/>
      <c r="BT218" s="315"/>
      <c r="BU218" s="315"/>
      <c r="BV218" s="315"/>
      <c r="BW218" s="133"/>
      <c r="BX218" s="315"/>
      <c r="BY218" s="315"/>
      <c r="BZ218" s="315"/>
    </row>
    <row r="219" spans="1:78" s="523" customFormat="1">
      <c r="A219" s="522"/>
      <c r="B219" s="526" t="s">
        <v>640</v>
      </c>
      <c r="X219" s="689">
        <v>0</v>
      </c>
      <c r="Y219" s="689">
        <v>0</v>
      </c>
      <c r="Z219" s="690">
        <f>+Y219+X219</f>
        <v>0</v>
      </c>
      <c r="AA219" s="688"/>
      <c r="AB219" s="689">
        <v>0</v>
      </c>
      <c r="AC219" s="689">
        <v>0</v>
      </c>
      <c r="AD219" s="690">
        <f>+AC219+AB219</f>
        <v>0</v>
      </c>
      <c r="AE219" s="688"/>
      <c r="AF219" s="689">
        <v>0</v>
      </c>
      <c r="AG219" s="689">
        <v>0</v>
      </c>
      <c r="AH219" s="690">
        <f>+AG219+AF219</f>
        <v>0</v>
      </c>
      <c r="AI219" s="688"/>
      <c r="AJ219" s="689">
        <v>0</v>
      </c>
      <c r="AK219" s="689">
        <v>0</v>
      </c>
      <c r="AL219" s="844">
        <f>+AK219+AJ219</f>
        <v>0</v>
      </c>
      <c r="AM219" s="232"/>
      <c r="AN219" s="689">
        <v>0</v>
      </c>
      <c r="AO219" s="689">
        <v>0</v>
      </c>
      <c r="AP219" s="844">
        <f>+AO219+AN219</f>
        <v>0</v>
      </c>
      <c r="AQ219" s="232"/>
      <c r="AR219" s="232">
        <f>CF!AR152</f>
        <v>-3.6111529999999998</v>
      </c>
      <c r="AS219" s="232">
        <f>CF!AS152</f>
        <v>-3.4708909677419353</v>
      </c>
      <c r="AT219" s="232">
        <f t="shared" ref="AT219" si="1204">AS219+AR219</f>
        <v>-7.0820439677419351</v>
      </c>
      <c r="AU219" s="232"/>
      <c r="AV219" s="232">
        <f>CF!AV152</f>
        <v>-3.610183302631579</v>
      </c>
      <c r="AW219" s="232">
        <f>CF!AW152</f>
        <v>-3.4952093121019105</v>
      </c>
      <c r="AX219" s="232">
        <f t="shared" ref="AX219" si="1205">AW219+AV219</f>
        <v>-7.1053926147334892</v>
      </c>
      <c r="AY219" s="232"/>
      <c r="AZ219" s="232">
        <f>CF!AZ152</f>
        <v>-3.634563761298701</v>
      </c>
      <c r="BA219" s="232">
        <f>CF!BA152</f>
        <v>-3.5158468545226125</v>
      </c>
      <c r="BB219" s="232">
        <f t="shared" ref="BB219" si="1206">BA219+AZ219</f>
        <v>-7.150410615821313</v>
      </c>
      <c r="BC219" s="232"/>
      <c r="BD219" s="232">
        <f>CF!BD152</f>
        <v>-3.7072550365246757</v>
      </c>
      <c r="BE219" s="232">
        <f>CF!BE152</f>
        <v>-3.5861637916130658</v>
      </c>
      <c r="BF219" s="232">
        <f t="shared" ref="BF219" si="1207">BE219+BD219</f>
        <v>-7.2934188281377414</v>
      </c>
      <c r="BG219" s="232"/>
      <c r="BH219" s="232">
        <f>CF!BH152</f>
        <v>-3.7814001372551687</v>
      </c>
      <c r="BI219" s="232">
        <f>CF!BI152</f>
        <v>-3.6578870674453263</v>
      </c>
      <c r="BJ219" s="232">
        <f t="shared" ref="BJ219" si="1208">BI219+BH219</f>
        <v>-7.439287204700495</v>
      </c>
      <c r="BK219" s="232"/>
      <c r="BL219" s="232">
        <f>CF!BL152</f>
        <v>-3.8570281400002728</v>
      </c>
      <c r="BM219" s="232">
        <f>CF!BM152</f>
        <v>-3.7310448087942336</v>
      </c>
      <c r="BN219" s="232">
        <f t="shared" ref="BN219" si="1209">BM219+BL219</f>
        <v>-7.5880729487945064</v>
      </c>
      <c r="BO219" s="232"/>
      <c r="BP219" s="232">
        <f>CF!BP152</f>
        <v>-3.9341687028002781</v>
      </c>
      <c r="BQ219" s="232">
        <f>CF!BQ152</f>
        <v>-3.8056657049701181</v>
      </c>
      <c r="BR219" s="232">
        <f t="shared" ref="BR219" si="1210">BQ219+BP219</f>
        <v>-7.7398344077703962</v>
      </c>
      <c r="BS219" s="232"/>
      <c r="BT219" s="232">
        <f>CF!BT152</f>
        <v>-4.0128520768562828</v>
      </c>
      <c r="BU219" s="232">
        <f>CF!BU152</f>
        <v>-3.8817790190695201</v>
      </c>
      <c r="BV219" s="232">
        <f t="shared" ref="BV219" si="1211">BU219+BT219</f>
        <v>-7.8946310959258028</v>
      </c>
      <c r="BW219" s="232"/>
      <c r="BX219" s="232">
        <f>CF!BX152</f>
        <v>-4.0931091183934099</v>
      </c>
      <c r="BY219" s="232">
        <f>CF!BY152</f>
        <v>-3.9594145994509113</v>
      </c>
      <c r="BZ219" s="232">
        <f t="shared" ref="BZ219" si="1212">BY219+BX219</f>
        <v>-8.0525237178443216</v>
      </c>
    </row>
    <row r="220" spans="1:78" s="135" customFormat="1">
      <c r="A220" s="134"/>
      <c r="B220" s="314" t="s">
        <v>499</v>
      </c>
      <c r="D220" s="232"/>
      <c r="E220" s="232"/>
      <c r="F220" s="232"/>
      <c r="G220" s="133"/>
      <c r="H220" s="232"/>
      <c r="I220" s="232"/>
      <c r="J220" s="232"/>
      <c r="K220" s="133"/>
      <c r="L220" s="232"/>
      <c r="M220" s="232"/>
      <c r="N220" s="232"/>
      <c r="O220" s="133"/>
      <c r="P220" s="232"/>
      <c r="Q220" s="232"/>
      <c r="R220" s="232"/>
      <c r="S220" s="133"/>
      <c r="T220" s="232"/>
      <c r="U220" s="232"/>
      <c r="V220" s="232"/>
      <c r="W220" s="133"/>
      <c r="X220" s="315"/>
      <c r="Y220" s="315"/>
      <c r="Z220" s="315"/>
      <c r="AA220" s="133"/>
      <c r="AB220" s="315"/>
      <c r="AC220" s="315"/>
      <c r="AD220" s="315"/>
      <c r="AE220" s="133"/>
      <c r="AF220" s="374"/>
      <c r="AG220" s="315"/>
      <c r="AH220" s="315"/>
      <c r="AI220" s="133"/>
      <c r="AJ220" s="374"/>
      <c r="AK220" s="315"/>
      <c r="AL220" s="374"/>
      <c r="AM220" s="841"/>
      <c r="AN220" s="374"/>
      <c r="AO220" s="315"/>
      <c r="AP220" s="374"/>
      <c r="AQ220" s="133"/>
      <c r="AR220" s="315">
        <f>+AR219/AO216</f>
        <v>-1.1705520259319284E-2</v>
      </c>
      <c r="AS220" s="315">
        <f>+AS219/AR216</f>
        <v>-1.0912212151077847E-2</v>
      </c>
      <c r="AT220" s="315">
        <f>+AT219/AP216</f>
        <v>-1.1589009929212787E-2</v>
      </c>
      <c r="AU220" s="133"/>
      <c r="AV220" s="315">
        <f>+AV219/AS216</f>
        <v>-1.1208964551141263E-2</v>
      </c>
      <c r="AW220" s="315">
        <f>+AW219/AV216</f>
        <v>-1.0657718456740829E-2</v>
      </c>
      <c r="AX220" s="315">
        <f>+AX219/AT216</f>
        <v>-1.1099505142096257E-2</v>
      </c>
      <c r="AY220" s="133"/>
      <c r="AZ220" s="315">
        <f>+AZ219/AW216</f>
        <v>-1.0924626216653754E-2</v>
      </c>
      <c r="BA220" s="315">
        <f>+BA219/AZ216</f>
        <v>-1.0391987690030696E-2</v>
      </c>
      <c r="BB220" s="315">
        <f>+BB219/AX216</f>
        <v>-1.0823369012817708E-2</v>
      </c>
      <c r="BC220" s="133"/>
      <c r="BD220" s="315">
        <f>+BD219/BA216</f>
        <v>-1.0782724247574788E-2</v>
      </c>
      <c r="BE220" s="315">
        <f>+BE219/BD216</f>
        <v>-1.0270017601767474E-2</v>
      </c>
      <c r="BF220" s="315">
        <f>+BF219/BB216</f>
        <v>-1.0692012041852196E-2</v>
      </c>
      <c r="BG220" s="133"/>
      <c r="BH220" s="315">
        <f>+BH219/BE216</f>
        <v>-1.0637795479248435E-2</v>
      </c>
      <c r="BI220" s="315">
        <f>+BI219/BH216</f>
        <v>-1.0146156962625441E-2</v>
      </c>
      <c r="BJ220" s="315">
        <f>+BJ219/BF216</f>
        <v>-1.0557330363878138E-2</v>
      </c>
      <c r="BK220" s="133"/>
      <c r="BL220" s="315">
        <f>+BL219/BI216</f>
        <v>-1.0491564884529417E-2</v>
      </c>
      <c r="BM220" s="315">
        <f>+BM219/BL216</f>
        <v>-1.0020532688886981E-2</v>
      </c>
      <c r="BN220" s="315">
        <f>+BN219/BJ216</f>
        <v>-1.04210183210788E-2</v>
      </c>
      <c r="BO220" s="133"/>
      <c r="BP220" s="315">
        <f>+BP219/BM216</f>
        <v>-1.034417045875077E-2</v>
      </c>
      <c r="BQ220" s="315">
        <f>+BQ219/BP216</f>
        <v>-9.8932723413089878E-3</v>
      </c>
      <c r="BR220" s="315">
        <f>+BR219/BN216</f>
        <v>-1.0283210732635039E-2</v>
      </c>
      <c r="BS220" s="133"/>
      <c r="BT220" s="315">
        <f>+BT219/BQ216</f>
        <v>-1.0195749191649523E-2</v>
      </c>
      <c r="BU220" s="315">
        <f>+BU219/BT216</f>
        <v>-9.7645038172745075E-3</v>
      </c>
      <c r="BV220" s="315">
        <f>+BV219/BR216</f>
        <v>-1.0144042243076612E-2</v>
      </c>
      <c r="BW220" s="133"/>
      <c r="BX220" s="315">
        <f>+BX219/BU216</f>
        <v>-1.0046436781149687E-2</v>
      </c>
      <c r="BY220" s="315">
        <f>+BY219/BX216</f>
        <v>-9.6343550478579995E-3</v>
      </c>
      <c r="BZ220" s="315">
        <f>+BZ219/BV216</f>
        <v>-1.0003647017001249E-2</v>
      </c>
    </row>
    <row r="221" spans="1:78" s="523" customFormat="1">
      <c r="A221" s="526"/>
      <c r="B221" s="586" t="s">
        <v>402</v>
      </c>
      <c r="D221" s="323">
        <f t="shared" ref="D221:Z221" si="1213">+D216</f>
        <v>148.21199999999999</v>
      </c>
      <c r="E221" s="323">
        <f t="shared" si="1213"/>
        <v>160.10400000000001</v>
      </c>
      <c r="F221" s="323">
        <f t="shared" si="1213"/>
        <v>308.31599999999997</v>
      </c>
      <c r="G221" s="259"/>
      <c r="H221" s="323">
        <f t="shared" si="1213"/>
        <v>143.613</v>
      </c>
      <c r="I221" s="323">
        <f t="shared" si="1213"/>
        <v>169.10700000000003</v>
      </c>
      <c r="J221" s="323">
        <f t="shared" si="1213"/>
        <v>312.71999999999997</v>
      </c>
      <c r="K221" s="259"/>
      <c r="L221" s="323">
        <f t="shared" si="1213"/>
        <v>154.44</v>
      </c>
      <c r="M221" s="323">
        <f t="shared" si="1213"/>
        <v>183.16</v>
      </c>
      <c r="N221" s="323">
        <f t="shared" si="1213"/>
        <v>337.59999999999997</v>
      </c>
      <c r="O221" s="259"/>
      <c r="P221" s="323">
        <f t="shared" si="1213"/>
        <v>188.00000000000003</v>
      </c>
      <c r="Q221" s="323">
        <f t="shared" si="1213"/>
        <v>190.3</v>
      </c>
      <c r="R221" s="323">
        <f t="shared" si="1213"/>
        <v>378.3</v>
      </c>
      <c r="S221" s="259"/>
      <c r="T221" s="323">
        <f t="shared" si="1213"/>
        <v>188.00000000000003</v>
      </c>
      <c r="U221" s="323">
        <f t="shared" si="1213"/>
        <v>206.89999999999998</v>
      </c>
      <c r="V221" s="323">
        <f t="shared" si="1213"/>
        <v>394.9</v>
      </c>
      <c r="W221" s="259"/>
      <c r="X221" s="323">
        <f t="shared" si="1213"/>
        <v>205.5</v>
      </c>
      <c r="Y221" s="323">
        <f t="shared" si="1213"/>
        <v>223.7</v>
      </c>
      <c r="Z221" s="323">
        <f t="shared" si="1213"/>
        <v>429.2</v>
      </c>
      <c r="AA221" s="259"/>
      <c r="AB221" s="323">
        <f>+AB216</f>
        <v>219</v>
      </c>
      <c r="AC221" s="323">
        <f t="shared" ref="AC221:AD221" si="1214">+AC216</f>
        <v>238.2</v>
      </c>
      <c r="AD221" s="323">
        <f t="shared" si="1214"/>
        <v>457.2</v>
      </c>
      <c r="AE221" s="259"/>
      <c r="AF221" s="323">
        <f>+AF216</f>
        <v>249.70000000000002</v>
      </c>
      <c r="AG221" s="323">
        <f t="shared" ref="AG221:AH221" si="1215">+AG216</f>
        <v>269.97999999999996</v>
      </c>
      <c r="AH221" s="323">
        <f t="shared" si="1215"/>
        <v>519.68000000000006</v>
      </c>
      <c r="AI221" s="323"/>
      <c r="AJ221" s="323">
        <f>+AJ216</f>
        <v>274.8</v>
      </c>
      <c r="AK221" s="323">
        <f t="shared" ref="AK221:AL221" si="1216">+AK216</f>
        <v>288.86899999999997</v>
      </c>
      <c r="AL221" s="323">
        <f t="shared" si="1216"/>
        <v>563.66899999999998</v>
      </c>
      <c r="AM221" s="323"/>
      <c r="AN221" s="323">
        <f>+AN216</f>
        <v>302.60000000000002</v>
      </c>
      <c r="AO221" s="323">
        <f t="shared" ref="AO221:AP221" si="1217">+AO216</f>
        <v>308.50000000000006</v>
      </c>
      <c r="AP221" s="323">
        <f t="shared" si="1217"/>
        <v>611.1</v>
      </c>
      <c r="AQ221" s="494"/>
      <c r="AR221" s="323">
        <f t="shared" ref="AR221:AT221" si="1218">AR216+AR219</f>
        <v>314.46284700000001</v>
      </c>
      <c r="AS221" s="323">
        <f t="shared" si="1218"/>
        <v>318.60910903225817</v>
      </c>
      <c r="AT221" s="323">
        <f t="shared" si="1218"/>
        <v>633.07195603225819</v>
      </c>
      <c r="AU221" s="323"/>
      <c r="AV221" s="323">
        <f t="shared" ref="AV221:AX221" si="1219">AV216+AV219</f>
        <v>324.34080604736846</v>
      </c>
      <c r="AW221" s="323">
        <f t="shared" si="1219"/>
        <v>329.19935517176918</v>
      </c>
      <c r="AX221" s="323">
        <f t="shared" si="1219"/>
        <v>653.54016121913764</v>
      </c>
      <c r="AY221" s="323"/>
      <c r="AZ221" s="323">
        <f t="shared" ref="AZ221:BB221" si="1220">AZ216+AZ219</f>
        <v>334.6882825884382</v>
      </c>
      <c r="BA221" s="323">
        <f t="shared" si="1220"/>
        <v>340.29847607583503</v>
      </c>
      <c r="BB221" s="323">
        <f t="shared" si="1220"/>
        <v>674.98675866427322</v>
      </c>
      <c r="BC221" s="323"/>
      <c r="BD221" s="323">
        <f t="shared" ref="BD221:BF221" si="1221">BD216+BD219</f>
        <v>345.48044168133544</v>
      </c>
      <c r="BE221" s="323">
        <f t="shared" si="1221"/>
        <v>351.88223608801377</v>
      </c>
      <c r="BF221" s="323">
        <f t="shared" si="1221"/>
        <v>697.36267776934915</v>
      </c>
      <c r="BG221" s="323"/>
      <c r="BH221" s="323">
        <f t="shared" ref="BH221:BJ221" si="1222">BH216+BH219</f>
        <v>356.73806362814707</v>
      </c>
      <c r="BI221" s="323">
        <f t="shared" si="1222"/>
        <v>363.97346082496915</v>
      </c>
      <c r="BJ221" s="323">
        <f t="shared" si="1222"/>
        <v>720.71152445311623</v>
      </c>
      <c r="BK221" s="323"/>
      <c r="BL221" s="323">
        <f t="shared" ref="BL221:BN221" si="1223">BL216+BL219</f>
        <v>368.48293866955413</v>
      </c>
      <c r="BM221" s="323">
        <f t="shared" si="1223"/>
        <v>376.5960890574234</v>
      </c>
      <c r="BN221" s="323">
        <f t="shared" si="1223"/>
        <v>745.07902772697753</v>
      </c>
      <c r="BO221" s="323"/>
      <c r="BP221" s="323">
        <f t="shared" ref="BP221:BR221" si="1224">BP216+BP219</f>
        <v>380.7379169002316</v>
      </c>
      <c r="BQ221" s="323">
        <f t="shared" si="1224"/>
        <v>389.77522780532445</v>
      </c>
      <c r="BR221" s="323">
        <f t="shared" si="1224"/>
        <v>770.51314470555599</v>
      </c>
      <c r="BS221" s="323"/>
      <c r="BT221" s="323">
        <f t="shared" ref="BT221:BV221" si="1225">BT216+BT219</f>
        <v>393.52696066838689</v>
      </c>
      <c r="BU221" s="323">
        <f t="shared" si="1225"/>
        <v>403.53721017652117</v>
      </c>
      <c r="BV221" s="323">
        <f t="shared" si="1225"/>
        <v>797.06417084490806</v>
      </c>
      <c r="BW221" s="323"/>
      <c r="BX221" s="323">
        <f t="shared" ref="BX221:BZ221" si="1226">BX216+BX219</f>
        <v>406.87519958341284</v>
      </c>
      <c r="BY221" s="323">
        <f t="shared" si="1226"/>
        <v>417.90965608589636</v>
      </c>
      <c r="BZ221" s="323">
        <f t="shared" si="1226"/>
        <v>824.78485566930908</v>
      </c>
    </row>
    <row r="222" spans="1:78" s="671" customFormat="1" ht="17.399999999999999" customHeight="1" thickBot="1">
      <c r="A222" s="669"/>
      <c r="B222" s="670" t="s">
        <v>612</v>
      </c>
      <c r="D222" s="672"/>
      <c r="E222" s="672"/>
      <c r="F222" s="672"/>
      <c r="H222" s="672">
        <f>+H221/D221-1</f>
        <v>-3.1029876123390698E-2</v>
      </c>
      <c r="I222" s="672">
        <f>+I221/E221-1</f>
        <v>5.6232199070604283E-2</v>
      </c>
      <c r="J222" s="672">
        <f>+J221/F221-1</f>
        <v>1.428404623827495E-2</v>
      </c>
      <c r="L222" s="672">
        <f>+L221/H221-1</f>
        <v>7.539011092310588E-2</v>
      </c>
      <c r="M222" s="672">
        <f>+M221/I221-1</f>
        <v>8.3101231764503902E-2</v>
      </c>
      <c r="N222" s="672">
        <f>+N221/J221-1</f>
        <v>7.9559989767203909E-2</v>
      </c>
      <c r="P222" s="672">
        <f>+P221/L221-1</f>
        <v>0.21730121730121743</v>
      </c>
      <c r="Q222" s="672">
        <f>+Q221/M221-1</f>
        <v>3.8982310548154597E-2</v>
      </c>
      <c r="R222" s="672">
        <f>+R221/N221-1</f>
        <v>0.12055687203791488</v>
      </c>
      <c r="T222" s="672">
        <f>+T221/P221-1</f>
        <v>0</v>
      </c>
      <c r="U222" s="672">
        <f>+U221/Q221-1</f>
        <v>8.7230688386757516E-2</v>
      </c>
      <c r="V222" s="672">
        <f>+V221/R221-1</f>
        <v>4.3880518107322075E-2</v>
      </c>
      <c r="X222" s="672">
        <f>+X221/T221-1</f>
        <v>9.3085106382978511E-2</v>
      </c>
      <c r="Y222" s="672">
        <f>+Y221/U221-1</f>
        <v>8.1198646689221832E-2</v>
      </c>
      <c r="Z222" s="672">
        <f>+Z221/V221-1</f>
        <v>8.6857432261332024E-2</v>
      </c>
      <c r="AB222" s="672">
        <f>+AB221/X221-1</f>
        <v>6.5693430656934337E-2</v>
      </c>
      <c r="AC222" s="672">
        <f>+AC221/Y221-1</f>
        <v>6.4818953956191416E-2</v>
      </c>
      <c r="AD222" s="672">
        <f>+AD221/Z221-1</f>
        <v>6.5237651444548073E-2</v>
      </c>
      <c r="AF222" s="673">
        <f>+AF221/AB221-1</f>
        <v>0.14018264840182648</v>
      </c>
      <c r="AG222" s="672">
        <f>+AG221/AC221-1</f>
        <v>0.13341729638958855</v>
      </c>
      <c r="AH222" s="672">
        <f>+AH221/AD221-1</f>
        <v>0.13665791776028002</v>
      </c>
      <c r="AJ222" s="673">
        <f>+AJ221/AF221-1</f>
        <v>0.10052062474969969</v>
      </c>
      <c r="AK222" s="672">
        <f>+AK221/AG221-1</f>
        <v>6.9964441810504541E-2</v>
      </c>
      <c r="AL222" s="673">
        <f>+AL221/AH221-1</f>
        <v>8.4646320812807652E-2</v>
      </c>
      <c r="AN222" s="673">
        <f>+AN221/AJ221-1</f>
        <v>0.10116448326055316</v>
      </c>
      <c r="AO222" s="672">
        <f>+AO221/AK221-1</f>
        <v>6.7958140195036876E-2</v>
      </c>
      <c r="AP222" s="673">
        <f>+AP221/AL221-1</f>
        <v>8.4146901816491759E-2</v>
      </c>
      <c r="AR222" s="673">
        <f t="shared" ref="AR222:AT222" si="1227">+AR221/AN221-1</f>
        <v>3.9203063450099052E-2</v>
      </c>
      <c r="AS222" s="672">
        <f t="shared" si="1227"/>
        <v>3.276858681445094E-2</v>
      </c>
      <c r="AT222" s="672">
        <f t="shared" si="1227"/>
        <v>3.595476359394234E-2</v>
      </c>
      <c r="AV222" s="673">
        <f t="shared" ref="AV222:AX222" si="1228">+AV221/AR221-1</f>
        <v>3.1412165671095726E-2</v>
      </c>
      <c r="AW222" s="672">
        <f t="shared" si="1228"/>
        <v>3.3238993610941625E-2</v>
      </c>
      <c r="AX222" s="672">
        <f t="shared" si="1228"/>
        <v>3.2331561984142665E-2</v>
      </c>
      <c r="AZ222" s="673">
        <f t="shared" ref="AZ222:BB222" si="1229">+AZ221/AV221-1</f>
        <v>3.1903098062716628E-2</v>
      </c>
      <c r="BA222" s="672">
        <f t="shared" si="1229"/>
        <v>3.3715500136002774E-2</v>
      </c>
      <c r="BB222" s="672">
        <f t="shared" si="1229"/>
        <v>3.281603598029581E-2</v>
      </c>
      <c r="BD222" s="673">
        <f t="shared" ref="BD222:BF222" si="1230">+BD221/AZ221-1</f>
        <v>3.2245404617789353E-2</v>
      </c>
      <c r="BE222" s="672">
        <f t="shared" si="1230"/>
        <v>3.4039999666637621E-2</v>
      </c>
      <c r="BF222" s="672">
        <f t="shared" si="1230"/>
        <v>3.3150160085148261E-2</v>
      </c>
      <c r="BH222" s="673">
        <f t="shared" ref="BH222:BJ222" si="1231">+BH221/BD221-1</f>
        <v>3.2585410311578356E-2</v>
      </c>
      <c r="BI222" s="672">
        <f t="shared" si="1231"/>
        <v>3.4361566163092938E-2</v>
      </c>
      <c r="BJ222" s="672">
        <f t="shared" si="1231"/>
        <v>3.3481640799093215E-2</v>
      </c>
      <c r="BL222" s="673">
        <f t="shared" ref="BL222:BN222" si="1232">+BL221/BH221-1</f>
        <v>3.2922965724368369E-2</v>
      </c>
      <c r="BM222" s="672">
        <f t="shared" si="1232"/>
        <v>3.4680078607501441E-2</v>
      </c>
      <c r="BN222" s="672">
        <f t="shared" si="1232"/>
        <v>3.3810342206407329E-2</v>
      </c>
      <c r="BP222" s="673">
        <f t="shared" ref="BP222:BR222" si="1233">+BP221/BL221-1</f>
        <v>3.3257925794136778E-2</v>
      </c>
      <c r="BQ222" s="672">
        <f t="shared" si="1233"/>
        <v>3.4995421170960439E-2</v>
      </c>
      <c r="BR222" s="672">
        <f t="shared" si="1233"/>
        <v>3.413613325846887E-2</v>
      </c>
      <c r="BT222" s="673">
        <f t="shared" ref="BT222" si="1234">+BT221/BP221-1</f>
        <v>3.3590150075613723E-2</v>
      </c>
      <c r="BU222" s="672">
        <f t="shared" ref="BU222" si="1235">+BU221/BQ221-1</f>
        <v>3.5307483363386627E-2</v>
      </c>
      <c r="BV222" s="672">
        <f t="shared" ref="BV222" si="1236">+BV221/BR221-1</f>
        <v>3.4458887978475961E-2</v>
      </c>
      <c r="BX222" s="673">
        <f t="shared" ref="BX222" si="1237">+BX221/BT221-1</f>
        <v>3.3919502979807614E-2</v>
      </c>
      <c r="BY222" s="672">
        <f t="shared" ref="BY222" si="1238">+BY221/BU221-1</f>
        <v>3.5616160162995181E-2</v>
      </c>
      <c r="BZ222" s="672">
        <f t="shared" ref="BZ222" si="1239">+BZ221/BV221-1</f>
        <v>3.4778485645661883E-2</v>
      </c>
    </row>
    <row r="223" spans="1:78" s="135" customFormat="1">
      <c r="A223" s="134"/>
      <c r="B223" s="151"/>
      <c r="D223" s="232"/>
      <c r="E223" s="232"/>
      <c r="F223" s="232"/>
      <c r="G223" s="133"/>
      <c r="H223" s="232"/>
      <c r="I223" s="232"/>
      <c r="J223" s="232"/>
      <c r="K223" s="133"/>
      <c r="L223" s="232"/>
      <c r="M223" s="232"/>
      <c r="N223" s="232"/>
      <c r="O223" s="133"/>
      <c r="P223" s="232"/>
      <c r="Q223" s="232"/>
      <c r="R223" s="232"/>
      <c r="S223" s="133"/>
      <c r="T223" s="232"/>
      <c r="U223" s="232"/>
      <c r="V223" s="232"/>
      <c r="W223" s="133"/>
      <c r="X223" s="232"/>
      <c r="Y223" s="232"/>
      <c r="Z223" s="232"/>
      <c r="AA223" s="133"/>
      <c r="AB223" s="232"/>
      <c r="AC223" s="232"/>
      <c r="AD223" s="232"/>
      <c r="AE223" s="133"/>
      <c r="AF223" s="323"/>
      <c r="AG223" s="232"/>
      <c r="AH223" s="232"/>
      <c r="AI223" s="133"/>
      <c r="AJ223" s="232"/>
      <c r="AK223" s="232"/>
      <c r="AL223" s="323"/>
      <c r="AM223" s="133"/>
      <c r="AN223" s="232"/>
      <c r="AO223" s="232"/>
      <c r="AP223" s="232"/>
      <c r="AQ223" s="133"/>
      <c r="AR223" s="232"/>
      <c r="AS223" s="232"/>
      <c r="AT223" s="232"/>
      <c r="AU223" s="133"/>
      <c r="AV223" s="232"/>
      <c r="AW223" s="232"/>
      <c r="AX223" s="232"/>
      <c r="AY223" s="133"/>
      <c r="AZ223" s="232"/>
      <c r="BA223" s="232"/>
      <c r="BB223" s="232"/>
      <c r="BC223" s="133"/>
      <c r="BD223" s="232"/>
      <c r="BE223" s="232"/>
      <c r="BF223" s="232"/>
      <c r="BG223" s="133"/>
      <c r="BH223" s="232"/>
      <c r="BI223" s="232"/>
      <c r="BJ223" s="232"/>
      <c r="BK223" s="133"/>
      <c r="BL223" s="232"/>
      <c r="BM223" s="232"/>
      <c r="BN223" s="232"/>
      <c r="BO223" s="133"/>
      <c r="BP223" s="232"/>
      <c r="BQ223" s="232"/>
      <c r="BR223" s="232"/>
      <c r="BS223" s="133"/>
      <c r="BT223" s="232"/>
      <c r="BU223" s="232"/>
      <c r="BV223" s="232"/>
      <c r="BW223" s="133"/>
      <c r="BX223" s="232"/>
      <c r="BY223" s="232"/>
      <c r="BZ223" s="232"/>
    </row>
    <row r="224" spans="1:78">
      <c r="B224" s="146" t="s">
        <v>185</v>
      </c>
      <c r="D224" s="168">
        <v>-112.95099999999999</v>
      </c>
      <c r="E224" s="136">
        <f>F224-D224</f>
        <v>-103.78800000000001</v>
      </c>
      <c r="F224" s="168">
        <v>-216.739</v>
      </c>
      <c r="H224" s="168">
        <v>-106.086</v>
      </c>
      <c r="I224" s="136">
        <f>J224-H224</f>
        <v>-112.88100000000001</v>
      </c>
      <c r="J224" s="168">
        <v>-218.96700000000001</v>
      </c>
      <c r="L224" s="168">
        <v>-113.358</v>
      </c>
      <c r="M224" s="136">
        <f>N224-L224</f>
        <v>-124.78199999999998</v>
      </c>
      <c r="N224" s="168">
        <v>-238.14</v>
      </c>
      <c r="P224" s="168">
        <v>-140</v>
      </c>
      <c r="Q224" s="136">
        <f>R224-P224</f>
        <v>-132.80000000000001</v>
      </c>
      <c r="R224" s="168">
        <v>-272.8</v>
      </c>
      <c r="T224" s="168">
        <v>-140</v>
      </c>
      <c r="U224" s="136">
        <f t="shared" si="1198"/>
        <v>-143</v>
      </c>
      <c r="V224" s="168">
        <v>-283</v>
      </c>
      <c r="X224" s="168">
        <v>-139.50899999999999</v>
      </c>
      <c r="Y224" s="136">
        <f t="shared" si="1199"/>
        <v>-152.85100000000003</v>
      </c>
      <c r="Z224" s="168">
        <v>-292.36</v>
      </c>
      <c r="AB224" s="168">
        <v>-150.80000000000001</v>
      </c>
      <c r="AC224" s="136">
        <f t="shared" si="1200"/>
        <v>-152.19999999999999</v>
      </c>
      <c r="AD224" s="168">
        <v>-303</v>
      </c>
      <c r="AF224" s="264">
        <v>-161.9</v>
      </c>
      <c r="AG224" s="136">
        <f t="shared" ref="AG224" si="1240">AH224-AF224</f>
        <v>-175.49699999999999</v>
      </c>
      <c r="AH224" s="264">
        <v>-337.39699999999999</v>
      </c>
      <c r="AJ224" s="264">
        <v>-173.3</v>
      </c>
      <c r="AK224" s="136">
        <f t="shared" ref="AK224" si="1241">AL224-AJ224</f>
        <v>-182.93899999999996</v>
      </c>
      <c r="AL224" s="264">
        <v>-356.23899999999998</v>
      </c>
      <c r="AN224" s="168">
        <v>-188.7</v>
      </c>
      <c r="AO224" s="136">
        <f t="shared" ref="AO224" si="1242">AP224-AN224</f>
        <v>-191.40000000000003</v>
      </c>
      <c r="AP224" s="912">
        <v>-380.1</v>
      </c>
      <c r="AR224" s="136">
        <f t="shared" ref="AR224:AS224" si="1243">+AR225</f>
        <v>-196.53927937500001</v>
      </c>
      <c r="AS224" s="136">
        <f t="shared" si="1243"/>
        <v>-195.14807928225812</v>
      </c>
      <c r="AT224" s="136">
        <f t="shared" ref="AT224" si="1244">+AS224+AR224</f>
        <v>-391.68735865725813</v>
      </c>
      <c r="AV224" s="136">
        <f t="shared" ref="AV224:AW224" si="1245">+AV225</f>
        <v>-201.09129974936843</v>
      </c>
      <c r="AW224" s="136">
        <f t="shared" si="1245"/>
        <v>-199.98860826684978</v>
      </c>
      <c r="AX224" s="136">
        <f t="shared" ref="AX224" si="1246">+AW224+AV224</f>
        <v>-401.07990801621821</v>
      </c>
      <c r="AZ224" s="136">
        <f t="shared" ref="AZ224:BA224" si="1247">+AZ225</f>
        <v>-205.8332937918895</v>
      </c>
      <c r="BA224" s="136">
        <f t="shared" si="1247"/>
        <v>-204.85968259765269</v>
      </c>
      <c r="BB224" s="136">
        <f t="shared" ref="BB224" si="1248">+BA224+AZ224</f>
        <v>-410.6929763895422</v>
      </c>
      <c r="BD224" s="136">
        <f t="shared" ref="BD224:BE224" si="1249">+BD225</f>
        <v>-212.47047163402129</v>
      </c>
      <c r="BE224" s="136">
        <f t="shared" si="1249"/>
        <v>-211.83310612498428</v>
      </c>
      <c r="BF224" s="136">
        <f t="shared" ref="BF224" si="1250">+BE224+BD224</f>
        <v>-424.30357775900558</v>
      </c>
      <c r="BH224" s="136">
        <f t="shared" ref="BH224:BI224" si="1251">+BH225</f>
        <v>-219.39390913131044</v>
      </c>
      <c r="BI224" s="136">
        <f t="shared" si="1251"/>
        <v>-219.11202341663142</v>
      </c>
      <c r="BJ224" s="136">
        <f t="shared" ref="BJ224" si="1252">+BI224+BH224</f>
        <v>-438.50593254794182</v>
      </c>
      <c r="BL224" s="136">
        <f t="shared" ref="BL224:BM224" si="1253">+BL225</f>
        <v>-226.61700728177578</v>
      </c>
      <c r="BM224" s="136">
        <f t="shared" si="1253"/>
        <v>-226.71084561256887</v>
      </c>
      <c r="BN224" s="136">
        <f t="shared" ref="BN224" si="1254">+BM224+BL224</f>
        <v>-453.32785289434469</v>
      </c>
      <c r="BP224" s="136">
        <f t="shared" ref="BP224:BQ224" si="1255">+BP225</f>
        <v>-234.15381889364244</v>
      </c>
      <c r="BQ224" s="136">
        <f t="shared" si="1255"/>
        <v>-234.64468713880532</v>
      </c>
      <c r="BR224" s="136">
        <f t="shared" ref="BR224" si="1256">+BQ224+BP224</f>
        <v>-468.79850603244779</v>
      </c>
      <c r="BT224" s="136">
        <f t="shared" ref="BT224:BU224" si="1257">+BT225</f>
        <v>-242.01908081105793</v>
      </c>
      <c r="BU224" s="136">
        <f t="shared" si="1257"/>
        <v>-242.92940052626574</v>
      </c>
      <c r="BV224" s="136">
        <f t="shared" ref="BV224:BV225" si="1258">+BU224+BT224</f>
        <v>-484.94848133732364</v>
      </c>
      <c r="BX224" s="136">
        <f t="shared" ref="BX224:BY224" si="1259">+BX225</f>
        <v>-250.2282477437989</v>
      </c>
      <c r="BY224" s="136">
        <f t="shared" si="1259"/>
        <v>-251.5816129637096</v>
      </c>
      <c r="BZ224" s="136">
        <f t="shared" ref="BZ224:BZ225" si="1260">+BY224+BX224</f>
        <v>-501.80986070750851</v>
      </c>
    </row>
    <row r="225" spans="1:78">
      <c r="B225" s="307" t="s">
        <v>503</v>
      </c>
      <c r="D225" s="232">
        <f>+D224</f>
        <v>-112.95099999999999</v>
      </c>
      <c r="E225" s="232">
        <f>+E224</f>
        <v>-103.78800000000001</v>
      </c>
      <c r="F225" s="232">
        <f>+F224</f>
        <v>-216.739</v>
      </c>
      <c r="H225" s="232">
        <f>+H224</f>
        <v>-106.086</v>
      </c>
      <c r="I225" s="232">
        <f>+I224</f>
        <v>-112.88100000000001</v>
      </c>
      <c r="J225" s="232">
        <f>+J224</f>
        <v>-218.96700000000001</v>
      </c>
      <c r="L225" s="232">
        <f>+L224</f>
        <v>-113.358</v>
      </c>
      <c r="M225" s="232">
        <f>+M224</f>
        <v>-124.78199999999998</v>
      </c>
      <c r="N225" s="232">
        <f>+N224</f>
        <v>-238.14</v>
      </c>
      <c r="P225" s="232">
        <f>+P224</f>
        <v>-140</v>
      </c>
      <c r="Q225" s="232">
        <f>+Q224</f>
        <v>-132.80000000000001</v>
      </c>
      <c r="R225" s="232">
        <f>+R224</f>
        <v>-272.8</v>
      </c>
      <c r="T225" s="232">
        <f>+T224</f>
        <v>-140</v>
      </c>
      <c r="U225" s="232">
        <f>+U224</f>
        <v>-143</v>
      </c>
      <c r="V225" s="232">
        <f>+V224</f>
        <v>-283</v>
      </c>
      <c r="X225" s="232">
        <f>+X224</f>
        <v>-139.50899999999999</v>
      </c>
      <c r="Y225" s="232">
        <f>+Y224</f>
        <v>-152.85100000000003</v>
      </c>
      <c r="Z225" s="232">
        <f>+Z224</f>
        <v>-292.36</v>
      </c>
      <c r="AB225" s="232">
        <f>+AB224</f>
        <v>-150.80000000000001</v>
      </c>
      <c r="AC225" s="232">
        <f>+AC224</f>
        <v>-152.19999999999999</v>
      </c>
      <c r="AD225" s="232">
        <f>+AD224</f>
        <v>-303</v>
      </c>
      <c r="AF225" s="232">
        <f>+AF224</f>
        <v>-161.9</v>
      </c>
      <c r="AG225" s="232">
        <f>+AG224</f>
        <v>-175.49699999999999</v>
      </c>
      <c r="AH225" s="232">
        <f>+AH224</f>
        <v>-337.39699999999999</v>
      </c>
      <c r="AJ225" s="232">
        <f>+AJ224</f>
        <v>-173.3</v>
      </c>
      <c r="AK225" s="232">
        <f>+AK224</f>
        <v>-182.93899999999996</v>
      </c>
      <c r="AL225" s="323">
        <f>+AL224</f>
        <v>-356.23899999999998</v>
      </c>
      <c r="AN225" s="232">
        <f>+AN224</f>
        <v>-188.7</v>
      </c>
      <c r="AO225" s="232">
        <f>+AO224</f>
        <v>-191.40000000000003</v>
      </c>
      <c r="AP225" s="323">
        <f>+AP224</f>
        <v>-380.1</v>
      </c>
      <c r="AR225" s="232">
        <f>-(AR221-AR231)</f>
        <v>-196.53927937500001</v>
      </c>
      <c r="AS225" s="232">
        <f>-(AS221-AS231)</f>
        <v>-195.14807928225812</v>
      </c>
      <c r="AT225" s="232">
        <f t="shared" ref="AT225" si="1261">+AS225+AR225</f>
        <v>-391.68735865725813</v>
      </c>
      <c r="AV225" s="232">
        <f>-(AV221-AV231)</f>
        <v>-201.09129974936843</v>
      </c>
      <c r="AW225" s="232">
        <f>-(AW221-AW231)</f>
        <v>-199.98860826684978</v>
      </c>
      <c r="AX225" s="232">
        <f t="shared" ref="AX225" si="1262">+AW225+AV225</f>
        <v>-401.07990801621821</v>
      </c>
      <c r="AZ225" s="232">
        <f>-(AZ221-AZ231)</f>
        <v>-205.8332937918895</v>
      </c>
      <c r="BA225" s="232">
        <f>-(BA221-BA231)</f>
        <v>-204.85968259765269</v>
      </c>
      <c r="BB225" s="232">
        <f t="shared" ref="BB225" si="1263">+BA225+AZ225</f>
        <v>-410.6929763895422</v>
      </c>
      <c r="BD225" s="232">
        <f>-(BD221-BD231)</f>
        <v>-212.47047163402129</v>
      </c>
      <c r="BE225" s="232">
        <f>-(BE221-BE231)</f>
        <v>-211.83310612498428</v>
      </c>
      <c r="BF225" s="232">
        <f t="shared" ref="BF225" si="1264">+BE225+BD225</f>
        <v>-424.30357775900558</v>
      </c>
      <c r="BH225" s="232">
        <f>-(BH221-BH231)</f>
        <v>-219.39390913131044</v>
      </c>
      <c r="BI225" s="232">
        <f>-(BI221-BI231)</f>
        <v>-219.11202341663142</v>
      </c>
      <c r="BJ225" s="232">
        <f t="shared" ref="BJ225" si="1265">+BI225+BH225</f>
        <v>-438.50593254794182</v>
      </c>
      <c r="BL225" s="232">
        <f>-(BL221-BL231)</f>
        <v>-226.61700728177578</v>
      </c>
      <c r="BM225" s="232">
        <f>-(BM221-BM231)</f>
        <v>-226.71084561256887</v>
      </c>
      <c r="BN225" s="232">
        <f t="shared" ref="BN225" si="1266">+BM225+BL225</f>
        <v>-453.32785289434469</v>
      </c>
      <c r="BP225" s="232">
        <f>-(BP221-BP231)</f>
        <v>-234.15381889364244</v>
      </c>
      <c r="BQ225" s="232">
        <f>-(BQ221-BQ231)</f>
        <v>-234.64468713880532</v>
      </c>
      <c r="BR225" s="232">
        <f t="shared" ref="BR225" si="1267">+BQ225+BP225</f>
        <v>-468.79850603244779</v>
      </c>
      <c r="BT225" s="232">
        <f>-(BT221-BT231)</f>
        <v>-242.01908081105793</v>
      </c>
      <c r="BU225" s="232">
        <f>-(BU221-BU231)</f>
        <v>-242.92940052626574</v>
      </c>
      <c r="BV225" s="232">
        <f t="shared" si="1258"/>
        <v>-484.94848133732364</v>
      </c>
      <c r="BX225" s="232">
        <f>-(BX221-BX231)</f>
        <v>-250.2282477437989</v>
      </c>
      <c r="BY225" s="232">
        <f>-(BY221-BY231)</f>
        <v>-251.5816129637096</v>
      </c>
      <c r="BZ225" s="232">
        <f t="shared" si="1260"/>
        <v>-501.80986070750851</v>
      </c>
    </row>
    <row r="226" spans="1:78" s="135" customFormat="1">
      <c r="A226" s="134"/>
      <c r="B226" s="314" t="s">
        <v>504</v>
      </c>
      <c r="D226" s="315">
        <f>-D224/D216</f>
        <v>0.76209078886999704</v>
      </c>
      <c r="E226" s="315">
        <f>-E224/E216</f>
        <v>0.64825363513716083</v>
      </c>
      <c r="F226" s="315">
        <f>-F224/F216</f>
        <v>0.70297681599398032</v>
      </c>
      <c r="G226" s="133"/>
      <c r="H226" s="315">
        <f>-H224/H216</f>
        <v>0.73869357230891353</v>
      </c>
      <c r="I226" s="315">
        <f>-I224/I216</f>
        <v>0.6675122851212546</v>
      </c>
      <c r="J226" s="315">
        <f>-J224/J216</f>
        <v>0.70020145817344603</v>
      </c>
      <c r="K226" s="133"/>
      <c r="L226" s="315">
        <f>-L224/L216</f>
        <v>0.73399378399378401</v>
      </c>
      <c r="M226" s="315">
        <f>-M224/M216</f>
        <v>0.68127320375627853</v>
      </c>
      <c r="N226" s="315">
        <f>-N224/N216</f>
        <v>0.70539099526066351</v>
      </c>
      <c r="O226" s="133"/>
      <c r="P226" s="315">
        <f>-P224/P216</f>
        <v>0.74468085106382964</v>
      </c>
      <c r="Q226" s="315">
        <f>-Q224/Q216</f>
        <v>0.69784550709406201</v>
      </c>
      <c r="R226" s="315">
        <f>-R224/R216</f>
        <v>0.72112080359503039</v>
      </c>
      <c r="S226" s="133"/>
      <c r="T226" s="315">
        <f>-T224/T216</f>
        <v>0.74468085106382964</v>
      </c>
      <c r="U226" s="315">
        <f>-U224/U216</f>
        <v>0.6911551474142098</v>
      </c>
      <c r="V226" s="315">
        <f>-V224/V216</f>
        <v>0.71663712332236018</v>
      </c>
      <c r="W226" s="133"/>
      <c r="X226" s="315">
        <f>-X224/X216</f>
        <v>0.67887591240875911</v>
      </c>
      <c r="Y226" s="315">
        <f>-Y224/Y216</f>
        <v>0.68328565042467604</v>
      </c>
      <c r="Z226" s="315">
        <f>-Z224/Z216</f>
        <v>0.68117427772600192</v>
      </c>
      <c r="AA226" s="133"/>
      <c r="AB226" s="315">
        <f>-AB224/AB216</f>
        <v>0.68858447488584484</v>
      </c>
      <c r="AC226" s="315">
        <f>-AC224/AC216</f>
        <v>0.63895885810243491</v>
      </c>
      <c r="AD226" s="315">
        <f>-AD224/AD216</f>
        <v>0.66272965879265089</v>
      </c>
      <c r="AE226" s="133"/>
      <c r="AF226" s="374">
        <f>-AF224/AF216</f>
        <v>0.64837805366439727</v>
      </c>
      <c r="AG226" s="315">
        <f>-AG224/AG216</f>
        <v>0.65003703978072458</v>
      </c>
      <c r="AH226" s="315">
        <f>-AH224/AH216</f>
        <v>0.64923991687192106</v>
      </c>
      <c r="AI226" s="133"/>
      <c r="AJ226" s="374">
        <f>-AJ224/AJ216</f>
        <v>0.63064046579330424</v>
      </c>
      <c r="AK226" s="315">
        <f>-AK224/AK216</f>
        <v>0.63329398447046925</v>
      </c>
      <c r="AL226" s="374">
        <f>-AL224/AL216</f>
        <v>0.63200034062543797</v>
      </c>
      <c r="AM226" s="133"/>
      <c r="AN226" s="374">
        <f>-AN224/AN216</f>
        <v>0.6235955056179775</v>
      </c>
      <c r="AO226" s="315">
        <f>-AO224/AO216</f>
        <v>0.6204213938411669</v>
      </c>
      <c r="AP226" s="374">
        <f>-AP224/AP216</f>
        <v>0.62199312714776633</v>
      </c>
      <c r="AQ226" s="133"/>
      <c r="AR226" s="315">
        <f>-AR224/AR216</f>
        <v>0.61790425930758253</v>
      </c>
      <c r="AS226" s="315">
        <f>-AS224/AS216</f>
        <v>0.60589940164635514</v>
      </c>
      <c r="AT226" s="315">
        <f>-AT224/AT216</f>
        <v>0.61186426806246319</v>
      </c>
      <c r="AU226" s="133"/>
      <c r="AV226" s="315">
        <f>-AV224/AV216</f>
        <v>0.61317485319355813</v>
      </c>
      <c r="AW226" s="315">
        <f>-AW224/AW216</f>
        <v>0.60111775068253381</v>
      </c>
      <c r="AX226" s="315">
        <f>-AX224/AX216</f>
        <v>0.60710301566197411</v>
      </c>
      <c r="AY226" s="133"/>
      <c r="AZ226" s="315">
        <f>-AZ224/AZ216</f>
        <v>0.60839312512496413</v>
      </c>
      <c r="BA226" s="315">
        <f>-BA224/BA216</f>
        <v>0.59584394521908457</v>
      </c>
      <c r="BB226" s="315">
        <f>-BB224/BB216</f>
        <v>0.60206802221754641</v>
      </c>
      <c r="BC226" s="133"/>
      <c r="BD226" s="315">
        <f>-BD224/BD216</f>
        <v>0.6084706695886114</v>
      </c>
      <c r="BE226" s="315">
        <f>-BE224/BE216</f>
        <v>0.59592668770759338</v>
      </c>
      <c r="BF226" s="315">
        <f>-BF224/BF216</f>
        <v>0.60214277547275086</v>
      </c>
      <c r="BG226" s="133"/>
      <c r="BH226" s="315">
        <f>-BH224/BH216</f>
        <v>0.60854941600067058</v>
      </c>
      <c r="BI226" s="315">
        <f>-BI224/BI216</f>
        <v>0.59601017343263529</v>
      </c>
      <c r="BJ226" s="315">
        <f>-BJ224/BJ216</f>
        <v>0.60221855902292254</v>
      </c>
      <c r="BK226" s="133"/>
      <c r="BL226" s="315">
        <f>-BL224/BL216</f>
        <v>0.60862928367205482</v>
      </c>
      <c r="BM226" s="315">
        <f>-BM224/BM216</f>
        <v>0.59609432361014714</v>
      </c>
      <c r="BN226" s="315">
        <f>-BN224/BN216</f>
        <v>0.60229529427728457</v>
      </c>
      <c r="BO226" s="133"/>
      <c r="BP226" s="315">
        <f>-BP224/BP216</f>
        <v>0.60871019150394234</v>
      </c>
      <c r="BQ226" s="315">
        <f>-BQ224/BQ216</f>
        <v>0.59617906003017884</v>
      </c>
      <c r="BR226" s="315">
        <f>-BR224/BR216</f>
        <v>0.60237290266020682</v>
      </c>
      <c r="BS226" s="133"/>
      <c r="BT226" s="315">
        <f>-BT224/BT216</f>
        <v>0.60879205818349535</v>
      </c>
      <c r="BU226" s="315">
        <f>-BU224/BU216</f>
        <v>0.59626430522029983</v>
      </c>
      <c r="BV226" s="315">
        <f>-BV224/BV216</f>
        <v>0.60245130579113582</v>
      </c>
      <c r="BW226" s="133"/>
      <c r="BX226" s="315">
        <f>-BX224/BX216</f>
        <v>0.60887480237645664</v>
      </c>
      <c r="BY226" s="315">
        <f>-BY224/BY216</f>
        <v>0.59634998260242866</v>
      </c>
      <c r="BZ226" s="315">
        <f>-BZ224/BZ216</f>
        <v>0.60253042565976955</v>
      </c>
    </row>
    <row r="227" spans="1:78" s="135" customFormat="1">
      <c r="A227" s="134"/>
      <c r="B227" s="314"/>
      <c r="D227" s="315"/>
      <c r="E227" s="315"/>
      <c r="F227" s="315"/>
      <c r="G227" s="133"/>
      <c r="H227" s="315"/>
      <c r="I227" s="315"/>
      <c r="J227" s="315"/>
      <c r="K227" s="133"/>
      <c r="L227" s="315"/>
      <c r="M227" s="315"/>
      <c r="N227" s="315"/>
      <c r="O227" s="133"/>
      <c r="P227" s="315"/>
      <c r="Q227" s="315"/>
      <c r="R227" s="315"/>
      <c r="S227" s="133"/>
      <c r="T227" s="315"/>
      <c r="U227" s="315"/>
      <c r="V227" s="315"/>
      <c r="W227" s="133"/>
      <c r="X227" s="315"/>
      <c r="Y227" s="315"/>
      <c r="Z227" s="315"/>
      <c r="AA227" s="133"/>
      <c r="AB227" s="315"/>
      <c r="AC227" s="315"/>
      <c r="AD227" s="315"/>
      <c r="AE227" s="133"/>
      <c r="AF227" s="374"/>
      <c r="AG227" s="315"/>
      <c r="AH227" s="315"/>
      <c r="AI227" s="133"/>
      <c r="AJ227" s="374"/>
      <c r="AK227" s="315"/>
      <c r="AL227" s="374"/>
      <c r="AM227" s="133"/>
      <c r="AN227" s="374"/>
      <c r="AO227" s="315"/>
      <c r="AP227" s="374"/>
      <c r="AQ227" s="133"/>
      <c r="AR227" s="315"/>
      <c r="AS227" s="315"/>
      <c r="AT227" s="315"/>
      <c r="AU227" s="133"/>
      <c r="AV227" s="315"/>
      <c r="AW227" s="315"/>
      <c r="AX227" s="315"/>
      <c r="AY227" s="133"/>
      <c r="AZ227" s="315"/>
      <c r="BA227" s="315"/>
      <c r="BB227" s="315"/>
      <c r="BC227" s="133"/>
      <c r="BD227" s="315"/>
      <c r="BE227" s="315"/>
      <c r="BF227" s="315"/>
      <c r="BG227" s="133"/>
      <c r="BH227" s="315"/>
      <c r="BI227" s="315"/>
      <c r="BJ227" s="315"/>
      <c r="BK227" s="133"/>
      <c r="BL227" s="315"/>
      <c r="BM227" s="315"/>
      <c r="BN227" s="315"/>
      <c r="BO227" s="133"/>
      <c r="BP227" s="315"/>
      <c r="BQ227" s="315"/>
      <c r="BR227" s="315"/>
      <c r="BS227" s="133"/>
      <c r="BT227" s="315"/>
      <c r="BU227" s="315"/>
      <c r="BV227" s="315"/>
      <c r="BW227" s="133"/>
      <c r="BX227" s="315"/>
      <c r="BY227" s="315"/>
      <c r="BZ227" s="315"/>
    </row>
    <row r="228" spans="1:78" s="135" customFormat="1" ht="14.4" thickBot="1">
      <c r="A228" s="134"/>
      <c r="B228" s="151" t="s">
        <v>609</v>
      </c>
      <c r="D228" s="232">
        <f>D224+D216</f>
        <v>35.260999999999996</v>
      </c>
      <c r="E228" s="232">
        <f>E224+E216</f>
        <v>56.316000000000003</v>
      </c>
      <c r="F228" s="232">
        <f>F224+F216</f>
        <v>91.57699999999997</v>
      </c>
      <c r="G228" s="133"/>
      <c r="H228" s="232">
        <f>H224+H216</f>
        <v>37.527000000000001</v>
      </c>
      <c r="I228" s="232">
        <f>I224+I216</f>
        <v>56.226000000000013</v>
      </c>
      <c r="J228" s="232">
        <f>J224+J216</f>
        <v>93.752999999999957</v>
      </c>
      <c r="K228" s="133"/>
      <c r="L228" s="232">
        <f>L224+L216</f>
        <v>41.081999999999994</v>
      </c>
      <c r="M228" s="232">
        <f>M224+M216</f>
        <v>58.378000000000014</v>
      </c>
      <c r="N228" s="232">
        <f>N224+N216</f>
        <v>99.45999999999998</v>
      </c>
      <c r="O228" s="133"/>
      <c r="P228" s="232">
        <f>P224+P216</f>
        <v>48.000000000000028</v>
      </c>
      <c r="Q228" s="232">
        <f>Q224+Q216</f>
        <v>57.5</v>
      </c>
      <c r="R228" s="232">
        <f>R224+R216</f>
        <v>105.5</v>
      </c>
      <c r="S228" s="133"/>
      <c r="T228" s="232">
        <f>T224+T216</f>
        <v>48.000000000000028</v>
      </c>
      <c r="U228" s="232">
        <f>U224+U216</f>
        <v>63.899999999999977</v>
      </c>
      <c r="V228" s="232">
        <f>V224+V216</f>
        <v>111.89999999999998</v>
      </c>
      <c r="W228" s="133"/>
      <c r="X228" s="232">
        <f>X224+X216</f>
        <v>65.991000000000014</v>
      </c>
      <c r="Y228" s="232">
        <f>Y224+Y216</f>
        <v>70.848999999999961</v>
      </c>
      <c r="Z228" s="232">
        <f>Z224+Z216</f>
        <v>136.83999999999997</v>
      </c>
      <c r="AA228" s="133"/>
      <c r="AB228" s="232">
        <f>AB224+AB216</f>
        <v>68.199999999999989</v>
      </c>
      <c r="AC228" s="232">
        <f>AC224+AC216</f>
        <v>86</v>
      </c>
      <c r="AD228" s="232">
        <f>AD224+AD216</f>
        <v>154.19999999999999</v>
      </c>
      <c r="AE228" s="133"/>
      <c r="AF228" s="323">
        <f>AF224+AF216</f>
        <v>87.800000000000011</v>
      </c>
      <c r="AG228" s="232">
        <f>AG224+AG216</f>
        <v>94.482999999999976</v>
      </c>
      <c r="AH228" s="232">
        <f>AH224+AH216</f>
        <v>182.28300000000007</v>
      </c>
      <c r="AI228" s="133"/>
      <c r="AJ228" s="323">
        <f>AJ224+AJ216</f>
        <v>101.5</v>
      </c>
      <c r="AK228" s="232">
        <f>AK224+AK216</f>
        <v>105.93</v>
      </c>
      <c r="AL228" s="323">
        <f>AL224+AL216</f>
        <v>207.43</v>
      </c>
      <c r="AM228" s="133"/>
      <c r="AN228" s="323">
        <f>AN224+AN216</f>
        <v>113.90000000000003</v>
      </c>
      <c r="AO228" s="232">
        <f>AO224+AO216</f>
        <v>117.10000000000002</v>
      </c>
      <c r="AP228" s="323">
        <f>AP224+AP216</f>
        <v>231</v>
      </c>
      <c r="AQ228" s="133"/>
      <c r="AR228" s="232">
        <f t="shared" ref="AR228:AS228" si="1268">+AR231</f>
        <v>117.923567625</v>
      </c>
      <c r="AS228" s="232">
        <f t="shared" si="1268"/>
        <v>123.46102975000005</v>
      </c>
      <c r="AT228" s="232">
        <f t="shared" ref="AT228" si="1269">+AR228+AS228</f>
        <v>241.38459737500006</v>
      </c>
      <c r="AU228" s="133"/>
      <c r="AV228" s="232">
        <f t="shared" ref="AV228:AW228" si="1270">+AV231</f>
        <v>123.24950629800001</v>
      </c>
      <c r="AW228" s="232">
        <f t="shared" si="1270"/>
        <v>129.2107469049194</v>
      </c>
      <c r="AX228" s="232">
        <f t="shared" ref="AX228" si="1271">+AV228+AW228</f>
        <v>252.46025320291943</v>
      </c>
      <c r="AY228" s="133"/>
      <c r="AZ228" s="232">
        <f t="shared" ref="AZ228:BA228" si="1272">+AZ231</f>
        <v>128.8549887965487</v>
      </c>
      <c r="BA228" s="232">
        <f t="shared" si="1272"/>
        <v>135.43879347818233</v>
      </c>
      <c r="BB228" s="232">
        <f t="shared" ref="BB228" si="1273">+AZ228+BA228</f>
        <v>264.29378227473103</v>
      </c>
      <c r="BC228" s="133"/>
      <c r="BD228" s="232">
        <f t="shared" ref="BD228:BE228" si="1274">+BD231</f>
        <v>133.00997004731414</v>
      </c>
      <c r="BE228" s="232">
        <f t="shared" si="1274"/>
        <v>140.04912996302949</v>
      </c>
      <c r="BF228" s="232">
        <f t="shared" ref="BF228" si="1275">+BD228+BE228</f>
        <v>273.05910001034363</v>
      </c>
      <c r="BG228" s="133"/>
      <c r="BH228" s="232">
        <f t="shared" ref="BH228:BI228" si="1276">+BH231</f>
        <v>137.34415449683664</v>
      </c>
      <c r="BI228" s="232">
        <f t="shared" si="1276"/>
        <v>144.86143740833774</v>
      </c>
      <c r="BJ228" s="232">
        <f t="shared" ref="BJ228" si="1277">+BH228+BI228</f>
        <v>282.2055919051744</v>
      </c>
      <c r="BK228" s="133"/>
      <c r="BL228" s="232">
        <f t="shared" ref="BL228:BM228" si="1278">+BL231</f>
        <v>141.86593138777835</v>
      </c>
      <c r="BM228" s="232">
        <f t="shared" si="1278"/>
        <v>149.88524344485452</v>
      </c>
      <c r="BN228" s="232">
        <f t="shared" ref="BN228" si="1279">+BL228+BM228</f>
        <v>291.75117483263284</v>
      </c>
      <c r="BO228" s="133"/>
      <c r="BP228" s="232">
        <f t="shared" ref="BP228:BQ228" si="1280">+BP231</f>
        <v>146.58409800658916</v>
      </c>
      <c r="BQ228" s="232">
        <f t="shared" si="1280"/>
        <v>155.13054066651912</v>
      </c>
      <c r="BR228" s="232">
        <f t="shared" ref="BR228" si="1281">+BP228+BQ228</f>
        <v>301.71463867310831</v>
      </c>
      <c r="BS228" s="133"/>
      <c r="BT228" s="232">
        <f t="shared" ref="BT228:BU228" si="1282">+BT231</f>
        <v>151.50787985732896</v>
      </c>
      <c r="BU228" s="232">
        <f t="shared" si="1282"/>
        <v>160.60780965025543</v>
      </c>
      <c r="BV228" s="232">
        <f t="shared" ref="BV228" si="1283">+BT228+BU228</f>
        <v>312.11568950758442</v>
      </c>
      <c r="BW228" s="133"/>
      <c r="BX228" s="232">
        <f t="shared" ref="BX228:BY228" si="1284">+BX231</f>
        <v>156.64695183961393</v>
      </c>
      <c r="BY228" s="232">
        <f t="shared" si="1284"/>
        <v>166.32804312218676</v>
      </c>
      <c r="BZ228" s="232">
        <f t="shared" ref="BZ228" si="1285">+BX228+BY228</f>
        <v>322.97499496180069</v>
      </c>
    </row>
    <row r="229" spans="1:78" s="220" customFormat="1" ht="14.4" thickBot="1">
      <c r="A229" s="660"/>
      <c r="B229" s="658" t="s">
        <v>683</v>
      </c>
      <c r="D229" s="315">
        <f>+D228/D216</f>
        <v>0.23790921113000296</v>
      </c>
      <c r="E229" s="315">
        <f>+E228/E216</f>
        <v>0.35174636486283917</v>
      </c>
      <c r="F229" s="315">
        <f>+F228/F216</f>
        <v>0.29702318400601974</v>
      </c>
      <c r="G229" s="138"/>
      <c r="H229" s="315">
        <f>+H228/H216</f>
        <v>0.26130642769108647</v>
      </c>
      <c r="I229" s="315">
        <f>+I228/I216</f>
        <v>0.33248771487874546</v>
      </c>
      <c r="J229" s="315">
        <f>+J228/J216</f>
        <v>0.29979854182655402</v>
      </c>
      <c r="K229" s="138"/>
      <c r="L229" s="315">
        <f>+L228/L216</f>
        <v>0.26600621600621599</v>
      </c>
      <c r="M229" s="315">
        <f>+M228/M216</f>
        <v>0.31872679624372141</v>
      </c>
      <c r="N229" s="315">
        <f>+N228/N216</f>
        <v>0.29460900473933649</v>
      </c>
      <c r="O229" s="138"/>
      <c r="P229" s="315">
        <f>+P228/P216</f>
        <v>0.2553191489361703</v>
      </c>
      <c r="Q229" s="315">
        <f>+Q228/Q216</f>
        <v>0.30215449290593799</v>
      </c>
      <c r="R229" s="315">
        <f>+R228/R216</f>
        <v>0.27887919640496961</v>
      </c>
      <c r="S229" s="138"/>
      <c r="T229" s="315">
        <f>+T228/T216</f>
        <v>0.2553191489361703</v>
      </c>
      <c r="U229" s="315">
        <f>+U228/U216</f>
        <v>0.30884485258579014</v>
      </c>
      <c r="V229" s="315">
        <f>+V228/V216</f>
        <v>0.28336287667763987</v>
      </c>
      <c r="W229" s="138"/>
      <c r="X229" s="315">
        <f>+X228/X216</f>
        <v>0.32112408759124095</v>
      </c>
      <c r="Y229" s="315">
        <f>+Y228/Y216</f>
        <v>0.31671434957532396</v>
      </c>
      <c r="Z229" s="315">
        <f>+Z228/Z216</f>
        <v>0.31882572227399808</v>
      </c>
      <c r="AA229" s="138"/>
      <c r="AB229" s="138">
        <f>+AB228/AB221</f>
        <v>0.31141552511415521</v>
      </c>
      <c r="AC229" s="138">
        <f>+AC228/AC221</f>
        <v>0.36104114189756509</v>
      </c>
      <c r="AD229" s="138">
        <f>+AD228/AD221</f>
        <v>0.33727034120734906</v>
      </c>
      <c r="AE229" s="138"/>
      <c r="AF229" s="138">
        <f>+AF228/AF221</f>
        <v>0.35162194633560273</v>
      </c>
      <c r="AG229" s="138">
        <f>+AG228/AG221</f>
        <v>0.34996296021927548</v>
      </c>
      <c r="AH229" s="138">
        <f>+AH228/AH221</f>
        <v>0.35076008312807894</v>
      </c>
      <c r="AI229" s="138"/>
      <c r="AJ229" s="138">
        <f>+AJ228/AJ221</f>
        <v>0.36935953420669576</v>
      </c>
      <c r="AK229" s="138">
        <f>+AK228/AK221</f>
        <v>0.36670601552953075</v>
      </c>
      <c r="AL229" s="238">
        <f>+AL228/AL221</f>
        <v>0.36799965937456203</v>
      </c>
      <c r="AM229" s="138"/>
      <c r="AN229" s="138">
        <f>+AN228/AN221</f>
        <v>0.37640449438202256</v>
      </c>
      <c r="AO229" s="138">
        <f>+AO228/AO221</f>
        <v>0.37957860615883304</v>
      </c>
      <c r="AP229" s="238">
        <f>+AP228/AP221</f>
        <v>0.37800687285223367</v>
      </c>
      <c r="AQ229" s="138"/>
      <c r="AR229" s="659">
        <f>+Scenarios!AF12</f>
        <v>0.375</v>
      </c>
      <c r="AS229" s="659">
        <f>+Scenarios!AG12</f>
        <v>0.38750000000000001</v>
      </c>
      <c r="AT229" s="138">
        <f t="shared" ref="AT229" si="1286">+AT228/AT221</f>
        <v>0.38129093395301228</v>
      </c>
      <c r="AU229" s="138"/>
      <c r="AV229" s="659">
        <f>+Scenarios!AJ12</f>
        <v>0.38</v>
      </c>
      <c r="AW229" s="659">
        <f>+Scenarios!AK12</f>
        <v>0.39250000000000002</v>
      </c>
      <c r="AX229" s="138">
        <f t="shared" ref="AX229" si="1287">+AX228/AX221</f>
        <v>0.38629646375820403</v>
      </c>
      <c r="AY229" s="138"/>
      <c r="AZ229" s="659">
        <f>+Scenarios!AN12</f>
        <v>0.38500000000000001</v>
      </c>
      <c r="BA229" s="659">
        <f>+Scenarios!AO12</f>
        <v>0.39800000000000002</v>
      </c>
      <c r="BB229" s="138">
        <f t="shared" ref="BB229" si="1288">+BB228/BB221</f>
        <v>0.3915540251452343</v>
      </c>
      <c r="BC229" s="138"/>
      <c r="BD229" s="659">
        <f>+Scenarios!AR12</f>
        <v>0.38500000000000001</v>
      </c>
      <c r="BE229" s="659">
        <f>+Scenarios!AS12</f>
        <v>0.39800000000000002</v>
      </c>
      <c r="BF229" s="138">
        <f t="shared" ref="BF229" si="1289">+BF228/BF221</f>
        <v>0.39155967004683495</v>
      </c>
      <c r="BG229" s="138"/>
      <c r="BH229" s="659">
        <f>+Scenarios!AV12</f>
        <v>0.38500000000000001</v>
      </c>
      <c r="BI229" s="659">
        <f>+Scenarios!AW12</f>
        <v>0.39800000000000002</v>
      </c>
      <c r="BJ229" s="138">
        <f t="shared" ref="BJ229" si="1290">+BJ228/BJ221</f>
        <v>0.39156525507111195</v>
      </c>
      <c r="BK229" s="138"/>
      <c r="BL229" s="659">
        <f>+Scenarios!AZ12</f>
        <v>0.38500000000000001</v>
      </c>
      <c r="BM229" s="659">
        <f>+Scenarios!BA12</f>
        <v>0.39800000000000002</v>
      </c>
      <c r="BN229" s="138">
        <f t="shared" ref="BN229" si="1291">+BN228/BN221</f>
        <v>0.39157077836787596</v>
      </c>
      <c r="BO229" s="138"/>
      <c r="BP229" s="659">
        <f>+Scenarios!BD12</f>
        <v>0.38500000000000001</v>
      </c>
      <c r="BQ229" s="659">
        <f>+Scenarios!BE12</f>
        <v>0.39800000000000002</v>
      </c>
      <c r="BR229" s="138">
        <f t="shared" ref="BR229" si="1292">+BR228/BR221</f>
        <v>0.39157623818138182</v>
      </c>
      <c r="BS229" s="138"/>
      <c r="BT229" s="659">
        <f>+Scenarios!BH12</f>
        <v>0.38500000000000001</v>
      </c>
      <c r="BU229" s="659">
        <f>+Scenarios!BI12</f>
        <v>0.39800000000000002</v>
      </c>
      <c r="BV229" s="138">
        <f t="shared" ref="BV229" si="1293">+BV228/BV221</f>
        <v>0.39158163285238873</v>
      </c>
      <c r="BW229" s="138"/>
      <c r="BX229" s="659">
        <f>+Scenarios!BL12</f>
        <v>0.38500000000000001</v>
      </c>
      <c r="BY229" s="659">
        <f>+Scenarios!BM12</f>
        <v>0.39800000000000002</v>
      </c>
      <c r="BZ229" s="138">
        <f t="shared" ref="BZ229" si="1294">+BZ228/BZ221</f>
        <v>0.39158696081987099</v>
      </c>
    </row>
    <row r="230" spans="1:78" s="135" customFormat="1">
      <c r="A230" s="134"/>
      <c r="B230" s="150" t="s">
        <v>360</v>
      </c>
      <c r="D230" s="315"/>
      <c r="E230" s="315"/>
      <c r="F230" s="315"/>
      <c r="G230" s="133"/>
      <c r="H230" s="315"/>
      <c r="I230" s="315"/>
      <c r="J230" s="315"/>
      <c r="K230" s="133"/>
      <c r="L230" s="315"/>
      <c r="M230" s="315"/>
      <c r="N230" s="315"/>
      <c r="O230" s="133"/>
      <c r="P230" s="315"/>
      <c r="Q230" s="315"/>
      <c r="R230" s="315"/>
      <c r="S230" s="133"/>
      <c r="T230" s="315"/>
      <c r="U230" s="315"/>
      <c r="V230" s="315"/>
      <c r="W230" s="133"/>
      <c r="X230" s="315"/>
      <c r="Y230" s="315"/>
      <c r="Z230" s="315"/>
      <c r="AA230" s="133"/>
      <c r="AB230" s="315"/>
      <c r="AC230" s="138">
        <f>+AD230</f>
        <v>0.35</v>
      </c>
      <c r="AD230" s="384">
        <v>0.35</v>
      </c>
      <c r="AE230" s="133"/>
      <c r="AF230" s="384">
        <v>0.38</v>
      </c>
      <c r="AG230" s="138">
        <f>+AH230</f>
        <v>0.4</v>
      </c>
      <c r="AH230" s="384">
        <v>0.4</v>
      </c>
      <c r="AI230" s="133"/>
      <c r="AJ230" s="384">
        <v>0.4</v>
      </c>
      <c r="AK230" s="138">
        <f>+AL230</f>
        <v>0.4</v>
      </c>
      <c r="AL230" s="384">
        <v>0.4</v>
      </c>
      <c r="AM230" s="133"/>
      <c r="AN230" s="393">
        <v>0.4</v>
      </c>
      <c r="AO230" s="138">
        <f>+AP230</f>
        <v>0.4</v>
      </c>
      <c r="AP230" s="917">
        <v>0.4</v>
      </c>
      <c r="AQ230" s="133"/>
      <c r="AR230" s="138">
        <f t="shared" ref="AR230" si="1295">+AP230</f>
        <v>0.4</v>
      </c>
      <c r="AS230" s="138">
        <f t="shared" ref="AS230:AT230" si="1296">+AR230</f>
        <v>0.4</v>
      </c>
      <c r="AT230" s="138">
        <f t="shared" si="1296"/>
        <v>0.4</v>
      </c>
      <c r="AU230" s="133"/>
      <c r="AV230" s="138">
        <f t="shared" ref="AV230" si="1297">+AT230</f>
        <v>0.4</v>
      </c>
      <c r="AW230" s="138">
        <f t="shared" ref="AW230:AX230" si="1298">+AV230</f>
        <v>0.4</v>
      </c>
      <c r="AX230" s="138">
        <f t="shared" si="1298"/>
        <v>0.4</v>
      </c>
      <c r="AY230" s="133"/>
      <c r="AZ230" s="138">
        <f t="shared" ref="AZ230" si="1299">+AX230</f>
        <v>0.4</v>
      </c>
      <c r="BA230" s="138">
        <f t="shared" ref="BA230:BB230" si="1300">+AZ230</f>
        <v>0.4</v>
      </c>
      <c r="BB230" s="138">
        <f t="shared" si="1300"/>
        <v>0.4</v>
      </c>
      <c r="BC230" s="133"/>
      <c r="BD230" s="138">
        <f t="shared" ref="BD230" si="1301">+BB230</f>
        <v>0.4</v>
      </c>
      <c r="BE230" s="138">
        <f t="shared" ref="BE230:BF230" si="1302">+BD230</f>
        <v>0.4</v>
      </c>
      <c r="BF230" s="138">
        <f t="shared" si="1302"/>
        <v>0.4</v>
      </c>
      <c r="BG230" s="133"/>
      <c r="BH230" s="138">
        <f t="shared" ref="BH230" si="1303">+BF230</f>
        <v>0.4</v>
      </c>
      <c r="BI230" s="138">
        <f t="shared" ref="BI230:BJ230" si="1304">+BH230</f>
        <v>0.4</v>
      </c>
      <c r="BJ230" s="138">
        <f t="shared" si="1304"/>
        <v>0.4</v>
      </c>
      <c r="BK230" s="133"/>
      <c r="BL230" s="138">
        <f t="shared" ref="BL230" si="1305">+BJ230</f>
        <v>0.4</v>
      </c>
      <c r="BM230" s="138">
        <f t="shared" ref="BM230:BN230" si="1306">+BL230</f>
        <v>0.4</v>
      </c>
      <c r="BN230" s="138">
        <f t="shared" si="1306"/>
        <v>0.4</v>
      </c>
      <c r="BO230" s="133"/>
      <c r="BP230" s="138">
        <f t="shared" ref="BP230" si="1307">+BN230</f>
        <v>0.4</v>
      </c>
      <c r="BQ230" s="138">
        <f t="shared" ref="BQ230:BR230" si="1308">+BP230</f>
        <v>0.4</v>
      </c>
      <c r="BR230" s="138">
        <f t="shared" si="1308"/>
        <v>0.4</v>
      </c>
      <c r="BS230" s="133"/>
      <c r="BT230" s="138">
        <f t="shared" ref="BT230" si="1309">+BR230</f>
        <v>0.4</v>
      </c>
      <c r="BU230" s="138">
        <f t="shared" ref="BU230" si="1310">+BT230</f>
        <v>0.4</v>
      </c>
      <c r="BV230" s="138">
        <f t="shared" ref="BV230" si="1311">+BU230</f>
        <v>0.4</v>
      </c>
      <c r="BW230" s="133"/>
      <c r="BX230" s="138">
        <f t="shared" ref="BX230" si="1312">+BV230</f>
        <v>0.4</v>
      </c>
      <c r="BY230" s="138">
        <f t="shared" ref="BY230" si="1313">+BX230</f>
        <v>0.4</v>
      </c>
      <c r="BZ230" s="138">
        <f t="shared" ref="BZ230" si="1314">+BY230</f>
        <v>0.4</v>
      </c>
    </row>
    <row r="231" spans="1:78" s="523" customFormat="1">
      <c r="A231" s="526"/>
      <c r="B231" s="586" t="s">
        <v>501</v>
      </c>
      <c r="G231" s="259"/>
      <c r="H231" s="323">
        <f>+H228</f>
        <v>37.527000000000001</v>
      </c>
      <c r="I231" s="323">
        <f>+I228</f>
        <v>56.226000000000013</v>
      </c>
      <c r="J231" s="323">
        <f>+J228</f>
        <v>93.752999999999957</v>
      </c>
      <c r="K231" s="259"/>
      <c r="L231" s="323">
        <f>+L228</f>
        <v>41.081999999999994</v>
      </c>
      <c r="M231" s="323">
        <f>+M228</f>
        <v>58.378000000000014</v>
      </c>
      <c r="N231" s="323">
        <f>+N228</f>
        <v>99.45999999999998</v>
      </c>
      <c r="O231" s="259"/>
      <c r="P231" s="323">
        <f>+P228</f>
        <v>48.000000000000028</v>
      </c>
      <c r="Q231" s="323">
        <f>+Q228</f>
        <v>57.5</v>
      </c>
      <c r="R231" s="323">
        <f>+R228</f>
        <v>105.5</v>
      </c>
      <c r="S231" s="259"/>
      <c r="T231" s="323">
        <f>+T228</f>
        <v>48.000000000000028</v>
      </c>
      <c r="U231" s="323">
        <f>+U228</f>
        <v>63.899999999999977</v>
      </c>
      <c r="V231" s="323">
        <f>+V228</f>
        <v>111.89999999999998</v>
      </c>
      <c r="W231" s="259"/>
      <c r="X231" s="323">
        <f>+X228</f>
        <v>65.991000000000014</v>
      </c>
      <c r="Y231" s="323">
        <f>+Y228</f>
        <v>70.848999999999961</v>
      </c>
      <c r="Z231" s="323">
        <f>+Z228</f>
        <v>136.83999999999997</v>
      </c>
      <c r="AA231" s="259"/>
      <c r="AB231" s="323">
        <f>+AB228</f>
        <v>68.199999999999989</v>
      </c>
      <c r="AC231" s="323">
        <f>+AC228</f>
        <v>86</v>
      </c>
      <c r="AD231" s="323">
        <f>+AD228</f>
        <v>154.19999999999999</v>
      </c>
      <c r="AE231" s="259"/>
      <c r="AF231" s="323">
        <f>+AF228</f>
        <v>87.800000000000011</v>
      </c>
      <c r="AG231" s="323">
        <f>+AG228</f>
        <v>94.482999999999976</v>
      </c>
      <c r="AH231" s="323">
        <f>+AH228</f>
        <v>182.28300000000007</v>
      </c>
      <c r="AI231" s="259"/>
      <c r="AJ231" s="323">
        <f>+AJ228</f>
        <v>101.5</v>
      </c>
      <c r="AK231" s="323">
        <f>+AK228</f>
        <v>105.93</v>
      </c>
      <c r="AL231" s="219">
        <f>+AL228</f>
        <v>207.43</v>
      </c>
      <c r="AM231" s="323"/>
      <c r="AN231" s="323">
        <f>+AN228</f>
        <v>113.90000000000003</v>
      </c>
      <c r="AO231" s="323">
        <f>+AO228</f>
        <v>117.10000000000002</v>
      </c>
      <c r="AP231" s="219">
        <f>+AP228</f>
        <v>231</v>
      </c>
      <c r="AQ231" s="323">
        <f>AN231+AO231-AP231</f>
        <v>0</v>
      </c>
      <c r="AR231" s="323">
        <f t="shared" ref="AR231:AS231" si="1315">+AR229*AR221</f>
        <v>117.923567625</v>
      </c>
      <c r="AS231" s="323">
        <f t="shared" si="1315"/>
        <v>123.46102975000005</v>
      </c>
      <c r="AT231" s="323">
        <f t="shared" ref="AT231" si="1316">+AS231+AR231</f>
        <v>241.38459737500006</v>
      </c>
      <c r="AU231" s="323"/>
      <c r="AV231" s="323">
        <f t="shared" ref="AV231:AW231" si="1317">+AV229*AV221</f>
        <v>123.24950629800001</v>
      </c>
      <c r="AW231" s="323">
        <f t="shared" si="1317"/>
        <v>129.2107469049194</v>
      </c>
      <c r="AX231" s="323">
        <f t="shared" ref="AX231" si="1318">+AW231+AV231</f>
        <v>252.46025320291943</v>
      </c>
      <c r="AY231" s="323"/>
      <c r="AZ231" s="323">
        <f t="shared" ref="AZ231:BA231" si="1319">+AZ229*AZ221</f>
        <v>128.8549887965487</v>
      </c>
      <c r="BA231" s="323">
        <f t="shared" si="1319"/>
        <v>135.43879347818233</v>
      </c>
      <c r="BB231" s="323">
        <f t="shared" ref="BB231" si="1320">+BA231+AZ231</f>
        <v>264.29378227473103</v>
      </c>
      <c r="BC231" s="323"/>
      <c r="BD231" s="323">
        <f t="shared" ref="BD231:BE231" si="1321">+BD229*BD221</f>
        <v>133.00997004731414</v>
      </c>
      <c r="BE231" s="323">
        <f t="shared" si="1321"/>
        <v>140.04912996302949</v>
      </c>
      <c r="BF231" s="323">
        <f t="shared" ref="BF231" si="1322">+BE231+BD231</f>
        <v>273.05910001034363</v>
      </c>
      <c r="BG231" s="323"/>
      <c r="BH231" s="323">
        <f t="shared" ref="BH231:BI231" si="1323">+BH229*BH221</f>
        <v>137.34415449683664</v>
      </c>
      <c r="BI231" s="323">
        <f t="shared" si="1323"/>
        <v>144.86143740833774</v>
      </c>
      <c r="BJ231" s="323">
        <f t="shared" ref="BJ231" si="1324">+BI231+BH231</f>
        <v>282.2055919051744</v>
      </c>
      <c r="BK231" s="323"/>
      <c r="BL231" s="323">
        <f t="shared" ref="BL231:BM231" si="1325">+BL229*BL221</f>
        <v>141.86593138777835</v>
      </c>
      <c r="BM231" s="323">
        <f t="shared" si="1325"/>
        <v>149.88524344485452</v>
      </c>
      <c r="BN231" s="323">
        <f t="shared" ref="BN231" si="1326">+BM231+BL231</f>
        <v>291.75117483263284</v>
      </c>
      <c r="BO231" s="323"/>
      <c r="BP231" s="323">
        <f t="shared" ref="BP231:BQ231" si="1327">+BP229*BP221</f>
        <v>146.58409800658916</v>
      </c>
      <c r="BQ231" s="323">
        <f t="shared" si="1327"/>
        <v>155.13054066651912</v>
      </c>
      <c r="BR231" s="323">
        <f t="shared" ref="BR231" si="1328">+BQ231+BP231</f>
        <v>301.71463867310831</v>
      </c>
      <c r="BS231" s="323"/>
      <c r="BT231" s="323">
        <f t="shared" ref="BT231:BU231" si="1329">+BT229*BT221</f>
        <v>151.50787985732896</v>
      </c>
      <c r="BU231" s="323">
        <f t="shared" si="1329"/>
        <v>160.60780965025543</v>
      </c>
      <c r="BV231" s="323">
        <f t="shared" ref="BV231" si="1330">+BU231+BT231</f>
        <v>312.11568950758442</v>
      </c>
      <c r="BW231" s="323"/>
      <c r="BX231" s="323">
        <f t="shared" ref="BX231:BY231" si="1331">+BX229*BX221</f>
        <v>156.64695183961393</v>
      </c>
      <c r="BY231" s="323">
        <f t="shared" si="1331"/>
        <v>166.32804312218676</v>
      </c>
      <c r="BZ231" s="323">
        <f t="shared" ref="BZ231" si="1332">+BY231+BX231</f>
        <v>322.97499496180069</v>
      </c>
    </row>
    <row r="232" spans="1:78" s="523" customFormat="1">
      <c r="A232" s="526"/>
      <c r="B232" s="586"/>
      <c r="G232" s="259"/>
      <c r="H232" s="323"/>
      <c r="I232" s="323"/>
      <c r="J232" s="323"/>
      <c r="K232" s="259"/>
      <c r="L232" s="323"/>
      <c r="M232" s="323"/>
      <c r="N232" s="323"/>
      <c r="O232" s="259"/>
      <c r="P232" s="323"/>
      <c r="Q232" s="323"/>
      <c r="R232" s="323"/>
      <c r="S232" s="259"/>
      <c r="T232" s="323"/>
      <c r="U232" s="323"/>
      <c r="V232" s="323"/>
      <c r="W232" s="259"/>
      <c r="X232" s="323"/>
      <c r="Y232" s="323"/>
      <c r="Z232" s="323"/>
      <c r="AA232" s="259"/>
      <c r="AB232" s="323"/>
      <c r="AC232" s="323"/>
      <c r="AD232" s="323"/>
      <c r="AE232" s="259"/>
      <c r="AF232" s="323"/>
      <c r="AG232" s="323"/>
      <c r="AH232" s="323"/>
      <c r="AI232" s="259"/>
      <c r="AJ232" s="323"/>
      <c r="AK232" s="323"/>
      <c r="AL232" s="323"/>
      <c r="AM232" s="323"/>
      <c r="AN232" s="323"/>
      <c r="AO232" s="323"/>
      <c r="AP232" s="323"/>
      <c r="AQ232" s="323"/>
      <c r="AR232" s="323"/>
      <c r="AS232" s="323"/>
      <c r="AT232" s="323"/>
      <c r="AU232" s="323"/>
      <c r="AV232" s="323"/>
      <c r="AW232" s="323"/>
      <c r="AX232" s="323"/>
      <c r="AY232" s="323"/>
      <c r="AZ232" s="323"/>
      <c r="BA232" s="323"/>
      <c r="BB232" s="323"/>
      <c r="BC232" s="323"/>
      <c r="BD232" s="323"/>
      <c r="BE232" s="323"/>
      <c r="BF232" s="323"/>
      <c r="BG232" s="323"/>
      <c r="BH232" s="323"/>
      <c r="BI232" s="323"/>
      <c r="BJ232" s="323"/>
      <c r="BK232" s="323"/>
      <c r="BL232" s="323"/>
      <c r="BM232" s="323"/>
      <c r="BN232" s="323"/>
      <c r="BO232" s="323"/>
      <c r="BP232" s="323"/>
      <c r="BQ232" s="323"/>
      <c r="BR232" s="323"/>
      <c r="BS232" s="323"/>
      <c r="BT232" s="323"/>
      <c r="BU232" s="323"/>
      <c r="BV232" s="323"/>
      <c r="BW232" s="323"/>
      <c r="BX232" s="323"/>
      <c r="BY232" s="323"/>
      <c r="BZ232" s="323"/>
    </row>
    <row r="233" spans="1:78" s="523" customFormat="1">
      <c r="A233" s="522"/>
      <c r="B233" s="526" t="s">
        <v>610</v>
      </c>
      <c r="X233" s="665"/>
      <c r="Y233" s="665"/>
      <c r="Z233" s="665"/>
      <c r="AB233" s="665"/>
      <c r="AC233" s="665"/>
      <c r="AD233" s="665"/>
      <c r="AF233" s="665"/>
      <c r="AG233" s="665"/>
      <c r="AH233" s="665"/>
      <c r="AJ233" s="665"/>
      <c r="AK233" s="665"/>
      <c r="AL233" s="842"/>
      <c r="AM233" s="232"/>
      <c r="AN233" s="665"/>
      <c r="AO233" s="665"/>
      <c r="AP233" s="842"/>
      <c r="AQ233" s="232"/>
      <c r="AR233" s="232">
        <f>CF!AR144</f>
        <v>-1.3541823749999999</v>
      </c>
      <c r="AS233" s="232">
        <f>CF!AS144</f>
        <v>-1.34497025</v>
      </c>
      <c r="AT233" s="232">
        <f t="shared" ref="AT233" si="1333">AS233+AR233</f>
        <v>-2.699152625</v>
      </c>
      <c r="AU233" s="232"/>
      <c r="AV233" s="232">
        <f>CF!AV144</f>
        <v>-1.371869655</v>
      </c>
      <c r="AW233" s="232">
        <f>CF!AW144</f>
        <v>-1.371869655</v>
      </c>
      <c r="AX233" s="232">
        <f t="shared" ref="AX233" si="1334">AW233+AV233</f>
        <v>-2.74373931</v>
      </c>
      <c r="AY233" s="232"/>
      <c r="AZ233" s="232">
        <f>CF!AZ144</f>
        <v>-1.3993070480999998</v>
      </c>
      <c r="BA233" s="232">
        <f>CF!BA144</f>
        <v>-1.3993070480999998</v>
      </c>
      <c r="BB233" s="232">
        <f t="shared" ref="BB233" si="1335">BA233+AZ233</f>
        <v>-2.7986140961999997</v>
      </c>
      <c r="BC233" s="232"/>
      <c r="BD233" s="232">
        <f>CF!BD144</f>
        <v>-1.4272931890620002</v>
      </c>
      <c r="BE233" s="232">
        <f>CF!BE144</f>
        <v>-1.4272931890620002</v>
      </c>
      <c r="BF233" s="232">
        <f t="shared" ref="BF233" si="1336">BE233+BD233</f>
        <v>-2.8545863781240004</v>
      </c>
      <c r="BG233" s="232"/>
      <c r="BH233" s="232">
        <f>CF!BH144</f>
        <v>-1.4558390528432399</v>
      </c>
      <c r="BI233" s="232">
        <f>CF!BI144</f>
        <v>-1.4558390528432399</v>
      </c>
      <c r="BJ233" s="232">
        <f t="shared" ref="BJ233" si="1337">BI233+BH233</f>
        <v>-2.9116781056864798</v>
      </c>
      <c r="BK233" s="232"/>
      <c r="BL233" s="232">
        <f>CF!BL144</f>
        <v>-1.484955833900105</v>
      </c>
      <c r="BM233" s="232">
        <f>CF!BM144</f>
        <v>-1.484955833900105</v>
      </c>
      <c r="BN233" s="232">
        <f t="shared" ref="BN233" si="1338">BM233+BL233</f>
        <v>-2.96991166780021</v>
      </c>
      <c r="BO233" s="232"/>
      <c r="BP233" s="232">
        <f>CF!BP144</f>
        <v>-1.5146549505781071</v>
      </c>
      <c r="BQ233" s="232">
        <f>CF!BQ144</f>
        <v>-1.5146549505781071</v>
      </c>
      <c r="BR233" s="232">
        <f t="shared" ref="BR233" si="1339">BQ233+BP233</f>
        <v>-3.0293099011562141</v>
      </c>
      <c r="BS233" s="232"/>
      <c r="BT233" s="232">
        <f>CF!BT144</f>
        <v>-1.544948049589669</v>
      </c>
      <c r="BU233" s="232">
        <f>CF!BU144</f>
        <v>-1.544948049589669</v>
      </c>
      <c r="BV233" s="232">
        <f t="shared" ref="BV233" si="1340">BU233+BT233</f>
        <v>-3.0898960991793381</v>
      </c>
      <c r="BW233" s="232"/>
      <c r="BX233" s="232">
        <f>CF!BX144</f>
        <v>-1.5758470105814628</v>
      </c>
      <c r="BY233" s="232">
        <f>CF!BY144</f>
        <v>-1.5758470105814628</v>
      </c>
      <c r="BZ233" s="232">
        <f t="shared" ref="BZ233" si="1341">BY233+BX233</f>
        <v>-3.1516940211629256</v>
      </c>
    </row>
    <row r="234" spans="1:78" s="135" customFormat="1">
      <c r="A234" s="134"/>
      <c r="B234" s="314" t="s">
        <v>502</v>
      </c>
      <c r="D234" s="232"/>
      <c r="E234" s="232"/>
      <c r="F234" s="232"/>
      <c r="G234" s="133"/>
      <c r="H234" s="232"/>
      <c r="I234" s="232"/>
      <c r="J234" s="232"/>
      <c r="K234" s="133"/>
      <c r="L234" s="232"/>
      <c r="M234" s="232"/>
      <c r="N234" s="232"/>
      <c r="O234" s="133"/>
      <c r="P234" s="232"/>
      <c r="Q234" s="232"/>
      <c r="R234" s="232"/>
      <c r="S234" s="133"/>
      <c r="T234" s="232"/>
      <c r="U234" s="232"/>
      <c r="V234" s="232"/>
      <c r="W234" s="133"/>
      <c r="X234" s="315"/>
      <c r="Y234" s="315"/>
      <c r="Z234" s="315"/>
      <c r="AA234" s="133"/>
      <c r="AB234" s="315"/>
      <c r="AC234" s="315"/>
      <c r="AD234" s="315"/>
      <c r="AE234" s="133"/>
      <c r="AF234" s="374"/>
      <c r="AG234" s="315"/>
      <c r="AH234" s="315"/>
      <c r="AI234" s="133"/>
      <c r="AJ234" s="374"/>
      <c r="AK234" s="315"/>
      <c r="AL234" s="374"/>
      <c r="AM234" s="133"/>
      <c r="AN234" s="374"/>
      <c r="AO234" s="315"/>
      <c r="AP234" s="374"/>
      <c r="AQ234" s="133"/>
      <c r="AR234" s="315">
        <f>+AR233/AO228</f>
        <v>-1.1564324295473952E-2</v>
      </c>
      <c r="AS234" s="315">
        <f>+AS233/AR228</f>
        <v>-1.1405440634878349E-2</v>
      </c>
      <c r="AT234" s="315">
        <f>+AT233/AP228</f>
        <v>-1.1684643398268399E-2</v>
      </c>
      <c r="AU234" s="133"/>
      <c r="AV234" s="315">
        <f>+AV233/AS228</f>
        <v>-1.1111762616737767E-2</v>
      </c>
      <c r="AW234" s="315">
        <f>+AW233/AV228</f>
        <v>-1.1130832862591852E-2</v>
      </c>
      <c r="AX234" s="315">
        <f>+AX233/AT228</f>
        <v>-1.1366671029707408E-2</v>
      </c>
      <c r="AY234" s="133"/>
      <c r="AZ234" s="315">
        <f>+AZ233/AW228</f>
        <v>-1.0829649093582668E-2</v>
      </c>
      <c r="BA234" s="315">
        <f>+BA233/AZ228</f>
        <v>-1.0859548870935756E-2</v>
      </c>
      <c r="BB234" s="315">
        <f>+BB233/AX228</f>
        <v>-1.108536516419701E-2</v>
      </c>
      <c r="BC234" s="133"/>
      <c r="BD234" s="315">
        <f>+BD233/BA228</f>
        <v>-1.0538289306984422E-2</v>
      </c>
      <c r="BE234" s="315">
        <f>+BE233/BD228</f>
        <v>-1.0730723332651569E-2</v>
      </c>
      <c r="BF234" s="315">
        <f>+BF233/BB228</f>
        <v>-1.0800807925010826E-2</v>
      </c>
      <c r="BG234" s="133"/>
      <c r="BH234" s="315">
        <f>+BH233/BE228</f>
        <v>-1.0395202406666545E-2</v>
      </c>
      <c r="BI234" s="315">
        <f>+BI233/BH228</f>
        <v>-1.0599934581684518E-2</v>
      </c>
      <c r="BJ234" s="315">
        <f>+BJ233/BF228</f>
        <v>-1.0663179163690879E-2</v>
      </c>
      <c r="BK234" s="133"/>
      <c r="BL234" s="315">
        <f>+BL233/BI228</f>
        <v>-1.0250870490220857E-2</v>
      </c>
      <c r="BM234" s="315">
        <f>+BM233/BL228</f>
        <v>-1.0467318117703014E-2</v>
      </c>
      <c r="BN234" s="315">
        <f>+BN233/BJ228</f>
        <v>-1.0523929195556649E-2</v>
      </c>
      <c r="BO234" s="133"/>
      <c r="BP234" s="315">
        <f>+BP233/BM228</f>
        <v>-1.0105430766674344E-2</v>
      </c>
      <c r="BQ234" s="315">
        <f>+BQ233/BP228</f>
        <v>-1.0333010000239052E-2</v>
      </c>
      <c r="BR234" s="315">
        <f>+BR233/BN228</f>
        <v>-1.0383196924207829E-2</v>
      </c>
      <c r="BS234" s="133"/>
      <c r="BT234" s="315">
        <f>+BT233/BQ228</f>
        <v>-9.9590193069126962E-3</v>
      </c>
      <c r="BU234" s="315">
        <f>+BU233/BT228</f>
        <v>-1.0197146518349453E-2</v>
      </c>
      <c r="BV234" s="315">
        <f>+BV233/BR228</f>
        <v>-1.0241120923957141E-2</v>
      </c>
      <c r="BW234" s="133"/>
      <c r="BX234" s="315">
        <f>+BX233/BU228</f>
        <v>-9.811770760170856E-3</v>
      </c>
      <c r="BY234" s="315">
        <f>+BY233/BX228</f>
        <v>-1.0059863866326136E-2</v>
      </c>
      <c r="BZ234" s="315">
        <f>+BZ233/BV228</f>
        <v>-1.009783912540654E-2</v>
      </c>
    </row>
    <row r="235" spans="1:78" s="135" customFormat="1">
      <c r="A235" s="134"/>
      <c r="B235" s="151"/>
      <c r="D235" s="232"/>
      <c r="E235" s="232"/>
      <c r="F235" s="232"/>
      <c r="G235" s="133"/>
      <c r="H235" s="232"/>
      <c r="I235" s="232"/>
      <c r="J235" s="232"/>
      <c r="K235" s="133"/>
      <c r="L235" s="232"/>
      <c r="M235" s="232"/>
      <c r="N235" s="232"/>
      <c r="O235" s="133"/>
      <c r="P235" s="232"/>
      <c r="Q235" s="232"/>
      <c r="R235" s="232"/>
      <c r="S235" s="133"/>
      <c r="T235" s="232"/>
      <c r="U235" s="232"/>
      <c r="V235" s="232"/>
      <c r="W235" s="133"/>
      <c r="X235" s="232"/>
      <c r="Y235" s="232"/>
      <c r="Z235" s="232"/>
      <c r="AA235" s="133"/>
      <c r="AB235" s="232"/>
      <c r="AC235" s="232"/>
      <c r="AD235" s="232"/>
      <c r="AE235" s="133"/>
      <c r="AF235" s="323"/>
      <c r="AG235" s="232"/>
      <c r="AH235" s="232"/>
      <c r="AI235" s="133"/>
      <c r="AJ235" s="323"/>
      <c r="AK235" s="232"/>
      <c r="AL235" s="323"/>
      <c r="AM235" s="133"/>
      <c r="AN235" s="323"/>
      <c r="AO235" s="232"/>
      <c r="AP235" s="323"/>
      <c r="AQ235" s="133"/>
      <c r="AR235" s="232"/>
      <c r="AS235" s="232"/>
      <c r="AT235" s="232"/>
      <c r="AU235" s="133"/>
      <c r="AV235" s="232"/>
      <c r="AW235" s="232"/>
      <c r="AX235" s="232"/>
      <c r="AY235" s="133"/>
      <c r="AZ235" s="232"/>
      <c r="BA235" s="232"/>
      <c r="BB235" s="232"/>
      <c r="BC235" s="133"/>
      <c r="BD235" s="232"/>
      <c r="BE235" s="232"/>
      <c r="BF235" s="232"/>
      <c r="BG235" s="133"/>
      <c r="BH235" s="232"/>
      <c r="BI235" s="232"/>
      <c r="BJ235" s="232"/>
      <c r="BK235" s="133"/>
      <c r="BL235" s="232"/>
      <c r="BM235" s="232"/>
      <c r="BN235" s="232"/>
      <c r="BO235" s="133"/>
      <c r="BP235" s="232"/>
      <c r="BQ235" s="232"/>
      <c r="BR235" s="232"/>
      <c r="BS235" s="133"/>
      <c r="BT235" s="232"/>
      <c r="BU235" s="232"/>
      <c r="BV235" s="232"/>
      <c r="BW235" s="133"/>
      <c r="BX235" s="232"/>
      <c r="BY235" s="232"/>
      <c r="BZ235" s="232"/>
    </row>
    <row r="236" spans="1:78" s="135" customFormat="1">
      <c r="A236" s="134"/>
      <c r="B236" s="150" t="s">
        <v>262</v>
      </c>
      <c r="D236" s="136">
        <f>-(D228-D237)</f>
        <v>7.1054273576010019E-15</v>
      </c>
      <c r="E236" s="136">
        <f>-(E228-E237)</f>
        <v>-4.4570000000000007</v>
      </c>
      <c r="F236" s="136">
        <f>+D236+E236</f>
        <v>-4.4569999999999936</v>
      </c>
      <c r="G236" s="133"/>
      <c r="H236" s="136">
        <f>-(H228-H237)</f>
        <v>-1.6839999999999975</v>
      </c>
      <c r="I236" s="136">
        <f>-(I228-I237)</f>
        <v>-1.7420000000000186</v>
      </c>
      <c r="J236" s="136">
        <f>+H236+I236</f>
        <v>-3.4260000000000161</v>
      </c>
      <c r="K236" s="133"/>
      <c r="L236" s="136">
        <f>-(L228-L237)</f>
        <v>-1.8839999999999932</v>
      </c>
      <c r="M236" s="136">
        <f>-(M228-M237)</f>
        <v>-1.9760000000000204</v>
      </c>
      <c r="N236" s="136">
        <f>+L236+M236</f>
        <v>-3.8600000000000136</v>
      </c>
      <c r="O236" s="133"/>
      <c r="P236" s="136">
        <f>-(P228-P237)</f>
        <v>-3.1000000000000298</v>
      </c>
      <c r="Q236" s="136">
        <f>-(Q228-Q237)</f>
        <v>-1.4999999999999929</v>
      </c>
      <c r="R236" s="136">
        <f>+P236+Q236</f>
        <v>-4.6000000000000227</v>
      </c>
      <c r="S236" s="133"/>
      <c r="T236" s="136">
        <f>-(T228-T237)</f>
        <v>-3.1000000000000298</v>
      </c>
      <c r="U236" s="136">
        <f>-(U228-U237)</f>
        <v>-0.99999999999997868</v>
      </c>
      <c r="V236" s="136">
        <f>+T236+U236</f>
        <v>-4.1000000000000085</v>
      </c>
      <c r="W236" s="133"/>
      <c r="X236" s="136">
        <f>-(X228-X237)</f>
        <v>-1.5910000000000082</v>
      </c>
      <c r="Y236" s="136">
        <f>-(Y228-Y237)</f>
        <v>-1.3489999999999611</v>
      </c>
      <c r="Z236" s="136">
        <f>+X236+Y236</f>
        <v>-2.9399999999999693</v>
      </c>
      <c r="AA236" s="133"/>
      <c r="AB236" s="136">
        <f>-(AB228-AB237)</f>
        <v>-1.1999999999999886</v>
      </c>
      <c r="AC236" s="136">
        <f>-(AC228-AC237)</f>
        <v>-1.3000000000000114</v>
      </c>
      <c r="AD236" s="136">
        <f>+AB236+AC236</f>
        <v>-2.5</v>
      </c>
      <c r="AE236" s="133"/>
      <c r="AF236" s="262">
        <f>-(AF228-AF237)</f>
        <v>-1.8000000000000114</v>
      </c>
      <c r="AG236" s="136">
        <f>-(AG228-AG237)</f>
        <v>-2.8829999999999814</v>
      </c>
      <c r="AH236" s="136">
        <f>+AF236+AG236</f>
        <v>-4.6829999999999927</v>
      </c>
      <c r="AI236" s="133"/>
      <c r="AJ236" s="262">
        <f>-(AJ228-AJ237)</f>
        <v>-3.2999999999999972</v>
      </c>
      <c r="AK236" s="136">
        <f>-(AK228-AK237)</f>
        <v>-4.0950000000000131</v>
      </c>
      <c r="AL236" s="262">
        <f>+AJ236+AK236</f>
        <v>-7.3950000000000102</v>
      </c>
      <c r="AM236" s="133"/>
      <c r="AN236" s="136">
        <f>-(AN228-AN237)</f>
        <v>-4.5000000000000284</v>
      </c>
      <c r="AO236" s="136">
        <f>-(AO228-AO237)</f>
        <v>-4.1000000000000227</v>
      </c>
      <c r="AP236" s="262">
        <f>+AN236+AO236</f>
        <v>-8.6000000000000512</v>
      </c>
      <c r="AQ236" s="133"/>
      <c r="AR236" s="321">
        <f>+AO236*AR$465/AO$465</f>
        <v>-4.1000000000000227</v>
      </c>
      <c r="AS236" s="321">
        <f>+AR236*AS$465/AR$465</f>
        <v>-4.1000000000000227</v>
      </c>
      <c r="AT236" s="136">
        <f t="shared" ref="AT236" si="1342">+AR236+AS236</f>
        <v>-8.2000000000000455</v>
      </c>
      <c r="AU236" s="133"/>
      <c r="AV236" s="321">
        <f>+AS236*AV$465/AS$465</f>
        <v>-4.018000000000022</v>
      </c>
      <c r="AW236" s="321">
        <f>+AV236*AW$465/AV$465</f>
        <v>-4.018000000000022</v>
      </c>
      <c r="AX236" s="136">
        <f t="shared" ref="AX236" si="1343">+AV236+AW236</f>
        <v>-8.036000000000044</v>
      </c>
      <c r="AY236" s="133"/>
      <c r="AZ236" s="321">
        <f>+AW236*AZ$465/AW$465</f>
        <v>-3.9376400000000213</v>
      </c>
      <c r="BA236" s="321">
        <f>+AZ236*BA$465/AZ$465</f>
        <v>-3.9376400000000213</v>
      </c>
      <c r="BB236" s="136">
        <f t="shared" ref="BB236" si="1344">+AZ236+BA236</f>
        <v>-7.8752800000000427</v>
      </c>
      <c r="BC236" s="133"/>
      <c r="BD236" s="321">
        <f>+BA236*BD$465/BA$465</f>
        <v>-3.9376400000000213</v>
      </c>
      <c r="BE236" s="321">
        <f>+BD236*BE$465/BD$465</f>
        <v>-3.9376400000000213</v>
      </c>
      <c r="BF236" s="136">
        <f t="shared" ref="BF236" si="1345">+BD236+BE236</f>
        <v>-7.8752800000000427</v>
      </c>
      <c r="BG236" s="133"/>
      <c r="BH236" s="321">
        <f>+BE236*BH$465/BE$465</f>
        <v>-3.9376400000000213</v>
      </c>
      <c r="BI236" s="321">
        <f>+BH236*BI$465/BH$465</f>
        <v>-3.9376400000000213</v>
      </c>
      <c r="BJ236" s="136">
        <f t="shared" ref="BJ236" si="1346">+BH236+BI236</f>
        <v>-7.8752800000000427</v>
      </c>
      <c r="BK236" s="133"/>
      <c r="BL236" s="321">
        <f>+BI236*BL$465/BI$465</f>
        <v>-3.9376400000000213</v>
      </c>
      <c r="BM236" s="321">
        <f>+BL236*BM$465/BL$465</f>
        <v>-3.9376400000000213</v>
      </c>
      <c r="BN236" s="136">
        <f t="shared" ref="BN236" si="1347">+BL236+BM236</f>
        <v>-7.8752800000000427</v>
      </c>
      <c r="BO236" s="133"/>
      <c r="BP236" s="321">
        <f>+BM236*BP$465/BM$465</f>
        <v>-3.9376400000000213</v>
      </c>
      <c r="BQ236" s="321">
        <f>+BP236*BQ$465/BP$465</f>
        <v>-3.9376400000000213</v>
      </c>
      <c r="BR236" s="136">
        <f t="shared" ref="BR236" si="1348">+BP236+BQ236</f>
        <v>-7.8752800000000427</v>
      </c>
      <c r="BS236" s="133"/>
      <c r="BT236" s="321">
        <f>+BQ236*BT$465/BQ$465</f>
        <v>-3.9376400000000213</v>
      </c>
      <c r="BU236" s="321">
        <f>+BT236*BU$465/BT$465</f>
        <v>-3.9376400000000213</v>
      </c>
      <c r="BV236" s="136">
        <f t="shared" ref="BV236" si="1349">+BT236+BU236</f>
        <v>-7.8752800000000427</v>
      </c>
      <c r="BW236" s="133"/>
      <c r="BX236" s="321">
        <f>+BU236*BX$465/BU$465</f>
        <v>-3.9376400000000213</v>
      </c>
      <c r="BY236" s="321">
        <f>+BX236*BY$465/BX$465</f>
        <v>-3.9376400000000213</v>
      </c>
      <c r="BZ236" s="136">
        <f t="shared" ref="BZ236" si="1350">+BX236+BY236</f>
        <v>-7.8752800000000427</v>
      </c>
    </row>
    <row r="237" spans="1:78" s="135" customFormat="1">
      <c r="A237" s="134"/>
      <c r="B237" s="151" t="s">
        <v>181</v>
      </c>
      <c r="D237" s="313">
        <v>35.261000000000003</v>
      </c>
      <c r="E237" s="232">
        <f>F237-D237</f>
        <v>51.859000000000002</v>
      </c>
      <c r="F237" s="313">
        <v>87.12</v>
      </c>
      <c r="H237" s="313">
        <v>35.843000000000004</v>
      </c>
      <c r="I237" s="232">
        <f>J237-H237</f>
        <v>54.483999999999995</v>
      </c>
      <c r="J237" s="313">
        <v>90.326999999999998</v>
      </c>
      <c r="L237" s="313">
        <v>39.198</v>
      </c>
      <c r="M237" s="232">
        <f>N237-L237</f>
        <v>56.401999999999994</v>
      </c>
      <c r="N237" s="313">
        <v>95.6</v>
      </c>
      <c r="P237" s="313">
        <v>44.9</v>
      </c>
      <c r="Q237" s="232">
        <f>R237-P237</f>
        <v>56.000000000000007</v>
      </c>
      <c r="R237" s="313">
        <v>100.9</v>
      </c>
      <c r="T237" s="313">
        <v>44.9</v>
      </c>
      <c r="U237" s="232">
        <f>V237-T237</f>
        <v>62.9</v>
      </c>
      <c r="V237" s="313">
        <v>107.8</v>
      </c>
      <c r="X237" s="313">
        <v>64.400000000000006</v>
      </c>
      <c r="Y237" s="232">
        <f>Z237-X237</f>
        <v>69.5</v>
      </c>
      <c r="Z237" s="313">
        <v>133.9</v>
      </c>
      <c r="AB237" s="313">
        <v>67</v>
      </c>
      <c r="AC237" s="232">
        <f>AD237-AB237</f>
        <v>84.699999999999989</v>
      </c>
      <c r="AD237" s="313">
        <v>151.69999999999999</v>
      </c>
      <c r="AF237" s="343">
        <v>86</v>
      </c>
      <c r="AG237" s="232">
        <f>AH237-AF237</f>
        <v>91.6</v>
      </c>
      <c r="AH237" s="343">
        <v>177.6</v>
      </c>
      <c r="AJ237" s="343">
        <v>98.2</v>
      </c>
      <c r="AK237" s="232">
        <f>AL237-AJ237</f>
        <v>101.83499999999999</v>
      </c>
      <c r="AL237" s="343">
        <v>200.035</v>
      </c>
      <c r="AN237" s="313">
        <v>109.4</v>
      </c>
      <c r="AO237" s="232">
        <f>AP237-AN237</f>
        <v>113</v>
      </c>
      <c r="AP237" s="913">
        <v>222.4</v>
      </c>
      <c r="AR237" s="232">
        <f t="shared" ref="AR237:AT237" si="1351">+AR231+AR236</f>
        <v>113.82356762499998</v>
      </c>
      <c r="AS237" s="232">
        <f t="shared" si="1351"/>
        <v>119.36102975000003</v>
      </c>
      <c r="AT237" s="232">
        <f t="shared" si="1351"/>
        <v>233.18459737500001</v>
      </c>
      <c r="AV237" s="232">
        <f t="shared" ref="AV237:AX237" si="1352">+AV231+AV236</f>
        <v>119.231506298</v>
      </c>
      <c r="AW237" s="232">
        <f t="shared" si="1352"/>
        <v>125.19274690491937</v>
      </c>
      <c r="AX237" s="232">
        <f t="shared" si="1352"/>
        <v>244.42425320291937</v>
      </c>
      <c r="AZ237" s="232">
        <f t="shared" ref="AZ237:BB237" si="1353">+AZ231+AZ236</f>
        <v>124.91734879654868</v>
      </c>
      <c r="BA237" s="232">
        <f t="shared" si="1353"/>
        <v>131.50115347818232</v>
      </c>
      <c r="BB237" s="232">
        <f t="shared" si="1353"/>
        <v>256.418502274731</v>
      </c>
      <c r="BD237" s="232">
        <f t="shared" ref="BD237:BF237" si="1354">+BD231+BD236</f>
        <v>129.07233004731413</v>
      </c>
      <c r="BE237" s="232">
        <f t="shared" si="1354"/>
        <v>136.11148996302947</v>
      </c>
      <c r="BF237" s="232">
        <f t="shared" si="1354"/>
        <v>265.1838200103436</v>
      </c>
      <c r="BH237" s="232">
        <f t="shared" ref="BH237:BJ237" si="1355">+BH231+BH236</f>
        <v>133.40651449683662</v>
      </c>
      <c r="BI237" s="232">
        <f t="shared" si="1355"/>
        <v>140.92379740833772</v>
      </c>
      <c r="BJ237" s="232">
        <f t="shared" si="1355"/>
        <v>274.33031190517437</v>
      </c>
      <c r="BL237" s="232">
        <f t="shared" ref="BL237:BN237" si="1356">+BL231+BL236</f>
        <v>137.92829138777833</v>
      </c>
      <c r="BM237" s="232">
        <f t="shared" si="1356"/>
        <v>145.94760344485451</v>
      </c>
      <c r="BN237" s="232">
        <f t="shared" si="1356"/>
        <v>283.87589483263281</v>
      </c>
      <c r="BP237" s="232">
        <f t="shared" ref="BP237:BR237" si="1357">+BP231+BP236</f>
        <v>142.64645800658914</v>
      </c>
      <c r="BQ237" s="232">
        <f t="shared" si="1357"/>
        <v>151.19290066651911</v>
      </c>
      <c r="BR237" s="232">
        <f t="shared" si="1357"/>
        <v>293.83935867310828</v>
      </c>
      <c r="BT237" s="232">
        <f t="shared" ref="BT237:BV237" si="1358">+BT231+BT236</f>
        <v>147.57023985732894</v>
      </c>
      <c r="BU237" s="232">
        <f t="shared" si="1358"/>
        <v>156.67016965025542</v>
      </c>
      <c r="BV237" s="232">
        <f t="shared" si="1358"/>
        <v>304.24040950758439</v>
      </c>
      <c r="BX237" s="232">
        <f t="shared" ref="BX237:BZ237" si="1359">+BX231+BX236</f>
        <v>152.70931183961392</v>
      </c>
      <c r="BY237" s="232">
        <f t="shared" si="1359"/>
        <v>162.39040312218674</v>
      </c>
      <c r="BZ237" s="232">
        <f t="shared" si="1359"/>
        <v>315.09971496180066</v>
      </c>
    </row>
    <row r="238" spans="1:78" s="135" customFormat="1">
      <c r="A238" s="134"/>
      <c r="B238" s="151"/>
      <c r="D238" s="313"/>
      <c r="E238" s="232"/>
      <c r="F238" s="313"/>
      <c r="H238" s="313"/>
      <c r="I238" s="232"/>
      <c r="J238" s="313"/>
      <c r="L238" s="313"/>
      <c r="M238" s="232"/>
      <c r="N238" s="313"/>
      <c r="P238" s="313"/>
      <c r="Q238" s="232"/>
      <c r="R238" s="313"/>
      <c r="T238" s="313"/>
      <c r="U238" s="232"/>
      <c r="V238" s="313"/>
      <c r="X238" s="387">
        <f>+X237/X221</f>
        <v>0.31338199513381998</v>
      </c>
      <c r="Y238" s="232"/>
      <c r="Z238" s="313"/>
      <c r="AB238" s="313"/>
      <c r="AC238" s="232"/>
      <c r="AD238" s="175"/>
      <c r="AF238" s="343"/>
      <c r="AG238" s="232"/>
      <c r="AH238" s="175"/>
      <c r="AJ238" s="343"/>
      <c r="AK238" s="232"/>
      <c r="AL238" s="231"/>
      <c r="AN238" s="313"/>
      <c r="AO238" s="232"/>
      <c r="AP238" s="231"/>
      <c r="AR238" s="232"/>
      <c r="AS238" s="232"/>
      <c r="AT238" s="232"/>
      <c r="AV238" s="232"/>
      <c r="AW238" s="232"/>
      <c r="AX238" s="232"/>
      <c r="AZ238" s="232"/>
      <c r="BA238" s="232"/>
      <c r="BB238" s="232"/>
      <c r="BD238" s="232"/>
      <c r="BE238" s="232"/>
      <c r="BF238" s="232"/>
      <c r="BH238" s="232"/>
      <c r="BI238" s="232"/>
      <c r="BJ238" s="232"/>
      <c r="BL238" s="232"/>
      <c r="BM238" s="232"/>
      <c r="BN238" s="232"/>
      <c r="BP238" s="232"/>
      <c r="BQ238" s="232"/>
      <c r="BR238" s="232"/>
      <c r="BT238" s="232"/>
      <c r="BU238" s="232"/>
      <c r="BV238" s="232"/>
      <c r="BX238" s="232"/>
      <c r="BY238" s="232"/>
      <c r="BZ238" s="232"/>
    </row>
    <row r="239" spans="1:78" s="135" customFormat="1">
      <c r="A239" s="134"/>
      <c r="B239" s="150" t="s">
        <v>163</v>
      </c>
      <c r="D239" s="136">
        <f>+D240-D237</f>
        <v>-16.261000000000003</v>
      </c>
      <c r="E239" s="136">
        <f>+E240-E237</f>
        <v>-22.904000000000003</v>
      </c>
      <c r="F239" s="136">
        <f>+F240-F237</f>
        <v>-39.165000000000006</v>
      </c>
      <c r="G239" s="133"/>
      <c r="H239" s="136">
        <f>+H240-H237</f>
        <v>-16.758000000000003</v>
      </c>
      <c r="I239" s="136">
        <f>+I240-I237</f>
        <v>-24.402999999999999</v>
      </c>
      <c r="J239" s="136">
        <f>+J240-J237</f>
        <v>-41.161000000000001</v>
      </c>
      <c r="K239" s="133"/>
      <c r="L239" s="136">
        <f>+L240-L237</f>
        <v>-18.808</v>
      </c>
      <c r="M239" s="136">
        <f>+M240-M237</f>
        <v>-25.891999999999996</v>
      </c>
      <c r="N239" s="136">
        <f>+N240-N237</f>
        <v>-44.699999999999996</v>
      </c>
      <c r="O239" s="133"/>
      <c r="P239" s="136">
        <f>+P240-P237</f>
        <v>-20.299999999999997</v>
      </c>
      <c r="Q239" s="136">
        <f>+Q240-Q237</f>
        <v>-26.400000000000006</v>
      </c>
      <c r="R239" s="136">
        <f>+R240-R237</f>
        <v>-46.7</v>
      </c>
      <c r="S239" s="133"/>
      <c r="T239" s="136">
        <f>+T240-T237</f>
        <v>-20.299999999999997</v>
      </c>
      <c r="U239" s="136">
        <f>+U240-U237</f>
        <v>-28.4</v>
      </c>
      <c r="V239" s="136">
        <f>+V240-V237</f>
        <v>-48.699999999999996</v>
      </c>
      <c r="W239" s="133"/>
      <c r="X239" s="136">
        <f>+X240-X237</f>
        <v>-29.400000000000006</v>
      </c>
      <c r="Y239" s="136">
        <f>+Y240-Y237</f>
        <v>-32.5</v>
      </c>
      <c r="Z239" s="136">
        <f>+Z240-Z237</f>
        <v>-61.900000000000006</v>
      </c>
      <c r="AA239" s="133"/>
      <c r="AB239" s="136">
        <f>+AB240-AB237</f>
        <v>-28.700000000000003</v>
      </c>
      <c r="AC239" s="136">
        <f>+AC240-AC237</f>
        <v>-36.899999999999991</v>
      </c>
      <c r="AD239" s="136">
        <f>+AD240-AD237</f>
        <v>-65.599999999999994</v>
      </c>
      <c r="AE239" s="133"/>
      <c r="AF239" s="262">
        <f>+AF240-AF237</f>
        <v>-36.1</v>
      </c>
      <c r="AG239" s="136">
        <f>+AG240-AG237</f>
        <v>-36.699999999999996</v>
      </c>
      <c r="AH239" s="136">
        <f>+AH240-AH237</f>
        <v>-72.8</v>
      </c>
      <c r="AI239" s="133"/>
      <c r="AJ239" s="262">
        <f>+AJ240-AJ237</f>
        <v>-39.1</v>
      </c>
      <c r="AK239" s="136">
        <f>+AK240-AK237</f>
        <v>-40.794000000000004</v>
      </c>
      <c r="AL239" s="262">
        <f>+AL240-AL237</f>
        <v>-79.894000000000005</v>
      </c>
      <c r="AM239" s="133"/>
      <c r="AN239" s="136">
        <f>+AN240-AN237</f>
        <v>-43.5</v>
      </c>
      <c r="AO239" s="136">
        <f>+AO240-AO237</f>
        <v>-43.300000000000011</v>
      </c>
      <c r="AP239" s="262">
        <f>+AP240-AP237</f>
        <v>-86.800000000000011</v>
      </c>
      <c r="AQ239" s="133"/>
      <c r="AR239" s="136">
        <f>+AR240-AR237</f>
        <v>-45.529427049999995</v>
      </c>
      <c r="AS239" s="136">
        <f>+AS240-AS237</f>
        <v>-47.744411900000017</v>
      </c>
      <c r="AT239" s="136">
        <f>+AT240-AT237</f>
        <v>-93.273838950000027</v>
      </c>
      <c r="AU239" s="133"/>
      <c r="AV239" s="136">
        <f>+AV240-AV237</f>
        <v>-47.692602519200008</v>
      </c>
      <c r="AW239" s="136">
        <f>+AW240-AW237</f>
        <v>-50.077098761967747</v>
      </c>
      <c r="AX239" s="136">
        <f>+AX240-AX237</f>
        <v>-97.769701281167755</v>
      </c>
      <c r="AY239" s="133"/>
      <c r="AZ239" s="136">
        <f>+AZ240-AZ237</f>
        <v>-49.966939518619469</v>
      </c>
      <c r="BA239" s="136">
        <f>+BA240-BA237</f>
        <v>-52.60046139127293</v>
      </c>
      <c r="BB239" s="136">
        <f>+BB240-BB237</f>
        <v>-102.5674009098924</v>
      </c>
      <c r="BC239" s="133"/>
      <c r="BD239" s="136">
        <f>+BD240-BD237</f>
        <v>-51.628932018925653</v>
      </c>
      <c r="BE239" s="136">
        <f>+BE240-BE237</f>
        <v>-54.444595985211791</v>
      </c>
      <c r="BF239" s="136">
        <f>+BF240-BF237</f>
        <v>-106.07352800413744</v>
      </c>
      <c r="BG239" s="133"/>
      <c r="BH239" s="136">
        <f>+BH240-BH237</f>
        <v>-53.362605798734648</v>
      </c>
      <c r="BI239" s="136">
        <f>+BI240-BI237</f>
        <v>-56.369518963335096</v>
      </c>
      <c r="BJ239" s="136">
        <f>+BJ240-BJ237</f>
        <v>-109.73212476206976</v>
      </c>
      <c r="BK239" s="133"/>
      <c r="BL239" s="136">
        <f>+BL240-BL237</f>
        <v>-55.171316555111332</v>
      </c>
      <c r="BM239" s="136">
        <f>+BM240-BM237</f>
        <v>-58.379041377941803</v>
      </c>
      <c r="BN239" s="136">
        <f>+BN240-BN237</f>
        <v>-113.55035793305311</v>
      </c>
      <c r="BO239" s="133"/>
      <c r="BP239" s="136">
        <f>+BP240-BP237</f>
        <v>-57.05858320263566</v>
      </c>
      <c r="BQ239" s="136">
        <f>+BQ240-BQ237</f>
        <v>-60.47716026660764</v>
      </c>
      <c r="BR239" s="136">
        <f>+BR240-BR237</f>
        <v>-117.53574346924333</v>
      </c>
      <c r="BS239" s="133"/>
      <c r="BT239" s="136">
        <f>+BT240-BT237</f>
        <v>-59.028095942931586</v>
      </c>
      <c r="BU239" s="136">
        <f>+BU240-BU237</f>
        <v>-62.66806786010217</v>
      </c>
      <c r="BV239" s="136">
        <f>+BV240-BV237</f>
        <v>-121.69616380303378</v>
      </c>
      <c r="BW239" s="133"/>
      <c r="BX239" s="136">
        <f>+BX240-BX237</f>
        <v>-61.083724735845564</v>
      </c>
      <c r="BY239" s="136">
        <f>+BY240-BY237</f>
        <v>-64.956161248874693</v>
      </c>
      <c r="BZ239" s="136">
        <f>+BZ240-BZ237</f>
        <v>-126.03988598472026</v>
      </c>
    </row>
    <row r="240" spans="1:78" s="135" customFormat="1" ht="14.4" thickBot="1">
      <c r="A240" s="134"/>
      <c r="B240" s="151" t="s">
        <v>182</v>
      </c>
      <c r="D240" s="313">
        <v>19</v>
      </c>
      <c r="E240" s="232">
        <f>F240-D240</f>
        <v>28.954999999999998</v>
      </c>
      <c r="F240" s="313">
        <v>47.954999999999998</v>
      </c>
      <c r="G240" s="133"/>
      <c r="H240" s="313">
        <v>19.085000000000001</v>
      </c>
      <c r="I240" s="232">
        <f>J240-H240</f>
        <v>30.080999999999996</v>
      </c>
      <c r="J240" s="313">
        <v>49.165999999999997</v>
      </c>
      <c r="K240" s="133"/>
      <c r="L240" s="313">
        <v>20.39</v>
      </c>
      <c r="M240" s="232">
        <f>N240-L240</f>
        <v>30.509999999999998</v>
      </c>
      <c r="N240" s="313">
        <v>50.9</v>
      </c>
      <c r="O240" s="133"/>
      <c r="P240" s="313">
        <v>24.6</v>
      </c>
      <c r="Q240" s="232">
        <f>R240-P240</f>
        <v>29.6</v>
      </c>
      <c r="R240" s="313">
        <v>54.2</v>
      </c>
      <c r="S240" s="133"/>
      <c r="T240" s="313">
        <v>24.6</v>
      </c>
      <c r="U240" s="232">
        <f>V240-T240</f>
        <v>34.5</v>
      </c>
      <c r="V240" s="313">
        <v>59.1</v>
      </c>
      <c r="X240" s="313">
        <v>35</v>
      </c>
      <c r="Y240" s="232">
        <f>Z240-X240</f>
        <v>37</v>
      </c>
      <c r="Z240" s="313">
        <v>72</v>
      </c>
      <c r="AB240" s="313">
        <v>38.299999999999997</v>
      </c>
      <c r="AC240" s="232">
        <f>AD240-AB240</f>
        <v>47.8</v>
      </c>
      <c r="AD240" s="313">
        <v>86.1</v>
      </c>
      <c r="AE240" s="133"/>
      <c r="AF240" s="343">
        <v>49.9</v>
      </c>
      <c r="AG240" s="232">
        <f>AH240-AF240</f>
        <v>54.9</v>
      </c>
      <c r="AH240" s="343">
        <v>104.8</v>
      </c>
      <c r="AI240" s="133"/>
      <c r="AJ240" s="343">
        <v>59.1</v>
      </c>
      <c r="AK240" s="232">
        <f>AL240-AJ240</f>
        <v>61.04099999999999</v>
      </c>
      <c r="AL240" s="343">
        <f>200.035-79.894</f>
        <v>120.14099999999999</v>
      </c>
      <c r="AM240" s="133"/>
      <c r="AN240" s="313">
        <v>65.900000000000006</v>
      </c>
      <c r="AO240" s="232">
        <f>AP240-AN240</f>
        <v>69.699999999999989</v>
      </c>
      <c r="AP240" s="913">
        <v>135.6</v>
      </c>
      <c r="AQ240" s="133"/>
      <c r="AR240" s="232">
        <f>+AR241*AR237</f>
        <v>68.294140574999986</v>
      </c>
      <c r="AS240" s="232">
        <f>+AS241*AS237</f>
        <v>71.616617850000011</v>
      </c>
      <c r="AT240" s="232">
        <f>+AR240+AS240</f>
        <v>139.91075842499998</v>
      </c>
      <c r="AU240" s="133"/>
      <c r="AV240" s="232">
        <f>+AV241*AV237</f>
        <v>71.538903778799991</v>
      </c>
      <c r="AW240" s="232">
        <f>+AW241*AW237</f>
        <v>75.115648142951628</v>
      </c>
      <c r="AX240" s="232">
        <f>+AV240+AW240</f>
        <v>146.65455192175162</v>
      </c>
      <c r="AY240" s="133"/>
      <c r="AZ240" s="232">
        <f>+AZ241*AZ237</f>
        <v>74.950409277929211</v>
      </c>
      <c r="BA240" s="232">
        <f>+BA241*BA237</f>
        <v>78.900692086909388</v>
      </c>
      <c r="BB240" s="232">
        <f>+AZ240+BA240</f>
        <v>153.8511013648386</v>
      </c>
      <c r="BC240" s="133"/>
      <c r="BD240" s="232">
        <f>+BD241*BD237</f>
        <v>77.443398028388472</v>
      </c>
      <c r="BE240" s="232">
        <f>+BE241*BE237</f>
        <v>81.666893977817679</v>
      </c>
      <c r="BF240" s="232">
        <f>+BD240+BE240</f>
        <v>159.11029200620615</v>
      </c>
      <c r="BG240" s="133"/>
      <c r="BH240" s="232">
        <f>+BH241*BH237</f>
        <v>80.043908698101973</v>
      </c>
      <c r="BI240" s="232">
        <f>+BI241*BI237</f>
        <v>84.554278445002623</v>
      </c>
      <c r="BJ240" s="232">
        <f>+BH240+BI240</f>
        <v>164.59818714310461</v>
      </c>
      <c r="BK240" s="133"/>
      <c r="BL240" s="232">
        <f>+BL241*BL237</f>
        <v>82.756974832666998</v>
      </c>
      <c r="BM240" s="232">
        <f>+BM241*BM237</f>
        <v>87.568562066912705</v>
      </c>
      <c r="BN240" s="232">
        <f>+BL240+BM240</f>
        <v>170.3255368995797</v>
      </c>
      <c r="BO240" s="133"/>
      <c r="BP240" s="232">
        <f>+BP241*BP237</f>
        <v>85.587874803953483</v>
      </c>
      <c r="BQ240" s="232">
        <f>+BQ241*BQ237</f>
        <v>90.715740399911468</v>
      </c>
      <c r="BR240" s="232">
        <f>+BP240+BQ240</f>
        <v>176.30361520386495</v>
      </c>
      <c r="BS240" s="133"/>
      <c r="BT240" s="232">
        <f>+BT241*BT237</f>
        <v>88.542143914397357</v>
      </c>
      <c r="BU240" s="232">
        <f>+BU241*BU237</f>
        <v>94.002101790153247</v>
      </c>
      <c r="BV240" s="232">
        <f>+BT240+BU240</f>
        <v>182.5442457045506</v>
      </c>
      <c r="BW240" s="133"/>
      <c r="BX240" s="232">
        <f>+BX241*BX237</f>
        <v>91.625587103768353</v>
      </c>
      <c r="BY240" s="232">
        <f>+BY241*BY237</f>
        <v>97.434241873312047</v>
      </c>
      <c r="BZ240" s="232">
        <f>+BX240+BY240</f>
        <v>189.0598289770804</v>
      </c>
    </row>
    <row r="241" spans="1:78" s="220" customFormat="1" ht="14.4" thickBot="1">
      <c r="A241" s="660"/>
      <c r="B241" s="661" t="s">
        <v>313</v>
      </c>
      <c r="D241" s="387">
        <f>+D240/D237</f>
        <v>0.53883894387567</v>
      </c>
      <c r="E241" s="387">
        <f>+E240/E237</f>
        <v>0.55834088586359165</v>
      </c>
      <c r="F241" s="387">
        <f>+F240/F237</f>
        <v>0.55044765840220378</v>
      </c>
      <c r="H241" s="387">
        <f>+H240/H237</f>
        <v>0.5324610105180928</v>
      </c>
      <c r="I241" s="387">
        <f>+I240/I237</f>
        <v>0.55210704059907489</v>
      </c>
      <c r="J241" s="387">
        <f>+J240/J237</f>
        <v>0.5443112247722165</v>
      </c>
      <c r="L241" s="387">
        <f>+L240/L237</f>
        <v>0.52017960100005101</v>
      </c>
      <c r="M241" s="387">
        <f>+M240/M237</f>
        <v>0.54093826460054606</v>
      </c>
      <c r="N241" s="387">
        <f>+N240/N237</f>
        <v>0.53242677824267781</v>
      </c>
      <c r="P241" s="387">
        <f>+P240/P237</f>
        <v>0.54788418708240538</v>
      </c>
      <c r="Q241" s="387">
        <f>+Q240/Q237</f>
        <v>0.52857142857142858</v>
      </c>
      <c r="R241" s="387">
        <f>+R240/R237</f>
        <v>0.53716551040634286</v>
      </c>
      <c r="T241" s="387">
        <f>+T240/T237</f>
        <v>0.54788418708240538</v>
      </c>
      <c r="U241" s="387">
        <f>+U240/U237</f>
        <v>0.54848966613672501</v>
      </c>
      <c r="V241" s="387">
        <f>+V240/V237</f>
        <v>0.54823747680890544</v>
      </c>
      <c r="X241" s="387">
        <f>+X240/X237</f>
        <v>0.54347826086956519</v>
      </c>
      <c r="Y241" s="387">
        <f>+Y240/Y237</f>
        <v>0.53237410071942448</v>
      </c>
      <c r="Z241" s="387">
        <f>+Z240/Z237</f>
        <v>0.53771471247199398</v>
      </c>
      <c r="AB241" s="387">
        <f>+AB240/AB237</f>
        <v>0.57164179104477608</v>
      </c>
      <c r="AC241" s="387">
        <f>+AC240/AC237</f>
        <v>0.56434474616292807</v>
      </c>
      <c r="AD241" s="387">
        <f>+AD240/AD237</f>
        <v>0.56756756756756754</v>
      </c>
      <c r="AF241" s="388">
        <f>+AF240/AF237</f>
        <v>0.58023255813953489</v>
      </c>
      <c r="AG241" s="387">
        <f>+AG240/AG237</f>
        <v>0.5993449781659389</v>
      </c>
      <c r="AH241" s="387">
        <f>+AH240/AH237</f>
        <v>0.59009009009009006</v>
      </c>
      <c r="AJ241" s="388">
        <f>+AJ240/AJ237</f>
        <v>0.60183299389002032</v>
      </c>
      <c r="AK241" s="387">
        <f>+AK240/AK237</f>
        <v>0.59941081160701126</v>
      </c>
      <c r="AL241" s="388">
        <f>+AL240/AL237</f>
        <v>0.60059989501837174</v>
      </c>
      <c r="AN241" s="387">
        <f>+AN240/AN237</f>
        <v>0.60237659963436929</v>
      </c>
      <c r="AO241" s="387">
        <f>+AO240/AO237</f>
        <v>0.61681415929203531</v>
      </c>
      <c r="AP241" s="388">
        <f>+AP240/AP237</f>
        <v>0.60971223021582732</v>
      </c>
      <c r="AR241" s="662">
        <f>+Scenarios!AF13</f>
        <v>0.6</v>
      </c>
      <c r="AS241" s="662">
        <f>+Scenarios!AG13</f>
        <v>0.6</v>
      </c>
      <c r="AT241" s="387">
        <f>+AT240/AT237</f>
        <v>0.59999999999999987</v>
      </c>
      <c r="AV241" s="662">
        <f>+Scenarios!AJ13</f>
        <v>0.6</v>
      </c>
      <c r="AW241" s="662">
        <f>+Scenarios!AK13</f>
        <v>0.6</v>
      </c>
      <c r="AX241" s="387">
        <f>+AX240/AX237</f>
        <v>0.6</v>
      </c>
      <c r="AZ241" s="662">
        <f>+Scenarios!AN13</f>
        <v>0.6</v>
      </c>
      <c r="BA241" s="662">
        <f>+Scenarios!AO13</f>
        <v>0.6</v>
      </c>
      <c r="BB241" s="387">
        <f>+BB240/BB237</f>
        <v>0.6</v>
      </c>
      <c r="BD241" s="662">
        <f>+Scenarios!AR13</f>
        <v>0.6</v>
      </c>
      <c r="BE241" s="662">
        <f>+Scenarios!AS13</f>
        <v>0.6</v>
      </c>
      <c r="BF241" s="387">
        <f>+BF240/BF237</f>
        <v>0.6</v>
      </c>
      <c r="BH241" s="662">
        <f>+Scenarios!AV13</f>
        <v>0.6</v>
      </c>
      <c r="BI241" s="662">
        <f>+Scenarios!AW13</f>
        <v>0.6</v>
      </c>
      <c r="BJ241" s="387">
        <f>+BJ240/BJ237</f>
        <v>0.6</v>
      </c>
      <c r="BL241" s="662">
        <f>+Scenarios!AZ13</f>
        <v>0.6</v>
      </c>
      <c r="BM241" s="662">
        <f>+Scenarios!BA13</f>
        <v>0.6</v>
      </c>
      <c r="BN241" s="387">
        <f>+BN240/BN237</f>
        <v>0.60000000000000009</v>
      </c>
      <c r="BP241" s="662">
        <f>+Scenarios!BD13</f>
        <v>0.6</v>
      </c>
      <c r="BQ241" s="662">
        <f>+Scenarios!BE13</f>
        <v>0.6</v>
      </c>
      <c r="BR241" s="387">
        <f>+BR240/BR237</f>
        <v>0.6</v>
      </c>
      <c r="BT241" s="662">
        <f>+Scenarios!BH13</f>
        <v>0.6</v>
      </c>
      <c r="BU241" s="662">
        <f>+Scenarios!BI13</f>
        <v>0.6</v>
      </c>
      <c r="BV241" s="387">
        <f>+BV240/BV237</f>
        <v>0.59999999999999987</v>
      </c>
      <c r="BX241" s="662">
        <f>+Scenarios!BL13</f>
        <v>0.6</v>
      </c>
      <c r="BY241" s="662">
        <f>+Scenarios!BM13</f>
        <v>0.6</v>
      </c>
      <c r="BZ241" s="387">
        <f>+BZ240/BZ237</f>
        <v>0.6</v>
      </c>
    </row>
    <row r="242" spans="1:78" s="135" customFormat="1">
      <c r="A242" s="134"/>
      <c r="B242" s="314" t="s">
        <v>259</v>
      </c>
      <c r="D242" s="315"/>
      <c r="E242" s="315"/>
      <c r="F242" s="315"/>
      <c r="G242" s="133"/>
      <c r="H242" s="315"/>
      <c r="I242" s="315"/>
      <c r="J242" s="315"/>
      <c r="K242" s="133"/>
      <c r="L242" s="315"/>
      <c r="M242" s="315"/>
      <c r="N242" s="315"/>
      <c r="O242" s="133"/>
      <c r="P242" s="315"/>
      <c r="Q242" s="315"/>
      <c r="R242" s="315"/>
      <c r="S242" s="133"/>
      <c r="T242" s="315"/>
      <c r="U242" s="315"/>
      <c r="V242" s="315"/>
      <c r="W242" s="133"/>
      <c r="X242" s="315">
        <f>+X240/T240-1</f>
        <v>0.42276422764227628</v>
      </c>
      <c r="Y242" s="315">
        <f>+Y240/U240-1</f>
        <v>7.2463768115942129E-2</v>
      </c>
      <c r="Z242" s="315">
        <f>+Z240/V240-1</f>
        <v>0.21827411167512678</v>
      </c>
      <c r="AA242" s="133"/>
      <c r="AB242" s="315">
        <f>+AB240/X240-1</f>
        <v>9.4285714285714306E-2</v>
      </c>
      <c r="AC242" s="315">
        <f>+AC240/Y240-1</f>
        <v>0.2918918918918918</v>
      </c>
      <c r="AD242" s="315">
        <f>+AD240/Z240-1</f>
        <v>0.1958333333333333</v>
      </c>
      <c r="AE242" s="133"/>
      <c r="AF242" s="374">
        <f>+AF240/AB240-1</f>
        <v>0.30287206266318534</v>
      </c>
      <c r="AG242" s="315">
        <f>+AG240/AC240-1</f>
        <v>0.14853556485355646</v>
      </c>
      <c r="AH242" s="315">
        <f>+AH240/AD240-1</f>
        <v>0.21718931475029035</v>
      </c>
      <c r="AI242" s="133"/>
      <c r="AJ242" s="374">
        <f>+AJ240/AF240-1</f>
        <v>0.18436873747494986</v>
      </c>
      <c r="AK242" s="315">
        <f>+AK240/AG240-1</f>
        <v>0.11185792349726764</v>
      </c>
      <c r="AL242" s="374">
        <f>+AL240/AH240-1</f>
        <v>0.14638358778625959</v>
      </c>
      <c r="AM242" s="133"/>
      <c r="AN242" s="315">
        <f>+AN240/AJ240-1</f>
        <v>0.11505922165820648</v>
      </c>
      <c r="AO242" s="315">
        <f>+AO240/AK240-1</f>
        <v>0.1418554741894793</v>
      </c>
      <c r="AP242" s="374">
        <f>+AP240/AL240-1</f>
        <v>0.12867380827527652</v>
      </c>
      <c r="AQ242" s="133"/>
      <c r="AR242" s="315">
        <f>+AR240/AN240-1</f>
        <v>3.632990250379331E-2</v>
      </c>
      <c r="AS242" s="315">
        <f>+AS240/AO240-1</f>
        <v>2.7498104017217084E-2</v>
      </c>
      <c r="AT242" s="315">
        <f>+AT240/AP240-1</f>
        <v>3.179025387168144E-2</v>
      </c>
      <c r="AU242" s="133"/>
      <c r="AV242" s="315">
        <f>+AV240/AR240-1</f>
        <v>4.7511589961903633E-2</v>
      </c>
      <c r="AW242" s="315">
        <f>+AW240/AS240-1</f>
        <v>4.8857798622664372E-2</v>
      </c>
      <c r="AX242" s="315">
        <f>+AX240/AT240-1</f>
        <v>4.8200678580172962E-2</v>
      </c>
      <c r="AY242" s="133"/>
      <c r="AZ242" s="315">
        <f>+AZ240/AV240-1</f>
        <v>4.7687416481494882E-2</v>
      </c>
      <c r="BA242" s="315">
        <f>+BA240/AW240-1</f>
        <v>5.0389553142835108E-2</v>
      </c>
      <c r="BB242" s="315">
        <f>+BB240/AX240-1</f>
        <v>4.9071435893287108E-2</v>
      </c>
      <c r="BC242" s="133"/>
      <c r="BD242" s="315">
        <f>+BD240/AZ240-1</f>
        <v>3.3261843056984874E-2</v>
      </c>
      <c r="BE242" s="315">
        <f>+BE240/BA240-1</f>
        <v>3.5059285511226168E-2</v>
      </c>
      <c r="BF242" s="315">
        <f>+BF240/BB240-1</f>
        <v>3.4183639861609105E-2</v>
      </c>
      <c r="BG242" s="133"/>
      <c r="BH242" s="315">
        <f>+BH240/BD240-1</f>
        <v>3.357950110557173E-2</v>
      </c>
      <c r="BI242" s="315">
        <f>+BI240/BE240-1</f>
        <v>3.5355629760686291E-2</v>
      </c>
      <c r="BJ242" s="315">
        <f>+BJ240/BF240-1</f>
        <v>3.449113861650388E-2</v>
      </c>
      <c r="BK242" s="133"/>
      <c r="BL242" s="315">
        <f>+BL240/BH240-1</f>
        <v>3.3894723267422933E-2</v>
      </c>
      <c r="BM242" s="315">
        <f>+BM240/BI240-1</f>
        <v>3.5649096383344903E-2</v>
      </c>
      <c r="BN242" s="315">
        <f>+BN240/BJ240-1</f>
        <v>3.4795946759095475E-2</v>
      </c>
      <c r="BO242" s="133"/>
      <c r="BP242" s="315">
        <f>+BP240/BL240-1</f>
        <v>3.4207388283712836E-2</v>
      </c>
      <c r="BQ242" s="315">
        <f>+BQ240/BM240-1</f>
        <v>3.593959131810287E-2</v>
      </c>
      <c r="BR242" s="315">
        <f>+BR240/BN240-1</f>
        <v>3.509795661357451E-2</v>
      </c>
      <c r="BS242" s="133"/>
      <c r="BT242" s="315">
        <f>+BT240/BP240-1</f>
        <v>3.451737897699747E-2</v>
      </c>
      <c r="BU242" s="315">
        <f>+BU240/BQ240-1</f>
        <v>3.6227024943567443E-2</v>
      </c>
      <c r="BV242" s="315">
        <f>+BV240/BR240-1</f>
        <v>3.5397064850141824E-2</v>
      </c>
      <c r="BW242" s="133"/>
      <c r="BX242" s="315">
        <f>+BX240/BT240-1</f>
        <v>3.4824582431074447E-2</v>
      </c>
      <c r="BY242" s="315">
        <f>+BY240/BU240-1</f>
        <v>3.6511312170663723E-2</v>
      </c>
      <c r="BZ242" s="315">
        <f>+BZ240/BV240-1</f>
        <v>3.5693172618956881E-2</v>
      </c>
    </row>
    <row r="243" spans="1:78" s="135" customFormat="1">
      <c r="A243" s="134"/>
      <c r="B243" s="314"/>
      <c r="D243" s="315"/>
      <c r="E243" s="315"/>
      <c r="F243" s="315"/>
      <c r="G243" s="133"/>
      <c r="H243" s="315"/>
      <c r="I243" s="315"/>
      <c r="J243" s="315"/>
      <c r="K243" s="133"/>
      <c r="L243" s="315"/>
      <c r="M243" s="315"/>
      <c r="N243" s="315"/>
      <c r="O243" s="133"/>
      <c r="P243" s="315"/>
      <c r="Q243" s="315"/>
      <c r="R243" s="315"/>
      <c r="S243" s="133"/>
      <c r="T243" s="315"/>
      <c r="U243" s="315"/>
      <c r="V243" s="315"/>
      <c r="W243" s="133"/>
      <c r="X243" s="315"/>
      <c r="Y243" s="315"/>
      <c r="Z243" s="315"/>
      <c r="AA243" s="133"/>
      <c r="AB243" s="315"/>
      <c r="AC243" s="315"/>
      <c r="AD243" s="315"/>
      <c r="AE243" s="133"/>
      <c r="AF243" s="374"/>
      <c r="AG243" s="315"/>
      <c r="AH243" s="315"/>
      <c r="AI243" s="133"/>
      <c r="AJ243" s="374"/>
      <c r="AK243" s="315"/>
      <c r="AL243" s="374"/>
      <c r="AM243" s="133"/>
      <c r="AN243" s="315"/>
      <c r="AO243" s="315"/>
      <c r="AP243" s="374"/>
      <c r="AQ243" s="133"/>
      <c r="AR243" s="315"/>
      <c r="AS243" s="315"/>
      <c r="AT243" s="315"/>
      <c r="AU243" s="133"/>
      <c r="AV243" s="315"/>
      <c r="AW243" s="315"/>
      <c r="AX243" s="315"/>
      <c r="AY243" s="133"/>
      <c r="AZ243" s="315"/>
      <c r="BA243" s="315"/>
      <c r="BB243" s="315"/>
      <c r="BC243" s="133"/>
      <c r="BD243" s="315"/>
      <c r="BE243" s="315"/>
      <c r="BF243" s="315"/>
      <c r="BG243" s="133"/>
      <c r="BH243" s="315"/>
      <c r="BI243" s="315"/>
      <c r="BJ243" s="315"/>
      <c r="BK243" s="133"/>
      <c r="BL243" s="315"/>
      <c r="BM243" s="315"/>
      <c r="BN243" s="315"/>
      <c r="BO243" s="133"/>
      <c r="BP243" s="315"/>
      <c r="BQ243" s="315"/>
      <c r="BR243" s="315"/>
      <c r="BS243" s="133"/>
      <c r="BT243" s="315"/>
      <c r="BU243" s="315"/>
      <c r="BV243" s="315"/>
      <c r="BW243" s="133"/>
      <c r="BX243" s="315"/>
      <c r="BY243" s="315"/>
      <c r="BZ243" s="315"/>
    </row>
    <row r="244" spans="1:78" s="135" customFormat="1" ht="15.6">
      <c r="A244" s="278"/>
      <c r="B244" s="717" t="s">
        <v>631</v>
      </c>
      <c r="D244" s="315"/>
      <c r="E244" s="315"/>
      <c r="F244" s="315"/>
      <c r="G244" s="133"/>
      <c r="H244" s="315"/>
      <c r="I244" s="315"/>
      <c r="J244" s="315"/>
      <c r="K244" s="133"/>
      <c r="L244" s="315"/>
      <c r="M244" s="315"/>
      <c r="N244" s="315"/>
      <c r="O244" s="133"/>
      <c r="P244" s="315"/>
      <c r="Q244" s="315"/>
      <c r="R244" s="315"/>
      <c r="S244" s="133"/>
      <c r="T244" s="315"/>
      <c r="U244" s="315"/>
      <c r="V244" s="315"/>
      <c r="W244" s="133"/>
      <c r="X244" s="315"/>
      <c r="Y244" s="315"/>
      <c r="Z244" s="315"/>
      <c r="AA244" s="133"/>
      <c r="AB244" s="315"/>
      <c r="AC244" s="315"/>
      <c r="AD244" s="315"/>
      <c r="AE244" s="133"/>
      <c r="AF244" s="374"/>
      <c r="AG244" s="315"/>
      <c r="AH244" s="315"/>
      <c r="AI244" s="133"/>
      <c r="AJ244" s="374"/>
      <c r="AK244" s="315"/>
      <c r="AL244" s="374"/>
      <c r="AM244" s="133"/>
      <c r="AN244" s="374"/>
      <c r="AO244" s="315"/>
      <c r="AP244" s="374"/>
      <c r="AQ244" s="133"/>
      <c r="AR244" s="315"/>
      <c r="AS244" s="315"/>
      <c r="AT244" s="315"/>
      <c r="AU244" s="133"/>
      <c r="AV244" s="315"/>
      <c r="AW244" s="315"/>
      <c r="AX244" s="315"/>
      <c r="AY244" s="133"/>
      <c r="AZ244" s="315"/>
      <c r="BA244" s="315"/>
      <c r="BB244" s="315"/>
      <c r="BC244" s="133"/>
      <c r="BD244" s="315"/>
      <c r="BE244" s="315"/>
      <c r="BF244" s="315"/>
      <c r="BG244" s="133"/>
      <c r="BH244" s="315"/>
      <c r="BI244" s="315"/>
      <c r="BJ244" s="315"/>
      <c r="BK244" s="133"/>
      <c r="BL244" s="315"/>
      <c r="BM244" s="315"/>
      <c r="BN244" s="315"/>
      <c r="BO244" s="133"/>
      <c r="BP244" s="315"/>
      <c r="BQ244" s="315"/>
      <c r="BR244" s="315"/>
      <c r="BS244" s="133"/>
      <c r="BT244" s="315"/>
      <c r="BU244" s="315"/>
      <c r="BV244" s="315"/>
      <c r="BW244" s="133"/>
      <c r="BX244" s="315"/>
      <c r="BY244" s="315"/>
      <c r="BZ244" s="315"/>
    </row>
    <row r="245" spans="1:78" s="135" customFormat="1">
      <c r="A245" s="134"/>
      <c r="B245" s="385" t="s">
        <v>365</v>
      </c>
      <c r="D245" s="313">
        <v>0</v>
      </c>
      <c r="E245" s="323">
        <f>+F245-D245</f>
        <v>0</v>
      </c>
      <c r="F245" s="313">
        <v>0</v>
      </c>
      <c r="G245" s="133"/>
      <c r="H245" s="313">
        <v>0</v>
      </c>
      <c r="I245" s="323">
        <f>+J245-H245</f>
        <v>0</v>
      </c>
      <c r="J245" s="313">
        <v>0</v>
      </c>
      <c r="K245" s="133"/>
      <c r="L245" s="313">
        <v>0</v>
      </c>
      <c r="M245" s="323">
        <f>+N245-L245</f>
        <v>0</v>
      </c>
      <c r="N245" s="313">
        <v>0</v>
      </c>
      <c r="O245" s="133"/>
      <c r="P245" s="313">
        <v>0</v>
      </c>
      <c r="Q245" s="323">
        <f>+R245-P245</f>
        <v>0</v>
      </c>
      <c r="R245" s="313">
        <v>0</v>
      </c>
      <c r="S245" s="133"/>
      <c r="T245" s="313">
        <v>0</v>
      </c>
      <c r="U245" s="323">
        <f>+V245-T245</f>
        <v>0</v>
      </c>
      <c r="V245" s="313">
        <v>0</v>
      </c>
      <c r="W245" s="133"/>
      <c r="X245" s="313">
        <v>0</v>
      </c>
      <c r="Y245" s="323">
        <f>+Z245-X245</f>
        <v>-2.1</v>
      </c>
      <c r="Z245" s="313">
        <v>-2.1</v>
      </c>
      <c r="AA245" s="133"/>
      <c r="AB245" s="313">
        <v>0</v>
      </c>
      <c r="AC245" s="323">
        <f>+AD245-AB245</f>
        <v>0</v>
      </c>
      <c r="AD245" s="313">
        <v>0</v>
      </c>
      <c r="AE245" s="133"/>
      <c r="AF245" s="313">
        <v>0</v>
      </c>
      <c r="AG245" s="323">
        <f>+AH245-AF245</f>
        <v>0</v>
      </c>
      <c r="AH245" s="343">
        <v>0</v>
      </c>
      <c r="AI245" s="133"/>
      <c r="AJ245" s="343">
        <v>0</v>
      </c>
      <c r="AK245" s="323">
        <f>+AL245-AJ245</f>
        <v>0</v>
      </c>
      <c r="AL245" s="343">
        <v>0</v>
      </c>
      <c r="AM245" s="133"/>
      <c r="AN245" s="313">
        <v>0</v>
      </c>
      <c r="AO245" s="323">
        <f>+AP245-AN245</f>
        <v>0</v>
      </c>
      <c r="AP245" s="313">
        <v>0</v>
      </c>
      <c r="AQ245" s="133"/>
      <c r="AR245" s="313">
        <v>0</v>
      </c>
      <c r="AS245" s="323">
        <f t="shared" ref="AS245" si="1360">+AT245-AR245</f>
        <v>0</v>
      </c>
      <c r="AT245" s="313">
        <v>0</v>
      </c>
      <c r="AU245" s="133"/>
      <c r="AV245" s="313">
        <v>0</v>
      </c>
      <c r="AW245" s="323">
        <f t="shared" ref="AW245" si="1361">+AX245-AV245</f>
        <v>0</v>
      </c>
      <c r="AX245" s="313">
        <v>0</v>
      </c>
      <c r="AY245" s="133"/>
      <c r="AZ245" s="313">
        <v>0</v>
      </c>
      <c r="BA245" s="323">
        <f t="shared" ref="BA245" si="1362">+BB245-AZ245</f>
        <v>0</v>
      </c>
      <c r="BB245" s="313">
        <v>0</v>
      </c>
      <c r="BC245" s="133"/>
      <c r="BD245" s="313">
        <v>0</v>
      </c>
      <c r="BE245" s="323">
        <f t="shared" ref="BE245" si="1363">+BF245-BD245</f>
        <v>0</v>
      </c>
      <c r="BF245" s="313">
        <v>0</v>
      </c>
      <c r="BG245" s="133"/>
      <c r="BH245" s="313">
        <v>0</v>
      </c>
      <c r="BI245" s="323">
        <f t="shared" ref="BI245" si="1364">+BJ245-BH245</f>
        <v>0</v>
      </c>
      <c r="BJ245" s="313">
        <v>0</v>
      </c>
      <c r="BK245" s="133"/>
      <c r="BL245" s="313">
        <v>0</v>
      </c>
      <c r="BM245" s="323">
        <f t="shared" ref="BM245" si="1365">+BN245-BL245</f>
        <v>0</v>
      </c>
      <c r="BN245" s="313">
        <v>0</v>
      </c>
      <c r="BO245" s="133"/>
      <c r="BP245" s="313">
        <v>0</v>
      </c>
      <c r="BQ245" s="323">
        <f t="shared" ref="BQ245" si="1366">+BR245-BP245</f>
        <v>0</v>
      </c>
      <c r="BR245" s="313">
        <v>0</v>
      </c>
      <c r="BS245" s="133"/>
      <c r="BT245" s="313">
        <v>0</v>
      </c>
      <c r="BU245" s="323">
        <f t="shared" ref="BU245" si="1367">+BV245-BT245</f>
        <v>0</v>
      </c>
      <c r="BV245" s="313">
        <v>0</v>
      </c>
      <c r="BW245" s="133"/>
      <c r="BX245" s="313">
        <v>0</v>
      </c>
      <c r="BY245" s="323">
        <f t="shared" ref="BY245" si="1368">+BZ245-BX245</f>
        <v>0</v>
      </c>
      <c r="BZ245" s="313">
        <v>0</v>
      </c>
    </row>
    <row r="246" spans="1:78" s="135" customFormat="1">
      <c r="A246" s="134"/>
      <c r="B246" s="386" t="s">
        <v>364</v>
      </c>
      <c r="D246" s="323">
        <f>+D245+D240</f>
        <v>19</v>
      </c>
      <c r="E246" s="323">
        <f>+E245+E240</f>
        <v>28.954999999999998</v>
      </c>
      <c r="F246" s="323">
        <f>+F245+F240</f>
        <v>47.954999999999998</v>
      </c>
      <c r="H246" s="323">
        <f>+H245+H240</f>
        <v>19.085000000000001</v>
      </c>
      <c r="I246" s="323">
        <f>+I245+I240</f>
        <v>30.080999999999996</v>
      </c>
      <c r="J246" s="323">
        <f>+J245+J240</f>
        <v>49.165999999999997</v>
      </c>
      <c r="L246" s="323">
        <f>+L245+L240</f>
        <v>20.39</v>
      </c>
      <c r="M246" s="323">
        <f>+M245+M240</f>
        <v>30.509999999999998</v>
      </c>
      <c r="N246" s="323">
        <f>+N245+N240</f>
        <v>50.9</v>
      </c>
      <c r="P246" s="323">
        <f>+P245+P240</f>
        <v>24.6</v>
      </c>
      <c r="Q246" s="323">
        <f>+Q245+Q240</f>
        <v>29.6</v>
      </c>
      <c r="R246" s="323">
        <f>+R245+R240</f>
        <v>54.2</v>
      </c>
      <c r="T246" s="323">
        <f>+T245+T240</f>
        <v>24.6</v>
      </c>
      <c r="U246" s="323">
        <f>+U245+U240</f>
        <v>34.5</v>
      </c>
      <c r="V246" s="323">
        <f>+V245+V240</f>
        <v>59.1</v>
      </c>
      <c r="X246" s="323">
        <f>+X245+X240</f>
        <v>35</v>
      </c>
      <c r="Y246" s="323">
        <f>+Y245+Y240</f>
        <v>34.9</v>
      </c>
      <c r="Z246" s="323">
        <f>+Z245+Z240</f>
        <v>69.900000000000006</v>
      </c>
      <c r="AB246" s="323">
        <f>+AB245+AB240</f>
        <v>38.299999999999997</v>
      </c>
      <c r="AC246" s="323">
        <f>+AC245+AC240</f>
        <v>47.8</v>
      </c>
      <c r="AD246" s="323">
        <f>+AD245+AD240</f>
        <v>86.1</v>
      </c>
      <c r="AF246" s="323">
        <f>+AF245+AF240</f>
        <v>49.9</v>
      </c>
      <c r="AG246" s="323">
        <f>+AG245+AG240</f>
        <v>54.9</v>
      </c>
      <c r="AH246" s="323">
        <f>+AH245+AH240</f>
        <v>104.8</v>
      </c>
      <c r="AJ246" s="323">
        <f>+AJ245+AJ240</f>
        <v>59.1</v>
      </c>
      <c r="AK246" s="323">
        <f>+AK245+AK240</f>
        <v>61.04099999999999</v>
      </c>
      <c r="AL246" s="323">
        <f>+AL245+AL240</f>
        <v>120.14099999999999</v>
      </c>
      <c r="AN246" s="323">
        <f>+AN245+AN240</f>
        <v>65.900000000000006</v>
      </c>
      <c r="AO246" s="323">
        <f>+AO245+AO240</f>
        <v>69.699999999999989</v>
      </c>
      <c r="AP246" s="323">
        <f>+AP245+AP240</f>
        <v>135.6</v>
      </c>
      <c r="AR246" s="323">
        <f t="shared" ref="AR246:AT246" si="1369">+AR245+AR240</f>
        <v>68.294140574999986</v>
      </c>
      <c r="AS246" s="323">
        <f t="shared" si="1369"/>
        <v>71.616617850000011</v>
      </c>
      <c r="AT246" s="323">
        <f t="shared" si="1369"/>
        <v>139.91075842499998</v>
      </c>
      <c r="AV246" s="323">
        <f t="shared" ref="AV246:AX246" si="1370">+AV245+AV240</f>
        <v>71.538903778799991</v>
      </c>
      <c r="AW246" s="323">
        <f t="shared" si="1370"/>
        <v>75.115648142951628</v>
      </c>
      <c r="AX246" s="323">
        <f t="shared" si="1370"/>
        <v>146.65455192175162</v>
      </c>
      <c r="AZ246" s="323">
        <f t="shared" ref="AZ246:BB246" si="1371">+AZ245+AZ240</f>
        <v>74.950409277929211</v>
      </c>
      <c r="BA246" s="323">
        <f t="shared" si="1371"/>
        <v>78.900692086909388</v>
      </c>
      <c r="BB246" s="323">
        <f t="shared" si="1371"/>
        <v>153.8511013648386</v>
      </c>
      <c r="BD246" s="323">
        <f t="shared" ref="BD246:BF246" si="1372">+BD245+BD240</f>
        <v>77.443398028388472</v>
      </c>
      <c r="BE246" s="323">
        <f t="shared" si="1372"/>
        <v>81.666893977817679</v>
      </c>
      <c r="BF246" s="323">
        <f t="shared" si="1372"/>
        <v>159.11029200620615</v>
      </c>
      <c r="BH246" s="323">
        <f t="shared" ref="BH246:BJ246" si="1373">+BH245+BH240</f>
        <v>80.043908698101973</v>
      </c>
      <c r="BI246" s="323">
        <f t="shared" si="1373"/>
        <v>84.554278445002623</v>
      </c>
      <c r="BJ246" s="323">
        <f t="shared" si="1373"/>
        <v>164.59818714310461</v>
      </c>
      <c r="BL246" s="323">
        <f t="shared" ref="BL246:BN246" si="1374">+BL245+BL240</f>
        <v>82.756974832666998</v>
      </c>
      <c r="BM246" s="323">
        <f t="shared" si="1374"/>
        <v>87.568562066912705</v>
      </c>
      <c r="BN246" s="323">
        <f t="shared" si="1374"/>
        <v>170.3255368995797</v>
      </c>
      <c r="BP246" s="323">
        <f t="shared" ref="BP246:BR246" si="1375">+BP245+BP240</f>
        <v>85.587874803953483</v>
      </c>
      <c r="BQ246" s="323">
        <f t="shared" si="1375"/>
        <v>90.715740399911468</v>
      </c>
      <c r="BR246" s="323">
        <f t="shared" si="1375"/>
        <v>176.30361520386495</v>
      </c>
      <c r="BT246" s="323">
        <f t="shared" ref="BT246:BV246" si="1376">+BT245+BT240</f>
        <v>88.542143914397357</v>
      </c>
      <c r="BU246" s="323">
        <f t="shared" si="1376"/>
        <v>94.002101790153247</v>
      </c>
      <c r="BV246" s="323">
        <f t="shared" si="1376"/>
        <v>182.5442457045506</v>
      </c>
      <c r="BX246" s="323">
        <f t="shared" ref="BX246:BZ246" si="1377">+BX245+BX240</f>
        <v>91.625587103768353</v>
      </c>
      <c r="BY246" s="323">
        <f t="shared" si="1377"/>
        <v>97.434241873312047</v>
      </c>
      <c r="BZ246" s="323">
        <f t="shared" si="1377"/>
        <v>189.0598289770804</v>
      </c>
    </row>
    <row r="247" spans="1:78" s="135" customFormat="1">
      <c r="A247" s="134"/>
      <c r="B247" s="386"/>
      <c r="D247" s="387"/>
      <c r="E247" s="387"/>
      <c r="F247" s="387"/>
      <c r="H247" s="387"/>
      <c r="I247" s="387"/>
      <c r="J247" s="387"/>
      <c r="L247" s="387"/>
      <c r="M247" s="387"/>
      <c r="N247" s="387"/>
      <c r="P247" s="387"/>
      <c r="Q247" s="387"/>
      <c r="R247" s="387"/>
      <c r="T247" s="387"/>
      <c r="U247" s="387"/>
      <c r="V247" s="387"/>
      <c r="X247" s="323"/>
      <c r="Y247" s="387"/>
      <c r="Z247" s="387"/>
      <c r="AB247" s="313"/>
      <c r="AC247" s="323"/>
      <c r="AD247" s="313"/>
      <c r="AF247" s="388"/>
      <c r="AG247" s="323"/>
      <c r="AH247" s="313"/>
      <c r="AJ247" s="388"/>
      <c r="AK247" s="323"/>
      <c r="AL247" s="343"/>
      <c r="AN247" s="388"/>
      <c r="AO247" s="323"/>
      <c r="AP247" s="343"/>
      <c r="AR247" s="387"/>
      <c r="AS247" s="387"/>
      <c r="AT247" s="387"/>
      <c r="AV247" s="387"/>
      <c r="AW247" s="387"/>
      <c r="AX247" s="387"/>
      <c r="AZ247" s="387"/>
      <c r="BA247" s="387"/>
      <c r="BB247" s="387"/>
      <c r="BD247" s="387"/>
      <c r="BE247" s="387"/>
      <c r="BF247" s="387"/>
      <c r="BH247" s="387"/>
      <c r="BI247" s="387"/>
      <c r="BJ247" s="387"/>
      <c r="BL247" s="387"/>
      <c r="BM247" s="387"/>
      <c r="BN247" s="387"/>
      <c r="BP247" s="387"/>
      <c r="BQ247" s="387"/>
      <c r="BR247" s="387"/>
      <c r="BT247" s="387"/>
      <c r="BU247" s="387"/>
      <c r="BV247" s="387"/>
      <c r="BX247" s="387"/>
      <c r="BY247" s="387"/>
      <c r="BZ247" s="387"/>
    </row>
    <row r="248" spans="1:78" s="135" customFormat="1">
      <c r="A248" s="134"/>
      <c r="B248" s="386" t="s">
        <v>361</v>
      </c>
      <c r="D248" s="313"/>
      <c r="E248" s="323"/>
      <c r="F248" s="313">
        <f>20.146*-0.021</f>
        <v>-0.42306600000000005</v>
      </c>
      <c r="H248" s="323">
        <f>+H249*D246</f>
        <v>0.72199999999999998</v>
      </c>
      <c r="I248" s="323">
        <f>+J248-H248</f>
        <v>1.0043799999999998</v>
      </c>
      <c r="J248" s="323">
        <f>+J249*F246</f>
        <v>1.7263799999999998</v>
      </c>
      <c r="L248" s="323">
        <f>+L249*H246</f>
        <v>0.82065500000000002</v>
      </c>
      <c r="M248" s="323">
        <f>+N248-L248</f>
        <v>2.3751349999999998</v>
      </c>
      <c r="N248" s="323">
        <f>+N249*J246</f>
        <v>3.1957899999999997</v>
      </c>
      <c r="P248" s="313">
        <f>+L246*0.046</f>
        <v>0.93794</v>
      </c>
      <c r="Q248" s="323">
        <f>+R248-P248</f>
        <v>1.56206</v>
      </c>
      <c r="R248" s="313">
        <v>2.5</v>
      </c>
      <c r="T248" s="313">
        <v>2.9</v>
      </c>
      <c r="U248" s="323">
        <f>+V248-T248</f>
        <v>7.1999999999999993</v>
      </c>
      <c r="V248" s="313">
        <v>10.1</v>
      </c>
      <c r="X248" s="313">
        <v>7.4</v>
      </c>
      <c r="Y248" s="323">
        <f>+Z248-X248</f>
        <v>4.0999999999999996</v>
      </c>
      <c r="Z248" s="313">
        <v>11.5</v>
      </c>
      <c r="AB248" s="323">
        <f>+AB249*X246</f>
        <v>4.3890000000000002</v>
      </c>
      <c r="AC248" s="323">
        <f>+AD248-AB248</f>
        <v>9.2109999999999985</v>
      </c>
      <c r="AD248" s="313">
        <v>13.6</v>
      </c>
      <c r="AF248" s="323">
        <f>+AF249*AB246</f>
        <v>4.9790000000000001</v>
      </c>
      <c r="AG248" s="323">
        <f>+AH248-AF248</f>
        <v>5.9210000000000003</v>
      </c>
      <c r="AH248" s="343">
        <v>10.9</v>
      </c>
      <c r="AJ248" s="323">
        <f>+AJ249*AF246</f>
        <v>8.7324999999999999</v>
      </c>
      <c r="AK248" s="323">
        <f>+AL248-AJ248</f>
        <v>6.1675000000000004</v>
      </c>
      <c r="AL248" s="343">
        <v>14.9</v>
      </c>
      <c r="AN248" s="232">
        <f>+AN249*AJ246</f>
        <v>3.0141</v>
      </c>
      <c r="AO248" s="323">
        <f>+AP248-AN248</f>
        <v>7.8859000000000004</v>
      </c>
      <c r="AP248" s="913">
        <v>10.9</v>
      </c>
      <c r="AR248" s="420">
        <f t="shared" ref="AR248:AS248" si="1378">+AR240-AN240-AR250</f>
        <v>3.1784004421754273</v>
      </c>
      <c r="AS248" s="420">
        <f t="shared" si="1378"/>
        <v>2.6968010431008316</v>
      </c>
      <c r="AT248" s="323">
        <f t="shared" ref="AT248" si="1379">+AS248+AR248</f>
        <v>5.8752014852762589</v>
      </c>
      <c r="AV248" s="420">
        <f t="shared" ref="AV248:AW248" si="1380">+AV240-AR240-AV250</f>
        <v>4.0410507849348685</v>
      </c>
      <c r="AW248" s="420">
        <f t="shared" si="1380"/>
        <v>4.2965558917998425</v>
      </c>
      <c r="AX248" s="323">
        <f t="shared" ref="AX248" si="1381">+AW248+AV248</f>
        <v>8.3376066767347119</v>
      </c>
      <c r="AZ248" s="420">
        <f t="shared" ref="AZ248:BA248" si="1382">+AZ240-AV240-AZ250</f>
        <v>4.2254331315795284</v>
      </c>
      <c r="BA248" s="420">
        <f t="shared" si="1382"/>
        <v>4.6002187672255515</v>
      </c>
      <c r="BB248" s="323">
        <f t="shared" ref="BB248" si="1383">+BA248+AZ248</f>
        <v>8.8256518988050807</v>
      </c>
      <c r="BD248" s="420">
        <f t="shared" ref="BD248:BE248" si="1384">+BD240-AZ240-BD250</f>
        <v>3.3240124286423121</v>
      </c>
      <c r="BE248" s="420">
        <f t="shared" si="1384"/>
        <v>3.5984998250486759</v>
      </c>
      <c r="BF248" s="323">
        <f t="shared" ref="BF248" si="1385">+BE248+BD248</f>
        <v>6.9225122536909875</v>
      </c>
      <c r="BH248" s="420">
        <f t="shared" ref="BH248:BI248" si="1386">+BH240-BD240-BH250</f>
        <v>3.4489708655757099</v>
      </c>
      <c r="BI248" s="420">
        <f t="shared" si="1386"/>
        <v>3.7371442296690565</v>
      </c>
      <c r="BJ248" s="323">
        <f t="shared" ref="BJ248" si="1387">+BI248+BH248</f>
        <v>7.1861150952447659</v>
      </c>
      <c r="BL248" s="420">
        <f t="shared" ref="BL248:BM248" si="1388">+BL240-BH240-BL250</f>
        <v>3.5793097165972929</v>
      </c>
      <c r="BM248" s="420">
        <f t="shared" si="1388"/>
        <v>3.8818503290712694</v>
      </c>
      <c r="BN248" s="323">
        <f t="shared" ref="BN248" si="1389">+BM248+BL248</f>
        <v>7.4611600456685618</v>
      </c>
      <c r="BP248" s="420">
        <f t="shared" ref="BP248:BQ248" si="1390">+BP240-BL240-BP250</f>
        <v>3.7152803375349439</v>
      </c>
      <c r="BQ248" s="420">
        <f t="shared" si="1390"/>
        <v>4.032903637002291</v>
      </c>
      <c r="BR248" s="323">
        <f t="shared" ref="BR248" si="1391">+BQ248+BP248</f>
        <v>7.748183974537235</v>
      </c>
      <c r="BT248" s="420">
        <f t="shared" ref="BT248" si="1392">+BT240-BP240-BT250</f>
        <v>3.8571463249877675</v>
      </c>
      <c r="BU248" s="420">
        <f t="shared" ref="BU248" si="1393">+BU240-BQ240-BU250</f>
        <v>4.1906036193978871</v>
      </c>
      <c r="BV248" s="323">
        <f t="shared" ref="BV248" si="1394">+BU248+BT248</f>
        <v>8.0477499443856537</v>
      </c>
      <c r="BX248" s="420">
        <f t="shared" ref="BX248" si="1395">+BX240-BT240-BX250</f>
        <v>4.0051841223071136</v>
      </c>
      <c r="BY248" s="420">
        <f t="shared" ref="BY248" si="1396">+BY240-BU240-BY250</f>
        <v>4.3552643856045172</v>
      </c>
      <c r="BZ248" s="323">
        <f t="shared" ref="BZ248" si="1397">+BY248+BX248</f>
        <v>8.3604485079116309</v>
      </c>
    </row>
    <row r="249" spans="1:78" s="139" customFormat="1">
      <c r="A249" s="284"/>
      <c r="B249" s="314" t="s">
        <v>366</v>
      </c>
      <c r="D249" s="315"/>
      <c r="E249" s="315"/>
      <c r="F249" s="315">
        <v>-2.1000000000000001E-2</v>
      </c>
      <c r="G249" s="390"/>
      <c r="H249" s="393">
        <v>3.7999999999999999E-2</v>
      </c>
      <c r="I249" s="315">
        <f>+I248/E246</f>
        <v>3.4687618718701428E-2</v>
      </c>
      <c r="J249" s="393">
        <v>3.5999999999999997E-2</v>
      </c>
      <c r="K249" s="390"/>
      <c r="L249" s="393">
        <v>4.2999999999999997E-2</v>
      </c>
      <c r="M249" s="315">
        <f>+M248/I246</f>
        <v>7.8957980120341748E-2</v>
      </c>
      <c r="N249" s="393">
        <v>6.5000000000000002E-2</v>
      </c>
      <c r="O249" s="390"/>
      <c r="P249" s="315">
        <f>+P248/L246</f>
        <v>4.5999999999999999E-2</v>
      </c>
      <c r="Q249" s="315">
        <f>+Q248/M246</f>
        <v>5.1198295640773522E-2</v>
      </c>
      <c r="R249" s="315">
        <f>+R248/N246</f>
        <v>4.9115913555992145E-2</v>
      </c>
      <c r="S249" s="390"/>
      <c r="T249" s="315">
        <f>+T248/P246</f>
        <v>0.11788617886178861</v>
      </c>
      <c r="U249" s="315">
        <f>+U248/Q246</f>
        <v>0.2432432432432432</v>
      </c>
      <c r="V249" s="315">
        <f>+V248/R246</f>
        <v>0.18634686346863466</v>
      </c>
      <c r="W249" s="390"/>
      <c r="X249" s="315">
        <f>+X248/T246</f>
        <v>0.30081300813008127</v>
      </c>
      <c r="Y249" s="315">
        <f>+Y248/U246</f>
        <v>0.11884057971014492</v>
      </c>
      <c r="Z249" s="315">
        <f>+Z248/V246</f>
        <v>0.19458544839255498</v>
      </c>
      <c r="AA249" s="390"/>
      <c r="AB249" s="391">
        <v>0.12540000000000001</v>
      </c>
      <c r="AC249" s="315">
        <f>+AC248/Y246</f>
        <v>0.26392550143266474</v>
      </c>
      <c r="AD249" s="315">
        <f>+AD248/Z246</f>
        <v>0.19456366237482114</v>
      </c>
      <c r="AE249" s="390"/>
      <c r="AF249" s="391">
        <v>0.13</v>
      </c>
      <c r="AG249" s="315">
        <f>+AG248/AC246</f>
        <v>0.1238702928870293</v>
      </c>
      <c r="AH249" s="315">
        <f>+AH248/AD246</f>
        <v>0.12659698025551686</v>
      </c>
      <c r="AI249" s="390"/>
      <c r="AJ249" s="391">
        <v>0.17499999999999999</v>
      </c>
      <c r="AK249" s="315">
        <f>+AK248/AG246</f>
        <v>0.11234061930783243</v>
      </c>
      <c r="AL249" s="374">
        <f>+AL248/AH246</f>
        <v>0.14217557251908397</v>
      </c>
      <c r="AM249" s="390"/>
      <c r="AN249" s="394">
        <v>5.0999999999999997E-2</v>
      </c>
      <c r="AO249" s="315">
        <f>+AO248/AK246</f>
        <v>0.12919021641191988</v>
      </c>
      <c r="AP249" s="374">
        <f>+AP248/AL246</f>
        <v>9.0726729426257494E-2</v>
      </c>
      <c r="AQ249" s="390"/>
      <c r="AR249" s="315">
        <f t="shared" ref="AR249:AT249" si="1398">+AR248/AN246</f>
        <v>4.8230659213587664E-2</v>
      </c>
      <c r="AS249" s="315">
        <f t="shared" si="1398"/>
        <v>3.8691550116224278E-2</v>
      </c>
      <c r="AT249" s="315">
        <f t="shared" si="1398"/>
        <v>4.3327444581683326E-2</v>
      </c>
      <c r="AU249" s="390"/>
      <c r="AV249" s="315">
        <f t="shared" ref="AV249:AX249" si="1399">+AV248/AR246</f>
        <v>5.9171266391397435E-2</v>
      </c>
      <c r="AW249" s="315">
        <f t="shared" si="1399"/>
        <v>5.9993839709087039E-2</v>
      </c>
      <c r="AX249" s="315">
        <f t="shared" si="1399"/>
        <v>5.9592319923018194E-2</v>
      </c>
      <c r="AY249" s="390"/>
      <c r="AZ249" s="315">
        <f t="shared" ref="AZ249:BB249" si="1400">+AZ248/AV246</f>
        <v>5.9064829182240049E-2</v>
      </c>
      <c r="BA249" s="315">
        <f t="shared" si="1400"/>
        <v>6.1241816864455914E-2</v>
      </c>
      <c r="BB249" s="315">
        <f t="shared" si="1400"/>
        <v>6.0179870199419776E-2</v>
      </c>
      <c r="BC249" s="390"/>
      <c r="BD249" s="315">
        <f t="shared" ref="BD249:BF249" si="1401">+BD248/AZ246</f>
        <v>4.4349490025014981E-2</v>
      </c>
      <c r="BE249" s="315">
        <f t="shared" si="1401"/>
        <v>4.5607962742391608E-2</v>
      </c>
      <c r="BF249" s="315">
        <f t="shared" si="1401"/>
        <v>4.4994882664343872E-2</v>
      </c>
      <c r="BG249" s="390"/>
      <c r="BH249" s="315">
        <f t="shared" ref="BH249:BJ249" si="1402">+BH248/BD246</f>
        <v>4.453537620226089E-2</v>
      </c>
      <c r="BI249" s="315">
        <f t="shared" si="1402"/>
        <v>4.5760822380292041E-2</v>
      </c>
      <c r="BJ249" s="315">
        <f t="shared" si="1402"/>
        <v>4.5164363691598715E-2</v>
      </c>
      <c r="BK249" s="390"/>
      <c r="BL249" s="315">
        <f t="shared" ref="BL249:BN249" si="1403">+BL248/BH246</f>
        <v>4.4716828236077463E-2</v>
      </c>
      <c r="BM249" s="315">
        <f t="shared" si="1403"/>
        <v>4.5909567208904455E-2</v>
      </c>
      <c r="BN249" s="315">
        <f t="shared" si="1403"/>
        <v>4.5329539621124113E-2</v>
      </c>
      <c r="BO249" s="390"/>
      <c r="BP249" s="315">
        <f t="shared" ref="BP249:BR249" si="1404">+BP248/BL246</f>
        <v>4.4893863569169475E-2</v>
      </c>
      <c r="BQ249" s="315">
        <f t="shared" si="1404"/>
        <v>4.6054240720781472E-2</v>
      </c>
      <c r="BR249" s="315">
        <f t="shared" si="1404"/>
        <v>4.5490442100325795E-2</v>
      </c>
      <c r="BS249" s="390"/>
      <c r="BT249" s="315">
        <f t="shared" ref="BT249" si="1405">+BT248/BP246</f>
        <v>4.5066504266204746E-2</v>
      </c>
      <c r="BU249" s="315">
        <f t="shared" ref="BU249" si="1406">+BU248/BQ246</f>
        <v>4.6194889673214605E-2</v>
      </c>
      <c r="BV249" s="315">
        <f t="shared" ref="BV249" si="1407">+BV248/BR246</f>
        <v>4.5647106754332908E-2</v>
      </c>
      <c r="BW249" s="390"/>
      <c r="BX249" s="315">
        <f t="shared" ref="BX249" si="1408">+BX248/BT246</f>
        <v>4.5234776855858944E-2</v>
      </c>
      <c r="BY249" s="315">
        <f t="shared" ref="BY249" si="1409">+BY248/BU246</f>
        <v>4.6331563897656733E-2</v>
      </c>
      <c r="BZ249" s="315">
        <f t="shared" ref="BZ249" si="1410">+BZ248/BV246</f>
        <v>4.5799573005676046E-2</v>
      </c>
    </row>
    <row r="250" spans="1:78" s="135" customFormat="1">
      <c r="A250" s="134"/>
      <c r="B250" s="386" t="s">
        <v>362</v>
      </c>
      <c r="D250" s="313"/>
      <c r="E250" s="323"/>
      <c r="F250" s="313">
        <f>+(47.955-50.146)-F248</f>
        <v>-1.7679340000000026</v>
      </c>
      <c r="H250" s="323">
        <f>+H246-D246-H248</f>
        <v>-0.63699999999999912</v>
      </c>
      <c r="I250" s="323">
        <f>+J250-H250</f>
        <v>0.12161999999999784</v>
      </c>
      <c r="J250" s="323">
        <f>+J246-F246-J248</f>
        <v>-0.51538000000000128</v>
      </c>
      <c r="L250" s="323">
        <f>+L246-H246-L248</f>
        <v>0.48434499999999969</v>
      </c>
      <c r="M250" s="323">
        <f>+N250-L250</f>
        <v>-1.9461349999999977</v>
      </c>
      <c r="N250" s="323">
        <f>+N246-J246-N248</f>
        <v>-1.4617899999999979</v>
      </c>
      <c r="P250" s="313">
        <f>+(22.609-20.39)-P248</f>
        <v>1.2810600000000012</v>
      </c>
      <c r="Q250" s="323">
        <f>+R250-P250</f>
        <v>1.8189399999999989</v>
      </c>
      <c r="R250" s="313">
        <v>3.1</v>
      </c>
      <c r="T250" s="313">
        <v>-0.4</v>
      </c>
      <c r="U250" s="232">
        <f>+V250-T250</f>
        <v>3.1</v>
      </c>
      <c r="V250" s="313">
        <v>2.7</v>
      </c>
      <c r="X250" s="313">
        <v>5.7</v>
      </c>
      <c r="Y250" s="323">
        <f>+Z250-X250</f>
        <v>-2.9000000000000004</v>
      </c>
      <c r="Z250" s="313">
        <v>2.8</v>
      </c>
      <c r="AB250" s="323">
        <f>+AB251*X246</f>
        <v>1.4350000000000001</v>
      </c>
      <c r="AC250" s="323">
        <f>+AD250-AB250</f>
        <v>1.2650000000000001</v>
      </c>
      <c r="AD250" s="313">
        <v>2.7</v>
      </c>
      <c r="AF250" s="323">
        <f>+AF251*AB246</f>
        <v>6.6258999999999988</v>
      </c>
      <c r="AG250" s="323">
        <f>+AH250-AF250</f>
        <v>1.174100000000001</v>
      </c>
      <c r="AH250" s="343">
        <v>7.8</v>
      </c>
      <c r="AJ250" s="434">
        <f>1.7-1.3</f>
        <v>0.39999999999999991</v>
      </c>
      <c r="AK250" s="323">
        <f>+AL250-AJ250</f>
        <v>0.10000000000000009</v>
      </c>
      <c r="AL250" s="343">
        <f>3.1-2.6</f>
        <v>0.5</v>
      </c>
      <c r="AN250" s="906">
        <v>3.8</v>
      </c>
      <c r="AO250" s="323">
        <f>+AP250-AN250</f>
        <v>0.70000000000000018</v>
      </c>
      <c r="AP250" s="913">
        <v>4.5</v>
      </c>
      <c r="AR250" s="420">
        <f t="shared" ref="AR250:AS250" si="1411">+AR233 + (AR236+AR239) *AR233/AR228</f>
        <v>-0.78425986717544705</v>
      </c>
      <c r="AS250" s="420">
        <f t="shared" si="1411"/>
        <v>-0.78018319310080864</v>
      </c>
      <c r="AT250" s="323">
        <f t="shared" ref="AT250" si="1412">+AS250+AR250</f>
        <v>-1.5644430602762558</v>
      </c>
      <c r="AV250" s="420">
        <f t="shared" ref="AV250:AW250" si="1413">+AV233 + (AV236+AV239) *AV233/AV228</f>
        <v>-0.79628758113486331</v>
      </c>
      <c r="AW250" s="420">
        <f t="shared" si="1413"/>
        <v>-0.79752559884822627</v>
      </c>
      <c r="AX250" s="323">
        <f t="shared" ref="AX250" si="1414">+AW250+AV250</f>
        <v>-1.5938131799830897</v>
      </c>
      <c r="AZ250" s="420">
        <f t="shared" ref="AZ250:BA250" si="1415">+AZ233 + (AZ236+AZ239) *AZ233/AZ228</f>
        <v>-0.81392763245030886</v>
      </c>
      <c r="BA250" s="420">
        <f t="shared" si="1415"/>
        <v>-0.81517482326779145</v>
      </c>
      <c r="BB250" s="323">
        <f t="shared" ref="BB250" si="1416">+BA250+AZ250</f>
        <v>-1.6291024557181002</v>
      </c>
      <c r="BD250" s="420">
        <f t="shared" ref="BD250:BE250" si="1417">+BD233 + (BD236+BD239) *BD233/BD228</f>
        <v>-0.83102367818305056</v>
      </c>
      <c r="BE250" s="420">
        <f t="shared" si="1417"/>
        <v>-0.83229793414038433</v>
      </c>
      <c r="BF250" s="323">
        <f t="shared" ref="BF250" si="1418">+BE250+BD250</f>
        <v>-1.6633216123234349</v>
      </c>
      <c r="BH250" s="420">
        <f t="shared" ref="BH250:BI250" si="1419">+BH233 + (BH236+BH239) *BH233/BH228</f>
        <v>-0.84846019586220922</v>
      </c>
      <c r="BI250" s="420">
        <f t="shared" si="1419"/>
        <v>-0.84975976248411234</v>
      </c>
      <c r="BJ250" s="323">
        <f t="shared" ref="BJ250" si="1420">+BI250+BH250</f>
        <v>-1.6982199583463216</v>
      </c>
      <c r="BL250" s="420">
        <f t="shared" ref="BL250:BM250" si="1421">+BL233 + (BL236+BL239) *BL233/BL228</f>
        <v>-0.86624358203226748</v>
      </c>
      <c r="BM250" s="420">
        <f t="shared" si="1421"/>
        <v>-0.86756670716118778</v>
      </c>
      <c r="BN250" s="323">
        <f t="shared" ref="BN250" si="1422">+BM250+BL250</f>
        <v>-1.7338102891934553</v>
      </c>
      <c r="BP250" s="420">
        <f t="shared" ref="BP250:BQ250" si="1423">+BP233 + (BP236+BP239) *BP233/BP228</f>
        <v>-0.88438036624845928</v>
      </c>
      <c r="BQ250" s="420">
        <f t="shared" si="1423"/>
        <v>-0.88572530400352789</v>
      </c>
      <c r="BR250" s="323">
        <f t="shared" ref="BR250" si="1424">+BQ250+BP250</f>
        <v>-1.7701056702519873</v>
      </c>
      <c r="BT250" s="420">
        <f t="shared" ref="BT250:BU250" si="1425">+BT233 + (BT236+BT239) *BT233/BT228</f>
        <v>-0.90287721454389303</v>
      </c>
      <c r="BU250" s="420">
        <f t="shared" si="1425"/>
        <v>-0.90424222915610764</v>
      </c>
      <c r="BV250" s="323">
        <f t="shared" ref="BV250" si="1426">+BU250+BT250</f>
        <v>-1.8071194437000007</v>
      </c>
      <c r="BX250" s="420">
        <f t="shared" ref="BX250:BY250" si="1427">+BX233 + (BX236+BX239) *BX233/BX228</f>
        <v>-0.92174093293611736</v>
      </c>
      <c r="BY250" s="420">
        <f t="shared" si="1427"/>
        <v>-0.92312430244571808</v>
      </c>
      <c r="BZ250" s="323">
        <f t="shared" ref="BZ250" si="1428">+BY250+BX250</f>
        <v>-1.8448652353818353</v>
      </c>
    </row>
    <row r="251" spans="1:78" s="135" customFormat="1">
      <c r="A251" s="134"/>
      <c r="B251" s="314" t="s">
        <v>367</v>
      </c>
      <c r="D251" s="315"/>
      <c r="E251" s="315"/>
      <c r="F251" s="315">
        <f>+F250/50.146</f>
        <v>-3.5255733258884106E-2</v>
      </c>
      <c r="G251" s="133"/>
      <c r="H251" s="315">
        <f>+H250/D246</f>
        <v>-3.352631578947364E-2</v>
      </c>
      <c r="I251" s="315">
        <f>+I250/E246</f>
        <v>4.2003108271454967E-3</v>
      </c>
      <c r="J251" s="315">
        <f>+J250/F246</f>
        <v>-1.0747158794703395E-2</v>
      </c>
      <c r="K251" s="133"/>
      <c r="L251" s="315">
        <f>+L250/H246</f>
        <v>2.5378307571391128E-2</v>
      </c>
      <c r="M251" s="315">
        <f>+M250/I246</f>
        <v>-6.4696486154050659E-2</v>
      </c>
      <c r="N251" s="315">
        <f>+N250/J246</f>
        <v>-2.9731725175934549E-2</v>
      </c>
      <c r="O251" s="133"/>
      <c r="P251" s="315">
        <f>+P250/L246</f>
        <v>6.282785679254542E-2</v>
      </c>
      <c r="Q251" s="315">
        <f>+Q250/M246</f>
        <v>5.9617830219600099E-2</v>
      </c>
      <c r="R251" s="315">
        <f>+R250/N246</f>
        <v>6.0903732809430261E-2</v>
      </c>
      <c r="S251" s="133"/>
      <c r="T251" s="315">
        <f>+T250/P246</f>
        <v>-1.6260162601626015E-2</v>
      </c>
      <c r="U251" s="315">
        <f>+U250/Q246</f>
        <v>0.10472972972972973</v>
      </c>
      <c r="V251" s="315">
        <f>+V250/R246</f>
        <v>4.9815498154981548E-2</v>
      </c>
      <c r="W251" s="133"/>
      <c r="X251" s="315">
        <f>+X250/T246</f>
        <v>0.23170731707317072</v>
      </c>
      <c r="Y251" s="315">
        <f>+Y250/U246</f>
        <v>-8.4057971014492763E-2</v>
      </c>
      <c r="Z251" s="315">
        <f>+Z250/V246</f>
        <v>4.7377326565143818E-2</v>
      </c>
      <c r="AA251" s="133"/>
      <c r="AB251" s="384">
        <v>4.1000000000000002E-2</v>
      </c>
      <c r="AC251" s="315">
        <f>+AC250/Y246</f>
        <v>3.6246418338108891E-2</v>
      </c>
      <c r="AD251" s="315">
        <f>+AD250/Z246</f>
        <v>3.8626609442060082E-2</v>
      </c>
      <c r="AE251" s="133"/>
      <c r="AF251" s="384">
        <v>0.17299999999999999</v>
      </c>
      <c r="AG251" s="315">
        <f>+AG250/AC246</f>
        <v>2.4562761506276173E-2</v>
      </c>
      <c r="AH251" s="315">
        <f>+AH250/AD246</f>
        <v>9.0592334494773524E-2</v>
      </c>
      <c r="AI251" s="133"/>
      <c r="AJ251" s="315">
        <f>+AJ250/AF246</f>
        <v>8.0160320641282541E-3</v>
      </c>
      <c r="AK251" s="315">
        <f>+AK250/AG246</f>
        <v>1.821493624772315E-3</v>
      </c>
      <c r="AL251" s="374">
        <f>+AL250/AH246</f>
        <v>4.7709923664122139E-3</v>
      </c>
      <c r="AM251" s="133"/>
      <c r="AN251" s="315">
        <f>+AN250/AJ246</f>
        <v>6.4297800338409469E-2</v>
      </c>
      <c r="AO251" s="315">
        <f>+AO250/AK246</f>
        <v>1.1467702036336238E-2</v>
      </c>
      <c r="AP251" s="374">
        <f>+AP250/AL246</f>
        <v>3.7455989212675109E-2</v>
      </c>
      <c r="AQ251" s="133"/>
      <c r="AR251" s="315">
        <f t="shared" ref="AR251:AT251" si="1429">+AR250/AN246</f>
        <v>-1.190075670979434E-2</v>
      </c>
      <c r="AS251" s="315">
        <f t="shared" si="1429"/>
        <v>-1.11934460990073E-2</v>
      </c>
      <c r="AT251" s="315">
        <f t="shared" si="1429"/>
        <v>-1.1537190710001886E-2</v>
      </c>
      <c r="AU251" s="133"/>
      <c r="AV251" s="315">
        <f t="shared" ref="AV251:AX251" si="1430">+AV250/AR246</f>
        <v>-1.1659676429493797E-2</v>
      </c>
      <c r="AW251" s="315">
        <f t="shared" si="1430"/>
        <v>-1.1136041086422599E-2</v>
      </c>
      <c r="AX251" s="315">
        <f t="shared" si="1430"/>
        <v>-1.1391641342845432E-2</v>
      </c>
      <c r="AY251" s="133"/>
      <c r="AZ251" s="315">
        <f t="shared" ref="AZ251:BB251" si="1431">+AZ250/AV246</f>
        <v>-1.1377412700745215E-2</v>
      </c>
      <c r="BA251" s="315">
        <f t="shared" si="1431"/>
        <v>-1.0852263721620863E-2</v>
      </c>
      <c r="BB251" s="315">
        <f t="shared" si="1431"/>
        <v>-1.1108434306132668E-2</v>
      </c>
      <c r="BC251" s="133"/>
      <c r="BD251" s="315">
        <f t="shared" ref="BD251:BF251" si="1432">+BD250/AZ246</f>
        <v>-1.1087646968030149E-2</v>
      </c>
      <c r="BE251" s="315">
        <f t="shared" si="1432"/>
        <v>-1.0548677231165543E-2</v>
      </c>
      <c r="BF251" s="315">
        <f t="shared" si="1432"/>
        <v>-1.081124280273481E-2</v>
      </c>
      <c r="BG251" s="133"/>
      <c r="BH251" s="315">
        <f t="shared" ref="BH251:BJ251" si="1433">+BH250/BD246</f>
        <v>-1.095587509668918E-2</v>
      </c>
      <c r="BI251" s="315">
        <f t="shared" si="1433"/>
        <v>-1.0405192619605732E-2</v>
      </c>
      <c r="BJ251" s="315">
        <f t="shared" si="1433"/>
        <v>-1.0673225075094966E-2</v>
      </c>
      <c r="BK251" s="133"/>
      <c r="BL251" s="315">
        <f t="shared" ref="BL251:BN251" si="1434">+BL250/BH246</f>
        <v>-1.0822104968654636E-2</v>
      </c>
      <c r="BM251" s="315">
        <f t="shared" si="1434"/>
        <v>-1.0260470825559545E-2</v>
      </c>
      <c r="BN251" s="315">
        <f t="shared" si="1434"/>
        <v>-1.0533592862028604E-2</v>
      </c>
      <c r="BO251" s="133"/>
      <c r="BP251" s="315">
        <f t="shared" ref="BP251:BR251" si="1435">+BP250/BL246</f>
        <v>-1.0686475285456716E-2</v>
      </c>
      <c r="BQ251" s="315">
        <f t="shared" si="1435"/>
        <v>-1.0114649402678661E-2</v>
      </c>
      <c r="BR251" s="315">
        <f t="shared" si="1435"/>
        <v>-1.0392485486751195E-2</v>
      </c>
      <c r="BS251" s="133"/>
      <c r="BT251" s="315">
        <f t="shared" ref="BT251" si="1436">+BT250/BP246</f>
        <v>-1.054912528920729E-2</v>
      </c>
      <c r="BU251" s="315">
        <f t="shared" ref="BU251" si="1437">+BU250/BQ246</f>
        <v>-9.9678647296471846E-3</v>
      </c>
      <c r="BV251" s="315">
        <f t="shared" ref="BV251" si="1438">+BV250/BR246</f>
        <v>-1.0250041904191111E-2</v>
      </c>
      <c r="BW251" s="133"/>
      <c r="BX251" s="315">
        <f t="shared" ref="BX251" si="1439">+BX250/BT246</f>
        <v>-1.04101944247844E-2</v>
      </c>
      <c r="BY251" s="315">
        <f t="shared" ref="BY251" si="1440">+BY250/BU246</f>
        <v>-9.8202517269929349E-3</v>
      </c>
      <c r="BZ251" s="315">
        <f t="shared" ref="BZ251" si="1441">+BZ250/BV246</f>
        <v>-1.0106400386719202E-2</v>
      </c>
    </row>
    <row r="252" spans="1:78" s="135" customFormat="1">
      <c r="A252" s="134"/>
      <c r="B252" s="386" t="s">
        <v>607</v>
      </c>
      <c r="D252" s="323"/>
      <c r="E252" s="323"/>
      <c r="F252" s="313">
        <f>50.146+F248+F250</f>
        <v>47.954999999999998</v>
      </c>
      <c r="G252" s="133"/>
      <c r="H252" s="323">
        <f>+D246+H248+H250</f>
        <v>19.085000000000001</v>
      </c>
      <c r="I252" s="323">
        <f>+J252-H252</f>
        <v>30.080999999999996</v>
      </c>
      <c r="J252" s="323">
        <f>+F246+J248+J250</f>
        <v>49.165999999999997</v>
      </c>
      <c r="K252" s="133"/>
      <c r="L252" s="323">
        <f>+H246+L248+L250</f>
        <v>20.39</v>
      </c>
      <c r="M252" s="323">
        <f>+N252-L252</f>
        <v>30.509999999999998</v>
      </c>
      <c r="N252" s="323">
        <f>+J246+N248+N250</f>
        <v>50.9</v>
      </c>
      <c r="O252" s="133"/>
      <c r="P252" s="323">
        <f>+L246+P248+P250</f>
        <v>22.609000000000002</v>
      </c>
      <c r="Q252" s="323">
        <f>+R252-P252</f>
        <v>33.890999999999998</v>
      </c>
      <c r="R252" s="323">
        <f>+N246+R248+R250</f>
        <v>56.5</v>
      </c>
      <c r="S252" s="133"/>
      <c r="T252" s="232">
        <f>+P246+T248+T250</f>
        <v>27.1</v>
      </c>
      <c r="U252" s="232">
        <f>+V252-T252</f>
        <v>39.9</v>
      </c>
      <c r="V252" s="232">
        <f>+R246+V248+V250</f>
        <v>67</v>
      </c>
      <c r="W252" s="133"/>
      <c r="X252" s="323">
        <f>+T246+X248+X250</f>
        <v>37.700000000000003</v>
      </c>
      <c r="Y252" s="323">
        <f>+Z252-X252</f>
        <v>35.699999999999989</v>
      </c>
      <c r="Z252" s="323">
        <f>+V246+Z248+Z250</f>
        <v>73.399999999999991</v>
      </c>
      <c r="AA252" s="133"/>
      <c r="AB252" s="323">
        <f>+X240+AB248+AB250</f>
        <v>40.824000000000005</v>
      </c>
      <c r="AC252" s="323">
        <f>+AD252-AB252</f>
        <v>45.375999999999998</v>
      </c>
      <c r="AD252" s="721">
        <f>+Z246+AD248+AD250</f>
        <v>86.2</v>
      </c>
      <c r="AE252" s="133"/>
      <c r="AF252" s="323">
        <f>+AB246+AF248+AF250</f>
        <v>49.904899999999998</v>
      </c>
      <c r="AG252" s="323">
        <f>+AH252-AF252</f>
        <v>54.895099999999999</v>
      </c>
      <c r="AH252" s="721">
        <f>+AD246+AH248+AH250</f>
        <v>104.8</v>
      </c>
      <c r="AI252" s="133"/>
      <c r="AJ252" s="323">
        <f>+AF246+AJ248+AJ250</f>
        <v>59.032499999999999</v>
      </c>
      <c r="AK252" s="323">
        <f>+AL252-AJ252</f>
        <v>61.167500000000004</v>
      </c>
      <c r="AL252" s="721">
        <f>+AH246+AL248+AL250</f>
        <v>120.2</v>
      </c>
      <c r="AM252" s="133"/>
      <c r="AN252" s="323">
        <f>+AJ246+AN248+AN250</f>
        <v>65.914100000000005</v>
      </c>
      <c r="AO252" s="323">
        <f>+AP252-AN252</f>
        <v>69.626899999999992</v>
      </c>
      <c r="AP252" s="721">
        <f>+AL246+AP248+AP250</f>
        <v>135.541</v>
      </c>
      <c r="AQ252" s="133"/>
      <c r="AR252" s="323">
        <f t="shared" ref="AR252" si="1442">+AN246+AR248+AR250</f>
        <v>68.294140574999986</v>
      </c>
      <c r="AS252" s="323">
        <f t="shared" ref="AS252" si="1443">+AT252-AR252</f>
        <v>71.616617849999997</v>
      </c>
      <c r="AT252" s="323">
        <f t="shared" ref="AT252" si="1444">+AP246+AT248+AT250</f>
        <v>139.91075842499998</v>
      </c>
      <c r="AU252" s="133"/>
      <c r="AV252" s="323">
        <f t="shared" ref="AV252" si="1445">+AR246+AV248+AV250</f>
        <v>71.538903778799991</v>
      </c>
      <c r="AW252" s="323">
        <f t="shared" ref="AW252" si="1446">+AX252-AV252</f>
        <v>75.115648142951599</v>
      </c>
      <c r="AX252" s="323">
        <f t="shared" ref="AX252" si="1447">+AT246+AX248+AX250</f>
        <v>146.65455192175159</v>
      </c>
      <c r="AY252" s="133"/>
      <c r="AZ252" s="323">
        <f t="shared" ref="AZ252" si="1448">+AV246+AZ248+AZ250</f>
        <v>74.950409277929197</v>
      </c>
      <c r="BA252" s="323">
        <f t="shared" ref="BA252" si="1449">+BB252-AZ252</f>
        <v>78.900692086909402</v>
      </c>
      <c r="BB252" s="323">
        <f t="shared" ref="BB252" si="1450">+AX246+BB248+BB250</f>
        <v>153.8511013648386</v>
      </c>
      <c r="BC252" s="133"/>
      <c r="BD252" s="323">
        <f t="shared" ref="BD252" si="1451">+AZ246+BD248+BD250</f>
        <v>77.443398028388472</v>
      </c>
      <c r="BE252" s="323">
        <f t="shared" ref="BE252" si="1452">+BF252-BD252</f>
        <v>81.666893977817679</v>
      </c>
      <c r="BF252" s="323">
        <f t="shared" ref="BF252" si="1453">+BB246+BF248+BF250</f>
        <v>159.11029200620615</v>
      </c>
      <c r="BG252" s="133"/>
      <c r="BH252" s="323">
        <f t="shared" ref="BH252" si="1454">+BD246+BH248+BH250</f>
        <v>80.043908698101973</v>
      </c>
      <c r="BI252" s="323">
        <f t="shared" ref="BI252" si="1455">+BJ252-BH252</f>
        <v>84.554278445002609</v>
      </c>
      <c r="BJ252" s="323">
        <f t="shared" ref="BJ252" si="1456">+BF246+BJ248+BJ250</f>
        <v>164.59818714310458</v>
      </c>
      <c r="BK252" s="133"/>
      <c r="BL252" s="323">
        <f t="shared" ref="BL252" si="1457">+BH246+BL248+BL250</f>
        <v>82.756974832666998</v>
      </c>
      <c r="BM252" s="323">
        <f t="shared" ref="BM252" si="1458">+BN252-BL252</f>
        <v>87.568562066912705</v>
      </c>
      <c r="BN252" s="323">
        <f t="shared" ref="BN252" si="1459">+BJ246+BN248+BN250</f>
        <v>170.3255368995797</v>
      </c>
      <c r="BO252" s="133"/>
      <c r="BP252" s="323">
        <f t="shared" ref="BP252" si="1460">+BL246+BP248+BP250</f>
        <v>85.587874803953483</v>
      </c>
      <c r="BQ252" s="323">
        <f t="shared" ref="BQ252" si="1461">+BR252-BP252</f>
        <v>90.715740399911468</v>
      </c>
      <c r="BR252" s="323">
        <f t="shared" ref="BR252" si="1462">+BN246+BR248+BR250</f>
        <v>176.30361520386495</v>
      </c>
      <c r="BS252" s="133"/>
      <c r="BT252" s="323">
        <f t="shared" ref="BT252" si="1463">+BP246+BT248+BT250</f>
        <v>88.542143914397357</v>
      </c>
      <c r="BU252" s="323">
        <f t="shared" ref="BU252:BU254" si="1464">+BV252-BT252</f>
        <v>94.002101790153247</v>
      </c>
      <c r="BV252" s="323">
        <f t="shared" ref="BV252" si="1465">+BR246+BV248+BV250</f>
        <v>182.5442457045506</v>
      </c>
      <c r="BW252" s="133"/>
      <c r="BX252" s="323">
        <f t="shared" ref="BX252" si="1466">+BT246+BX248+BX250</f>
        <v>91.625587103768353</v>
      </c>
      <c r="BY252" s="323">
        <f t="shared" ref="BY252:BY254" si="1467">+BZ252-BX252</f>
        <v>97.434241873312047</v>
      </c>
      <c r="BZ252" s="323">
        <f t="shared" ref="BZ252" si="1468">+BV246+BZ248+BZ250</f>
        <v>189.0598289770804</v>
      </c>
    </row>
    <row r="253" spans="1:78" s="135" customFormat="1">
      <c r="A253" s="134"/>
      <c r="B253" s="385" t="s">
        <v>368</v>
      </c>
      <c r="D253" s="313"/>
      <c r="E253" s="323"/>
      <c r="F253" s="313">
        <v>0</v>
      </c>
      <c r="G253" s="133"/>
      <c r="H253" s="313">
        <v>0</v>
      </c>
      <c r="I253" s="323">
        <f>+J253-H253</f>
        <v>0</v>
      </c>
      <c r="J253" s="313">
        <v>0</v>
      </c>
      <c r="K253" s="133"/>
      <c r="L253" s="313">
        <v>0</v>
      </c>
      <c r="M253" s="323">
        <f>+N253-L253</f>
        <v>0</v>
      </c>
      <c r="N253" s="313">
        <v>0</v>
      </c>
      <c r="O253" s="133"/>
      <c r="P253" s="313">
        <v>0</v>
      </c>
      <c r="Q253" s="323">
        <f>+R253-P253</f>
        <v>-2.2999999999999998</v>
      </c>
      <c r="R253" s="718">
        <v>-2.2999999999999998</v>
      </c>
      <c r="S253" s="133"/>
      <c r="T253" s="313">
        <f>-0.5-1.44-0.54-1.4</f>
        <v>-3.88</v>
      </c>
      <c r="U253" s="232">
        <f>+V253-T253</f>
        <v>-4.0200000000000005</v>
      </c>
      <c r="V253" s="313">
        <f>-4.9-3</f>
        <v>-7.9</v>
      </c>
      <c r="W253" s="133"/>
      <c r="X253" s="313">
        <f>-0.8+2.4</f>
        <v>1.5999999999999999</v>
      </c>
      <c r="Y253" s="323">
        <f>+Z253-X253</f>
        <v>-3.01</v>
      </c>
      <c r="Z253" s="313">
        <f>-2.15+0.74</f>
        <v>-1.41</v>
      </c>
      <c r="AA253" s="133"/>
      <c r="AB253" s="313">
        <v>0</v>
      </c>
      <c r="AC253" s="323">
        <f>+AD253-AB253</f>
        <v>0</v>
      </c>
      <c r="AD253" s="313">
        <v>0</v>
      </c>
      <c r="AE253" s="133"/>
      <c r="AF253" s="313">
        <v>0</v>
      </c>
      <c r="AG253" s="323">
        <f>+AH253-AF253</f>
        <v>0</v>
      </c>
      <c r="AH253" s="343">
        <v>0</v>
      </c>
      <c r="AI253" s="133"/>
      <c r="AJ253" s="343">
        <v>0</v>
      </c>
      <c r="AK253" s="323">
        <f>+AL253-AJ253</f>
        <v>0</v>
      </c>
      <c r="AL253" s="343">
        <v>0</v>
      </c>
      <c r="AM253" s="133"/>
      <c r="AN253" s="313">
        <v>0</v>
      </c>
      <c r="AO253" s="323">
        <f>+AP253-AN253</f>
        <v>0</v>
      </c>
      <c r="AP253" s="313">
        <v>0</v>
      </c>
      <c r="AQ253" s="133"/>
      <c r="AR253" s="313">
        <v>0</v>
      </c>
      <c r="AS253" s="323">
        <f t="shared" ref="AS253" si="1469">+AT253-AR253</f>
        <v>0</v>
      </c>
      <c r="AT253" s="313">
        <v>0</v>
      </c>
      <c r="AU253" s="133"/>
      <c r="AV253" s="313">
        <v>0</v>
      </c>
      <c r="AW253" s="323">
        <f t="shared" ref="AW253" si="1470">+AX253-AV253</f>
        <v>0</v>
      </c>
      <c r="AX253" s="313">
        <v>0</v>
      </c>
      <c r="AY253" s="133"/>
      <c r="AZ253" s="313">
        <v>0</v>
      </c>
      <c r="BA253" s="323">
        <f t="shared" ref="BA253" si="1471">+BB253-AZ253</f>
        <v>0</v>
      </c>
      <c r="BB253" s="313">
        <v>0</v>
      </c>
      <c r="BC253" s="133"/>
      <c r="BD253" s="313">
        <v>0</v>
      </c>
      <c r="BE253" s="323">
        <f t="shared" ref="BE253" si="1472">+BF253-BD253</f>
        <v>0</v>
      </c>
      <c r="BF253" s="313">
        <v>0</v>
      </c>
      <c r="BG253" s="133"/>
      <c r="BH253" s="313">
        <v>0</v>
      </c>
      <c r="BI253" s="323">
        <f t="shared" ref="BI253" si="1473">+BJ253-BH253</f>
        <v>0</v>
      </c>
      <c r="BJ253" s="313">
        <v>0</v>
      </c>
      <c r="BK253" s="133"/>
      <c r="BL253" s="313">
        <v>0</v>
      </c>
      <c r="BM253" s="323">
        <f t="shared" ref="BM253" si="1474">+BN253-BL253</f>
        <v>0</v>
      </c>
      <c r="BN253" s="313">
        <v>0</v>
      </c>
      <c r="BO253" s="133"/>
      <c r="BP253" s="313">
        <v>0</v>
      </c>
      <c r="BQ253" s="323">
        <f t="shared" ref="BQ253" si="1475">+BR253-BP253</f>
        <v>0</v>
      </c>
      <c r="BR253" s="313">
        <v>0</v>
      </c>
      <c r="BS253" s="133"/>
      <c r="BT253" s="313">
        <v>0</v>
      </c>
      <c r="BU253" s="323">
        <f t="shared" si="1464"/>
        <v>0</v>
      </c>
      <c r="BV253" s="313">
        <v>0</v>
      </c>
      <c r="BW253" s="133"/>
      <c r="BX253" s="313">
        <v>0</v>
      </c>
      <c r="BY253" s="323">
        <f t="shared" si="1467"/>
        <v>0</v>
      </c>
      <c r="BZ253" s="313">
        <v>0</v>
      </c>
    </row>
    <row r="254" spans="1:78" s="135" customFormat="1">
      <c r="A254" s="134"/>
      <c r="B254" s="386" t="s">
        <v>606</v>
      </c>
      <c r="D254" s="323"/>
      <c r="E254" s="323"/>
      <c r="F254" s="323">
        <f>+F252+F253</f>
        <v>47.954999999999998</v>
      </c>
      <c r="G254" s="133"/>
      <c r="H254" s="323">
        <f>+H252+H253</f>
        <v>19.085000000000001</v>
      </c>
      <c r="I254" s="323">
        <f>+J254-H254</f>
        <v>30.080999999999996</v>
      </c>
      <c r="J254" s="323">
        <f>+J252+J253</f>
        <v>49.165999999999997</v>
      </c>
      <c r="K254" s="489">
        <f>+J254-J246</f>
        <v>0</v>
      </c>
      <c r="L254" s="323">
        <f>+L252+L253</f>
        <v>20.39</v>
      </c>
      <c r="M254" s="323">
        <f>+N254-L254</f>
        <v>30.509999999999998</v>
      </c>
      <c r="N254" s="323">
        <f>+N252+N253</f>
        <v>50.9</v>
      </c>
      <c r="O254" s="489">
        <f>+N254-N246</f>
        <v>0</v>
      </c>
      <c r="P254" s="323">
        <f>+P252+P253</f>
        <v>22.609000000000002</v>
      </c>
      <c r="Q254" s="323">
        <f>+R254-P254</f>
        <v>31.591000000000001</v>
      </c>
      <c r="R254" s="323">
        <f>+R252+R253</f>
        <v>54.2</v>
      </c>
      <c r="S254" s="489">
        <f>+R254-R246</f>
        <v>0</v>
      </c>
      <c r="T254" s="232">
        <f>+T252+T253</f>
        <v>23.220000000000002</v>
      </c>
      <c r="U254" s="232">
        <f>+V254-T254</f>
        <v>35.879999999999995</v>
      </c>
      <c r="V254" s="232">
        <f>+V252+V253</f>
        <v>59.1</v>
      </c>
      <c r="W254" s="489">
        <f>+V254-V246</f>
        <v>0</v>
      </c>
      <c r="X254" s="323">
        <f>+X252+X253</f>
        <v>39.300000000000004</v>
      </c>
      <c r="Y254" s="323">
        <f>+Z254-X254</f>
        <v>32.689999999999991</v>
      </c>
      <c r="Z254" s="323">
        <f>+Z252+Z253</f>
        <v>71.989999999999995</v>
      </c>
      <c r="AA254" s="722">
        <f>+Z254-Z240</f>
        <v>-1.0000000000005116E-2</v>
      </c>
      <c r="AB254" s="323">
        <f>+AB252+AB253</f>
        <v>40.824000000000005</v>
      </c>
      <c r="AC254" s="323">
        <f>+AD254-AB254</f>
        <v>45.375999999999998</v>
      </c>
      <c r="AD254" s="323">
        <f>+AD252+AD253</f>
        <v>86.2</v>
      </c>
      <c r="AE254" s="489">
        <f>+AD254-AD246</f>
        <v>0.10000000000000853</v>
      </c>
      <c r="AF254" s="323">
        <f>+AF252+AF253</f>
        <v>49.904899999999998</v>
      </c>
      <c r="AG254" s="323">
        <f>+AH254-AF254</f>
        <v>54.895099999999999</v>
      </c>
      <c r="AH254" s="323">
        <f>+AH252+AH253</f>
        <v>104.8</v>
      </c>
      <c r="AI254" s="489">
        <f>+AH254-AH246</f>
        <v>0</v>
      </c>
      <c r="AJ254" s="323">
        <f>+AJ252+AJ253</f>
        <v>59.032499999999999</v>
      </c>
      <c r="AK254" s="323">
        <f>+AL254-AJ254</f>
        <v>61.167500000000004</v>
      </c>
      <c r="AL254" s="323">
        <f>+AL252+AL253</f>
        <v>120.2</v>
      </c>
      <c r="AM254" s="489">
        <f>+AL254-AL246</f>
        <v>5.900000000001171E-2</v>
      </c>
      <c r="AN254" s="323">
        <f>+AN252+AN253</f>
        <v>65.914100000000005</v>
      </c>
      <c r="AO254" s="323">
        <f>+AP254-AN254</f>
        <v>69.626899999999992</v>
      </c>
      <c r="AP254" s="323">
        <f>+AP252+AP253</f>
        <v>135.541</v>
      </c>
      <c r="AQ254" s="489">
        <f t="shared" ref="AQ254" si="1476">+AP254-AP246</f>
        <v>-5.8999999999997499E-2</v>
      </c>
      <c r="AR254" s="323">
        <f t="shared" ref="AR254" si="1477">+AR252+AR253</f>
        <v>68.294140574999986</v>
      </c>
      <c r="AS254" s="323">
        <f t="shared" ref="AS254" si="1478">+AT254-AR254</f>
        <v>71.616617849999997</v>
      </c>
      <c r="AT254" s="323">
        <f t="shared" ref="AT254" si="1479">+AT252+AT253</f>
        <v>139.91075842499998</v>
      </c>
      <c r="AU254" s="489">
        <f t="shared" ref="AU254" si="1480">+AT254-AT246</f>
        <v>0</v>
      </c>
      <c r="AV254" s="323">
        <f t="shared" ref="AV254" si="1481">+AV252+AV253</f>
        <v>71.538903778799991</v>
      </c>
      <c r="AW254" s="323">
        <f t="shared" ref="AW254" si="1482">+AX254-AV254</f>
        <v>75.115648142951599</v>
      </c>
      <c r="AX254" s="323">
        <f t="shared" ref="AX254" si="1483">+AX252+AX253</f>
        <v>146.65455192175159</v>
      </c>
      <c r="AY254" s="489">
        <f t="shared" ref="AY254" si="1484">+AX254-AX246</f>
        <v>0</v>
      </c>
      <c r="AZ254" s="323">
        <f t="shared" ref="AZ254" si="1485">+AZ252+AZ253</f>
        <v>74.950409277929197</v>
      </c>
      <c r="BA254" s="323">
        <f t="shared" ref="BA254" si="1486">+BB254-AZ254</f>
        <v>78.900692086909402</v>
      </c>
      <c r="BB254" s="323">
        <f t="shared" ref="BB254" si="1487">+BB252+BB253</f>
        <v>153.8511013648386</v>
      </c>
      <c r="BC254" s="489">
        <f t="shared" ref="BC254" si="1488">+BB254-BB246</f>
        <v>0</v>
      </c>
      <c r="BD254" s="323">
        <f t="shared" ref="BD254" si="1489">+BD252+BD253</f>
        <v>77.443398028388472</v>
      </c>
      <c r="BE254" s="323">
        <f t="shared" ref="BE254" si="1490">+BF254-BD254</f>
        <v>81.666893977817679</v>
      </c>
      <c r="BF254" s="323">
        <f t="shared" ref="BF254" si="1491">+BF252+BF253</f>
        <v>159.11029200620615</v>
      </c>
      <c r="BG254" s="489">
        <f t="shared" ref="BG254" si="1492">+BF254-BF246</f>
        <v>0</v>
      </c>
      <c r="BH254" s="323">
        <f t="shared" ref="BH254" si="1493">+BH252+BH253</f>
        <v>80.043908698101973</v>
      </c>
      <c r="BI254" s="323">
        <f t="shared" ref="BI254" si="1494">+BJ254-BH254</f>
        <v>84.554278445002609</v>
      </c>
      <c r="BJ254" s="323">
        <f t="shared" ref="BJ254" si="1495">+BJ252+BJ253</f>
        <v>164.59818714310458</v>
      </c>
      <c r="BK254" s="489">
        <f t="shared" ref="BK254" si="1496">+BJ254-BJ246</f>
        <v>0</v>
      </c>
      <c r="BL254" s="323">
        <f t="shared" ref="BL254" si="1497">+BL252+BL253</f>
        <v>82.756974832666998</v>
      </c>
      <c r="BM254" s="323">
        <f t="shared" ref="BM254" si="1498">+BN254-BL254</f>
        <v>87.568562066912705</v>
      </c>
      <c r="BN254" s="323">
        <f t="shared" ref="BN254" si="1499">+BN252+BN253</f>
        <v>170.3255368995797</v>
      </c>
      <c r="BO254" s="489">
        <f t="shared" ref="BO254" si="1500">+BN254-BN246</f>
        <v>0</v>
      </c>
      <c r="BP254" s="323">
        <f t="shared" ref="BP254" si="1501">+BP252+BP253</f>
        <v>85.587874803953483</v>
      </c>
      <c r="BQ254" s="323">
        <f t="shared" ref="BQ254" si="1502">+BR254-BP254</f>
        <v>90.715740399911468</v>
      </c>
      <c r="BR254" s="323">
        <f t="shared" ref="BR254" si="1503">+BR252+BR253</f>
        <v>176.30361520386495</v>
      </c>
      <c r="BS254" s="489">
        <f t="shared" ref="BS254" si="1504">+BR254-BR246</f>
        <v>0</v>
      </c>
      <c r="BT254" s="323">
        <f t="shared" ref="BT254" si="1505">+BT252+BT253</f>
        <v>88.542143914397357</v>
      </c>
      <c r="BU254" s="323">
        <f t="shared" si="1464"/>
        <v>94.002101790153247</v>
      </c>
      <c r="BV254" s="323">
        <f t="shared" ref="BV254" si="1506">+BV252+BV253</f>
        <v>182.5442457045506</v>
      </c>
      <c r="BW254" s="489">
        <f t="shared" ref="BW254" si="1507">+BV254-BV246</f>
        <v>0</v>
      </c>
      <c r="BX254" s="323">
        <f t="shared" ref="BX254" si="1508">+BX252+BX253</f>
        <v>91.625587103768353</v>
      </c>
      <c r="BY254" s="323">
        <f t="shared" si="1467"/>
        <v>97.434241873312047</v>
      </c>
      <c r="BZ254" s="323">
        <f t="shared" ref="BZ254" si="1509">+BZ252+BZ253</f>
        <v>189.0598289770804</v>
      </c>
    </row>
    <row r="255" spans="1:78" s="135" customFormat="1">
      <c r="A255" s="278"/>
      <c r="B255" s="385"/>
      <c r="D255" s="323"/>
      <c r="E255" s="323"/>
      <c r="F255" s="323"/>
      <c r="G255" s="133"/>
      <c r="H255" s="323"/>
      <c r="I255" s="323"/>
      <c r="J255" s="323"/>
      <c r="K255" s="133"/>
      <c r="L255" s="323"/>
      <c r="M255" s="323"/>
      <c r="N255" s="323"/>
      <c r="O255" s="133"/>
      <c r="P255" s="323"/>
      <c r="Q255" s="323"/>
      <c r="R255" s="323"/>
      <c r="S255" s="133"/>
      <c r="T255" s="323"/>
      <c r="U255" s="323"/>
      <c r="V255" s="323"/>
      <c r="W255" s="133"/>
      <c r="X255" s="323"/>
      <c r="Y255" s="323"/>
      <c r="Z255" s="323"/>
      <c r="AA255" s="133"/>
      <c r="AB255" s="323"/>
      <c r="AC255" s="323"/>
      <c r="AD255" s="323"/>
      <c r="AE255" s="133"/>
      <c r="AF255" s="323"/>
      <c r="AG255" s="323"/>
      <c r="AH255" s="323"/>
      <c r="AI255" s="133"/>
      <c r="AJ255" s="232"/>
      <c r="AK255" s="323"/>
      <c r="AL255" s="323"/>
      <c r="AM255" s="133"/>
      <c r="AN255" s="232"/>
      <c r="AO255" s="232"/>
      <c r="AP255" s="232"/>
      <c r="AQ255" s="133"/>
      <c r="AR255" s="232"/>
      <c r="AS255" s="232"/>
      <c r="AT255" s="232"/>
      <c r="AU255" s="133"/>
      <c r="AV255" s="232"/>
      <c r="AW255" s="232"/>
      <c r="AX255" s="232"/>
      <c r="AY255" s="133"/>
      <c r="AZ255" s="232"/>
      <c r="BA255" s="232"/>
      <c r="BB255" s="232"/>
      <c r="BC255" s="133"/>
      <c r="BD255" s="232"/>
      <c r="BE255" s="232"/>
      <c r="BF255" s="232"/>
      <c r="BG255" s="133"/>
      <c r="BH255" s="232"/>
      <c r="BI255" s="232"/>
      <c r="BJ255" s="232"/>
      <c r="BK255" s="133"/>
      <c r="BL255" s="232"/>
      <c r="BM255" s="232"/>
      <c r="BN255" s="232"/>
      <c r="BO255" s="133"/>
      <c r="BP255" s="232"/>
      <c r="BQ255" s="232"/>
      <c r="BR255" s="232"/>
      <c r="BS255" s="133"/>
      <c r="BT255" s="232"/>
      <c r="BU255" s="232"/>
      <c r="BV255" s="232"/>
      <c r="BW255" s="133"/>
      <c r="BX255" s="232"/>
      <c r="BY255" s="232"/>
      <c r="BZ255" s="232"/>
    </row>
    <row r="256" spans="1:78" s="135" customFormat="1">
      <c r="A256" s="134"/>
      <c r="B256" s="150"/>
      <c r="D256" s="315"/>
      <c r="E256" s="315"/>
      <c r="F256" s="315"/>
      <c r="G256" s="133"/>
      <c r="H256" s="315"/>
      <c r="I256" s="315"/>
      <c r="J256" s="315"/>
      <c r="K256" s="133"/>
      <c r="L256" s="315"/>
      <c r="M256" s="315"/>
      <c r="N256" s="315"/>
      <c r="O256" s="133"/>
      <c r="P256" s="315"/>
      <c r="Q256" s="315"/>
      <c r="R256" s="315"/>
      <c r="S256" s="133"/>
      <c r="T256" s="315"/>
      <c r="U256" s="315"/>
      <c r="V256" s="315"/>
      <c r="W256" s="133"/>
      <c r="X256" s="315"/>
      <c r="Y256" s="315"/>
      <c r="Z256" s="315"/>
      <c r="AA256" s="133"/>
      <c r="AB256" s="315"/>
      <c r="AC256" s="315"/>
      <c r="AD256" s="384"/>
      <c r="AE256" s="133"/>
      <c r="AF256" s="384"/>
      <c r="AG256" s="315"/>
      <c r="AH256" s="232"/>
      <c r="AI256" s="133"/>
      <c r="AJ256" s="232"/>
      <c r="AK256" s="315"/>
      <c r="AL256" s="232"/>
      <c r="AM256" s="133"/>
      <c r="AN256" s="232"/>
      <c r="AO256" s="232"/>
      <c r="AP256" s="232"/>
      <c r="AQ256" s="133"/>
      <c r="AR256" s="232"/>
      <c r="AS256" s="232"/>
      <c r="AT256" s="232"/>
      <c r="AU256" s="133"/>
      <c r="AV256" s="232"/>
      <c r="AW256" s="232"/>
      <c r="AX256" s="232"/>
      <c r="AY256" s="133"/>
      <c r="AZ256" s="232"/>
      <c r="BA256" s="232"/>
      <c r="BB256" s="232"/>
      <c r="BC256" s="133"/>
      <c r="BD256" s="232"/>
      <c r="BE256" s="232"/>
      <c r="BF256" s="232"/>
      <c r="BG256" s="133"/>
      <c r="BH256" s="232"/>
      <c r="BI256" s="232"/>
      <c r="BJ256" s="232"/>
      <c r="BK256" s="133"/>
      <c r="BL256" s="232"/>
      <c r="BM256" s="232"/>
      <c r="BN256" s="232"/>
      <c r="BO256" s="133"/>
      <c r="BP256" s="232"/>
      <c r="BQ256" s="232"/>
      <c r="BR256" s="232"/>
      <c r="BS256" s="133"/>
      <c r="BT256" s="232"/>
      <c r="BU256" s="232"/>
      <c r="BV256" s="232"/>
      <c r="BW256" s="133"/>
      <c r="BX256" s="232"/>
      <c r="BY256" s="232"/>
      <c r="BZ256" s="232"/>
    </row>
    <row r="257" spans="1:78" s="346" customFormat="1">
      <c r="B257" s="389" t="s">
        <v>107</v>
      </c>
      <c r="D257" s="345"/>
      <c r="E257" s="345"/>
      <c r="F257" s="347">
        <f>+F254-F240</f>
        <v>0</v>
      </c>
      <c r="H257" s="347">
        <f>+H254-H240</f>
        <v>0</v>
      </c>
      <c r="I257" s="347">
        <f>+I254-I240</f>
        <v>0</v>
      </c>
      <c r="J257" s="347">
        <f>+J254-J240</f>
        <v>0</v>
      </c>
      <c r="L257" s="347">
        <f>+L254-L240</f>
        <v>0</v>
      </c>
      <c r="M257" s="347">
        <f>+M254-M240</f>
        <v>0</v>
      </c>
      <c r="N257" s="347">
        <f>+N254-N240</f>
        <v>0</v>
      </c>
      <c r="P257" s="347">
        <f>+P254-P240</f>
        <v>-1.9909999999999997</v>
      </c>
      <c r="Q257" s="347">
        <f>+Q254-Q240</f>
        <v>1.9909999999999997</v>
      </c>
      <c r="R257" s="347">
        <f>+R254-R240</f>
        <v>0</v>
      </c>
      <c r="T257" s="347">
        <f>+T254-T240</f>
        <v>-1.379999999999999</v>
      </c>
      <c r="U257" s="347">
        <f>+U254-U240</f>
        <v>1.3799999999999955</v>
      </c>
      <c r="V257" s="347">
        <f>+V254-V240</f>
        <v>0</v>
      </c>
      <c r="X257" s="347">
        <f>+X254-X240</f>
        <v>4.3000000000000043</v>
      </c>
      <c r="Y257" s="347">
        <f>+Y254-Y240</f>
        <v>-4.3100000000000094</v>
      </c>
      <c r="Z257" s="347">
        <f>+Z254-Z240</f>
        <v>-1.0000000000005116E-2</v>
      </c>
      <c r="AB257" s="347">
        <f>+AB254-AB240</f>
        <v>2.524000000000008</v>
      </c>
      <c r="AC257" s="347">
        <f>+AC254-AC240</f>
        <v>-2.4239999999999995</v>
      </c>
      <c r="AD257" s="347">
        <f>+AD254-AD240</f>
        <v>0.10000000000000853</v>
      </c>
      <c r="AF257" s="347">
        <f>+AF254-AF240</f>
        <v>4.8999999999992383E-3</v>
      </c>
      <c r="AG257" s="347">
        <f>+AG254-AG240</f>
        <v>-4.8999999999992383E-3</v>
      </c>
      <c r="AH257" s="347">
        <f>+AH254-AH240</f>
        <v>0</v>
      </c>
      <c r="AJ257" s="347">
        <f>+AJ254-AJ240</f>
        <v>-6.7500000000002558E-2</v>
      </c>
      <c r="AK257" s="347">
        <f>+AK254-AK240</f>
        <v>0.12650000000001427</v>
      </c>
      <c r="AL257" s="347">
        <f>+AL254-AL240</f>
        <v>5.900000000001171E-2</v>
      </c>
      <c r="AN257" s="347">
        <f>+AN254-AN240</f>
        <v>1.4099999999999113E-2</v>
      </c>
      <c r="AO257" s="347">
        <f>+AO254-AO240</f>
        <v>-7.3099999999996612E-2</v>
      </c>
      <c r="AP257" s="347">
        <f>+AP254-AP240</f>
        <v>-5.8999999999997499E-2</v>
      </c>
      <c r="AR257" s="345"/>
      <c r="AS257" s="345"/>
      <c r="AT257" s="345"/>
      <c r="AV257" s="345"/>
      <c r="AW257" s="345"/>
      <c r="AX257" s="345"/>
      <c r="AZ257" s="345"/>
      <c r="BA257" s="345"/>
      <c r="BB257" s="345"/>
      <c r="BD257" s="345"/>
      <c r="BE257" s="345"/>
      <c r="BF257" s="345"/>
      <c r="BH257" s="345"/>
      <c r="BI257" s="345"/>
      <c r="BJ257" s="345"/>
      <c r="BL257" s="345"/>
      <c r="BM257" s="345"/>
      <c r="BN257" s="345"/>
      <c r="BP257" s="345"/>
      <c r="BQ257" s="345"/>
      <c r="BR257" s="345"/>
      <c r="BT257" s="345"/>
      <c r="BU257" s="345"/>
      <c r="BV257" s="345"/>
      <c r="BX257" s="345"/>
      <c r="BY257" s="345"/>
      <c r="BZ257" s="345"/>
    </row>
    <row r="258" spans="1:78" s="685" customFormat="1">
      <c r="B258" s="686" t="s">
        <v>611</v>
      </c>
      <c r="D258" s="687">
        <f>+D221+D224+D236+D239-D240</f>
        <v>0</v>
      </c>
      <c r="E258" s="687">
        <f>+E221+E224+E236+E239-E240</f>
        <v>0</v>
      </c>
      <c r="F258" s="687">
        <f>+F221+F224+F236+F239-F240</f>
        <v>0</v>
      </c>
      <c r="H258" s="687">
        <f>+H221+H224+H236+H239-H240</f>
        <v>0</v>
      </c>
      <c r="I258" s="687">
        <f>+I221+I224+I236+I239-I240</f>
        <v>0</v>
      </c>
      <c r="J258" s="687">
        <f>+J221+J224+J236+J239-J240</f>
        <v>-5.6843418860808015E-14</v>
      </c>
      <c r="L258" s="687">
        <f>+L221+L224+L236+L239-L240</f>
        <v>0</v>
      </c>
      <c r="M258" s="687">
        <f>+M221+M224+M236+M239-M240</f>
        <v>0</v>
      </c>
      <c r="N258" s="687">
        <f>+N221+N224+N236+N239-N240</f>
        <v>0</v>
      </c>
      <c r="P258" s="687">
        <f>+P221+P224+P236+P239-P240</f>
        <v>0</v>
      </c>
      <c r="Q258" s="687">
        <f>+Q221+Q224+Q236+Q239-Q240</f>
        <v>0</v>
      </c>
      <c r="R258" s="687">
        <f>+R221+R224+R236+R239-R240</f>
        <v>0</v>
      </c>
      <c r="T258" s="687">
        <f>+T221+T224+T236+T239-T240</f>
        <v>0</v>
      </c>
      <c r="U258" s="687">
        <f>+U221+U224+U236+U239-U240</f>
        <v>0</v>
      </c>
      <c r="V258" s="687">
        <f>+V221+V224+V236+V239-V240</f>
        <v>0</v>
      </c>
      <c r="X258" s="687">
        <f>+X221+X224+X236+X239-X240</f>
        <v>0</v>
      </c>
      <c r="Y258" s="687">
        <f>+Y221+Y224+Y236+Y239-Y240</f>
        <v>0</v>
      </c>
      <c r="Z258" s="687">
        <f>+Z221+Z224+Z236+Z239-Z240</f>
        <v>0</v>
      </c>
      <c r="AB258" s="687">
        <f>+AB221+AB224+AB236+AB239-AB240</f>
        <v>0</v>
      </c>
      <c r="AC258" s="687">
        <f>+AC221+AC224+AC236+AC239-AC240</f>
        <v>0</v>
      </c>
      <c r="AD258" s="687">
        <f>+AD221+AD224+AD236+AD239-AD240</f>
        <v>0</v>
      </c>
      <c r="AF258" s="687">
        <f>+AF221+AF224+AF236+AF239-AF240</f>
        <v>0</v>
      </c>
      <c r="AG258" s="687">
        <f>+AG221+AG224+AG236+AG239-AG240</f>
        <v>0</v>
      </c>
      <c r="AH258" s="687">
        <f>+AH221+AH224+AH236+AH239-AH240</f>
        <v>0</v>
      </c>
      <c r="AJ258" s="687">
        <f>+AJ221+AJ224+AJ236+AJ239-AJ240</f>
        <v>0</v>
      </c>
      <c r="AK258" s="687">
        <f>+AK221+AK224+AK236+AK239-AK240</f>
        <v>0</v>
      </c>
      <c r="AL258" s="687">
        <f>+AL221+AL224+AL236+AL239-AL240</f>
        <v>0</v>
      </c>
      <c r="AN258" s="687">
        <f>+AN221+AN224+AN236+AN239-AN240</f>
        <v>0</v>
      </c>
      <c r="AO258" s="687">
        <f>+AO221+AO224+AO236+AO239-AO240</f>
        <v>0</v>
      </c>
      <c r="AP258" s="687">
        <f>+AP221+AP224+AP236+AP239-AP240</f>
        <v>0</v>
      </c>
      <c r="AR258" s="687">
        <f>+AR221+AR224+AR236+AR239-AR240</f>
        <v>0</v>
      </c>
      <c r="AS258" s="687">
        <f>+AS221+AS224+AS236+AS239-AS240</f>
        <v>0</v>
      </c>
      <c r="AT258" s="687">
        <f>+AT221+AT224+AT236+AT239-AT240</f>
        <v>0</v>
      </c>
      <c r="AV258" s="687">
        <f>+AV221+AV224+AV236+AV239-AV240</f>
        <v>0</v>
      </c>
      <c r="AW258" s="687">
        <f>+AW221+AW224+AW236+AW239-AW240</f>
        <v>0</v>
      </c>
      <c r="AX258" s="687">
        <f>+AX221+AX224+AX236+AX239-AX240</f>
        <v>0</v>
      </c>
      <c r="AZ258" s="687">
        <f>+AZ221+AZ224+AZ236+AZ239-AZ240</f>
        <v>0</v>
      </c>
      <c r="BA258" s="687">
        <f>+BA221+BA224+BA236+BA239-BA240</f>
        <v>0</v>
      </c>
      <c r="BB258" s="687">
        <f>+BB221+BB224+BB236+BB239-BB240</f>
        <v>0</v>
      </c>
      <c r="BD258" s="687">
        <f>+BD221+BD224+BD236+BD239-BD240</f>
        <v>0</v>
      </c>
      <c r="BE258" s="687">
        <f>+BE221+BE224+BE236+BE239-BE240</f>
        <v>0</v>
      </c>
      <c r="BF258" s="687">
        <f>+BF221+BF224+BF236+BF239-BF240</f>
        <v>0</v>
      </c>
      <c r="BH258" s="687">
        <f>+BH221+BH224+BH236+BH239-BH240</f>
        <v>0</v>
      </c>
      <c r="BI258" s="687">
        <f>+BI221+BI224+BI236+BI239-BI240</f>
        <v>0</v>
      </c>
      <c r="BJ258" s="687">
        <f>+BJ221+BJ224+BJ236+BJ239-BJ240</f>
        <v>0</v>
      </c>
      <c r="BL258" s="687">
        <f>+BL221+BL224+BL236+BL239-BL240</f>
        <v>0</v>
      </c>
      <c r="BM258" s="687">
        <f>+BM221+BM224+BM236+BM239-BM240</f>
        <v>0</v>
      </c>
      <c r="BN258" s="687">
        <f>+BN221+BN224+BN236+BN239-BN240</f>
        <v>0</v>
      </c>
      <c r="BP258" s="687">
        <f>+BP221+BP224+BP236+BP239-BP240</f>
        <v>0</v>
      </c>
      <c r="BQ258" s="687">
        <f>+BQ221+BQ224+BQ236+BQ239-BQ240</f>
        <v>0</v>
      </c>
      <c r="BR258" s="687">
        <f>+BR221+BR224+BR236+BR239-BR240</f>
        <v>0</v>
      </c>
      <c r="BT258" s="687">
        <f>+BT221+BT224+BT236+BT239-BT240</f>
        <v>0</v>
      </c>
      <c r="BU258" s="687">
        <f>+BU221+BU224+BU236+BU239-BU240</f>
        <v>0</v>
      </c>
      <c r="BV258" s="687">
        <f>+BV221+BV224+BV236+BV239-BV240</f>
        <v>0</v>
      </c>
      <c r="BX258" s="687">
        <f>+BX221+BX224+BX236+BX239-BX240</f>
        <v>0</v>
      </c>
      <c r="BY258" s="687">
        <f>+BY221+BY224+BY236+BY239-BY240</f>
        <v>0</v>
      </c>
      <c r="BZ258" s="687">
        <f>+BZ221+BZ224+BZ236+BZ239-BZ240</f>
        <v>0</v>
      </c>
    </row>
    <row r="259" spans="1:78" s="346" customFormat="1">
      <c r="B259" s="389" t="s">
        <v>278</v>
      </c>
      <c r="D259" s="345">
        <v>-2.6601666666666688</v>
      </c>
      <c r="E259" s="345">
        <v>2.669166666666662</v>
      </c>
      <c r="F259" s="345">
        <v>0</v>
      </c>
      <c r="H259" s="345">
        <v>-2.6601666666666688</v>
      </c>
      <c r="I259" s="345">
        <v>2.669166666666662</v>
      </c>
      <c r="J259" s="345">
        <v>0</v>
      </c>
      <c r="L259" s="345">
        <v>-2.6601666666666688</v>
      </c>
      <c r="M259" s="345">
        <v>2.669166666666662</v>
      </c>
      <c r="N259" s="345">
        <v>0</v>
      </c>
      <c r="P259" s="345">
        <v>-2.6601666666666688</v>
      </c>
      <c r="Q259" s="345">
        <v>2.669166666666662</v>
      </c>
      <c r="R259" s="345">
        <v>0</v>
      </c>
      <c r="T259" s="345">
        <v>-4.4000000000000483E-2</v>
      </c>
      <c r="U259" s="345">
        <v>0</v>
      </c>
      <c r="V259" s="345">
        <v>-9.9999999999980105E-3</v>
      </c>
      <c r="X259" s="345">
        <v>-1.8999999999998352E-2</v>
      </c>
      <c r="Y259" s="345">
        <v>-1.5000000000000568E-2</v>
      </c>
      <c r="Z259" s="345">
        <v>-3.4000000000006025E-2</v>
      </c>
      <c r="AB259" s="345">
        <v>1.2000000000000455E-2</v>
      </c>
      <c r="AC259" s="345">
        <v>3.7000000000006139E-2</v>
      </c>
      <c r="AD259" s="345">
        <v>4.9000000000006594E-2</v>
      </c>
      <c r="AF259" s="345">
        <v>1.2000000000000455E-2</v>
      </c>
      <c r="AG259" s="345">
        <v>3.7000000000006139E-2</v>
      </c>
      <c r="AH259" s="345">
        <v>4.9000000000006594E-2</v>
      </c>
      <c r="AJ259" s="345"/>
      <c r="AK259" s="345"/>
      <c r="AL259" s="345"/>
      <c r="AN259" s="345"/>
      <c r="AO259" s="345"/>
      <c r="AP259" s="345"/>
      <c r="AR259" s="345"/>
      <c r="AS259" s="345"/>
      <c r="AT259" s="345"/>
      <c r="AV259" s="345"/>
      <c r="AW259" s="345"/>
      <c r="AX259" s="345"/>
      <c r="AZ259" s="345"/>
      <c r="BA259" s="345"/>
      <c r="BB259" s="345"/>
      <c r="BD259" s="345"/>
      <c r="BE259" s="345"/>
      <c r="BF259" s="345"/>
      <c r="BH259" s="345"/>
      <c r="BI259" s="345"/>
      <c r="BJ259" s="345"/>
      <c r="BL259" s="345"/>
      <c r="BM259" s="345"/>
      <c r="BN259" s="345"/>
      <c r="BP259" s="345"/>
      <c r="BQ259" s="345"/>
      <c r="BR259" s="345"/>
      <c r="BT259" s="345"/>
      <c r="BU259" s="345"/>
      <c r="BV259" s="345"/>
      <c r="BX259" s="345"/>
      <c r="BY259" s="345"/>
      <c r="BZ259" s="345"/>
    </row>
    <row r="260" spans="1:78">
      <c r="D260" s="183"/>
      <c r="E260" s="182"/>
      <c r="F260" s="182"/>
      <c r="G260" s="182"/>
      <c r="H260" s="183"/>
      <c r="I260" s="182"/>
      <c r="J260" s="182"/>
      <c r="K260" s="182"/>
      <c r="L260" s="183"/>
      <c r="M260" s="182"/>
      <c r="N260" s="182"/>
      <c r="O260" s="182"/>
      <c r="P260" s="183"/>
      <c r="Q260" s="182"/>
      <c r="R260" s="182"/>
      <c r="S260" s="182"/>
      <c r="T260" s="183"/>
      <c r="U260" s="182"/>
      <c r="V260" s="182"/>
      <c r="W260" s="182"/>
      <c r="X260" s="183"/>
      <c r="Y260" s="182"/>
      <c r="Z260" s="182"/>
      <c r="AA260" s="182"/>
      <c r="AB260" s="182"/>
      <c r="AC260" s="182"/>
      <c r="AD260" s="182"/>
      <c r="AE260" s="182"/>
      <c r="AF260" s="182"/>
      <c r="AG260" s="182"/>
      <c r="AH260" s="182"/>
      <c r="AI260" s="182"/>
      <c r="AJ260" s="182"/>
      <c r="AK260" s="182"/>
      <c r="AL260" s="182"/>
      <c r="AM260" s="182"/>
      <c r="AN260" s="182"/>
      <c r="AO260" s="182"/>
      <c r="AP260" s="182"/>
      <c r="AQ260" s="182"/>
      <c r="AR260" s="182"/>
      <c r="AS260" s="182"/>
      <c r="AT260" s="182"/>
      <c r="AU260" s="182"/>
      <c r="AV260" s="182"/>
      <c r="AW260" s="182"/>
      <c r="AX260" s="182"/>
      <c r="AY260" s="182"/>
      <c r="AZ260" s="182"/>
      <c r="BA260" s="182"/>
      <c r="BB260" s="182"/>
      <c r="BC260" s="182"/>
      <c r="BD260" s="182"/>
      <c r="BE260" s="182"/>
      <c r="BF260" s="182"/>
      <c r="BG260" s="182"/>
      <c r="BH260" s="182"/>
      <c r="BI260" s="182"/>
      <c r="BJ260" s="182"/>
      <c r="BK260" s="182"/>
      <c r="BL260" s="182"/>
      <c r="BM260" s="182"/>
      <c r="BN260" s="182"/>
      <c r="BO260" s="182"/>
      <c r="BP260" s="182"/>
      <c r="BQ260" s="182"/>
      <c r="BR260" s="182"/>
      <c r="BS260" s="182"/>
      <c r="BT260" s="182"/>
      <c r="BU260" s="182"/>
      <c r="BV260" s="182"/>
      <c r="BW260" s="182"/>
      <c r="BX260" s="182"/>
      <c r="BY260" s="182"/>
      <c r="BZ260" s="182"/>
    </row>
    <row r="261" spans="1:78" s="229" customFormat="1" ht="15.6">
      <c r="A261" s="228"/>
      <c r="B261" s="576" t="s">
        <v>183</v>
      </c>
    </row>
    <row r="263" spans="1:78" s="135" customFormat="1">
      <c r="B263" s="151" t="s">
        <v>258</v>
      </c>
      <c r="D263" s="325"/>
      <c r="E263" s="325"/>
      <c r="F263" s="325"/>
      <c r="G263" s="325"/>
      <c r="H263" s="325"/>
      <c r="I263" s="325"/>
      <c r="J263" s="325"/>
      <c r="K263" s="325"/>
      <c r="L263" s="325"/>
      <c r="M263" s="325"/>
      <c r="N263" s="325"/>
      <c r="O263" s="325"/>
      <c r="P263" s="325"/>
      <c r="Q263" s="325"/>
      <c r="R263" s="325"/>
      <c r="S263" s="325"/>
      <c r="T263" s="325"/>
      <c r="V263" s="313">
        <v>344</v>
      </c>
      <c r="AL263" s="299"/>
    </row>
    <row r="264" spans="1:78" s="135" customFormat="1">
      <c r="B264" s="151" t="s">
        <v>356</v>
      </c>
      <c r="D264" s="325"/>
      <c r="E264" s="325"/>
      <c r="F264" s="325"/>
      <c r="G264" s="325"/>
      <c r="H264" s="325"/>
      <c r="I264" s="325"/>
      <c r="J264" s="325"/>
      <c r="K264" s="325"/>
      <c r="L264" s="325"/>
      <c r="M264" s="325"/>
      <c r="N264" s="325"/>
      <c r="O264" s="325"/>
      <c r="P264" s="325"/>
      <c r="Q264" s="325"/>
      <c r="R264" s="325"/>
      <c r="S264" s="325"/>
      <c r="T264" s="325"/>
      <c r="V264" s="313"/>
      <c r="X264" s="383">
        <v>131</v>
      </c>
      <c r="Y264" s="135">
        <f>+Z264</f>
        <v>151</v>
      </c>
      <c r="Z264" s="383">
        <v>151</v>
      </c>
      <c r="AB264" s="383">
        <v>168</v>
      </c>
      <c r="AC264" s="135">
        <f>+AD264</f>
        <v>179</v>
      </c>
      <c r="AD264" s="383">
        <v>179</v>
      </c>
      <c r="AF264" s="383">
        <v>194</v>
      </c>
      <c r="AG264" s="135">
        <f>+AH264</f>
        <v>208</v>
      </c>
      <c r="AH264" s="383">
        <v>208</v>
      </c>
      <c r="AJ264" s="383">
        <f>+AF264*1.21</f>
        <v>234.73999999999998</v>
      </c>
      <c r="AK264" s="135">
        <f>+AL264</f>
        <v>241</v>
      </c>
      <c r="AL264" s="383">
        <v>241</v>
      </c>
      <c r="AN264" s="803">
        <v>255</v>
      </c>
      <c r="AO264" s="135">
        <f>+AP264</f>
        <v>271</v>
      </c>
      <c r="AP264" s="918">
        <v>271</v>
      </c>
    </row>
    <row r="265" spans="1:78" s="220" customFormat="1">
      <c r="A265" s="660"/>
      <c r="B265" s="658" t="s">
        <v>703</v>
      </c>
      <c r="C265" s="675"/>
      <c r="D265" s="676"/>
      <c r="E265" s="676"/>
      <c r="F265" s="676"/>
      <c r="G265" s="676"/>
      <c r="H265" s="676"/>
      <c r="I265" s="676"/>
      <c r="J265" s="676"/>
      <c r="K265" s="676"/>
      <c r="L265" s="676"/>
      <c r="M265" s="676"/>
      <c r="N265" s="676"/>
      <c r="O265" s="676"/>
      <c r="P265" s="676"/>
      <c r="Q265" s="676"/>
      <c r="R265" s="676"/>
      <c r="S265" s="676"/>
      <c r="T265" s="676"/>
      <c r="W265" s="675"/>
      <c r="Y265" s="315" t="e">
        <f>+Y264/U264-1</f>
        <v>#DIV/0!</v>
      </c>
      <c r="Z265" s="315" t="e">
        <f>+Z264/V264-1</f>
        <v>#DIV/0!</v>
      </c>
      <c r="AA265" s="675"/>
      <c r="AB265" s="315">
        <f>+AB264/X264-1</f>
        <v>0.28244274809160297</v>
      </c>
      <c r="AC265" s="315">
        <f>+AC264/Y264-1</f>
        <v>0.185430463576159</v>
      </c>
      <c r="AD265" s="315">
        <f>+AD264/Z264-1</f>
        <v>0.185430463576159</v>
      </c>
      <c r="AF265" s="374">
        <f>+AF264/AB264-1</f>
        <v>0.15476190476190466</v>
      </c>
      <c r="AG265" s="315">
        <f>+AG264/AC264-1</f>
        <v>0.16201117318435765</v>
      </c>
      <c r="AH265" s="315">
        <f>+AH264/AD264-1</f>
        <v>0.16201117318435765</v>
      </c>
      <c r="AJ265" s="374">
        <f>+AJ264/AF264-1</f>
        <v>0.20999999999999996</v>
      </c>
      <c r="AK265" s="315">
        <f>+AK264/AG264-1</f>
        <v>0.15865384615384626</v>
      </c>
      <c r="AL265" s="374">
        <f>+AL264/AH264-1</f>
        <v>0.15865384615384626</v>
      </c>
      <c r="AN265" s="315">
        <f>+AN264/AJ264-1</f>
        <v>8.6308255942745271E-2</v>
      </c>
      <c r="AO265" s="315">
        <f>+AO264/AK264-1</f>
        <v>0.12448132780082988</v>
      </c>
      <c r="AP265" s="374">
        <f>+AP264/AL264-1</f>
        <v>0.12448132780082988</v>
      </c>
      <c r="AQ265" s="135"/>
      <c r="AR265" s="135"/>
      <c r="AS265" s="135"/>
      <c r="AT265" s="135"/>
      <c r="AU265" s="135"/>
      <c r="AV265" s="135"/>
      <c r="AW265" s="135"/>
      <c r="AX265" s="135"/>
      <c r="AY265" s="135"/>
      <c r="AZ265" s="135"/>
      <c r="BA265" s="135"/>
      <c r="BB265" s="135"/>
      <c r="BC265" s="135"/>
      <c r="BD265" s="135"/>
      <c r="BE265" s="135"/>
      <c r="BF265" s="135"/>
      <c r="BG265" s="135"/>
      <c r="BH265" s="135"/>
      <c r="BI265" s="135"/>
      <c r="BJ265" s="135"/>
      <c r="BK265" s="135"/>
      <c r="BL265" s="135"/>
      <c r="BM265" s="135"/>
      <c r="BN265" s="135"/>
      <c r="BO265" s="135"/>
      <c r="BP265" s="135"/>
      <c r="BQ265" s="135"/>
      <c r="BR265" s="135"/>
      <c r="BS265" s="135"/>
      <c r="BT265" s="135"/>
      <c r="BU265" s="135"/>
      <c r="BV265" s="135"/>
      <c r="BW265" s="135"/>
      <c r="BX265" s="135"/>
      <c r="BY265" s="135"/>
      <c r="BZ265" s="135"/>
    </row>
    <row r="266" spans="1:78">
      <c r="D266" s="325"/>
      <c r="E266" s="325"/>
      <c r="F266" s="325"/>
      <c r="G266" s="325"/>
      <c r="H266" s="325"/>
      <c r="I266" s="325"/>
      <c r="J266" s="325"/>
      <c r="K266" s="325"/>
      <c r="L266" s="325"/>
      <c r="M266" s="325"/>
      <c r="N266" s="325"/>
      <c r="O266" s="325"/>
      <c r="P266" s="325"/>
      <c r="Q266" s="325"/>
      <c r="R266" s="325"/>
      <c r="S266" s="325"/>
      <c r="T266" s="325"/>
      <c r="AL266" s="256"/>
      <c r="AP266" s="256"/>
      <c r="AQ266" s="135"/>
      <c r="AR266" s="135"/>
      <c r="AS266" s="135"/>
      <c r="AT266" s="135"/>
      <c r="AU266" s="135"/>
      <c r="AV266" s="135"/>
      <c r="AW266" s="135"/>
      <c r="AX266" s="135"/>
      <c r="AY266" s="135"/>
      <c r="AZ266" s="135"/>
      <c r="BA266" s="135"/>
      <c r="BB266" s="135"/>
      <c r="BC266" s="135"/>
      <c r="BD266" s="135"/>
      <c r="BE266" s="135"/>
      <c r="BF266" s="135"/>
      <c r="BG266" s="135"/>
      <c r="BH266" s="135"/>
      <c r="BI266" s="135"/>
      <c r="BJ266" s="135"/>
      <c r="BK266" s="135"/>
      <c r="BL266" s="135"/>
      <c r="BM266" s="135"/>
      <c r="BN266" s="135"/>
      <c r="BO266" s="135"/>
      <c r="BP266" s="135"/>
      <c r="BQ266" s="135"/>
      <c r="BR266" s="135"/>
      <c r="BS266" s="135"/>
      <c r="BT266" s="135"/>
      <c r="BU266" s="135"/>
      <c r="BV266" s="135"/>
      <c r="BW266" s="135"/>
      <c r="BX266" s="135"/>
      <c r="BY266" s="135"/>
      <c r="BZ266" s="135"/>
    </row>
    <row r="267" spans="1:78" s="140" customFormat="1" ht="14.4" thickBot="1">
      <c r="A267" s="149"/>
      <c r="B267" s="149" t="s">
        <v>184</v>
      </c>
      <c r="C267" s="171"/>
      <c r="D267" s="325"/>
      <c r="E267" s="325"/>
      <c r="F267" s="325"/>
      <c r="G267" s="325"/>
      <c r="H267" s="325"/>
      <c r="I267" s="325"/>
      <c r="J267" s="325"/>
      <c r="K267" s="325"/>
      <c r="L267" s="325"/>
      <c r="M267" s="325"/>
      <c r="N267" s="325"/>
      <c r="O267" s="325"/>
      <c r="P267" s="325"/>
      <c r="Q267" s="325"/>
      <c r="R267" s="325"/>
      <c r="S267" s="325"/>
      <c r="T267" s="325"/>
      <c r="U267" s="232">
        <f>V267</f>
        <v>19.600000000000001</v>
      </c>
      <c r="V267" s="313">
        <v>19.600000000000001</v>
      </c>
      <c r="W267" s="171"/>
      <c r="X267" s="313">
        <v>27.9</v>
      </c>
      <c r="Y267" s="232">
        <f>Z267-X267</f>
        <v>30.800000000000004</v>
      </c>
      <c r="Z267" s="313">
        <v>58.7</v>
      </c>
      <c r="AA267" s="171"/>
      <c r="AB267" s="313">
        <v>33.299999999999997</v>
      </c>
      <c r="AC267" s="232">
        <f>AD267-AB267</f>
        <v>36.430000000000007</v>
      </c>
      <c r="AD267" s="313">
        <v>69.73</v>
      </c>
      <c r="AF267" s="343">
        <v>37.6</v>
      </c>
      <c r="AG267" s="232">
        <f>AH267-AF267</f>
        <v>42.449000000000005</v>
      </c>
      <c r="AH267" s="343">
        <v>80.049000000000007</v>
      </c>
      <c r="AJ267" s="343">
        <v>43.1</v>
      </c>
      <c r="AK267" s="232">
        <f>AL267-AJ267</f>
        <v>48.919999999999995</v>
      </c>
      <c r="AL267" s="343">
        <v>92.02</v>
      </c>
      <c r="AN267" s="313">
        <v>50.2</v>
      </c>
      <c r="AO267" s="232">
        <f>AP267-AN267</f>
        <v>55.599999999999994</v>
      </c>
      <c r="AP267" s="913">
        <v>105.8</v>
      </c>
      <c r="AR267" s="232">
        <f>+AN267*(1+AR268)</f>
        <v>55.220000000000006</v>
      </c>
      <c r="AS267" s="232">
        <f>+AO267*(1+AS268)</f>
        <v>61.16</v>
      </c>
      <c r="AT267" s="232">
        <f>+AR267+AS267</f>
        <v>116.38</v>
      </c>
      <c r="AV267" s="232">
        <f>+AR267*(1+AV268)</f>
        <v>60.742000000000012</v>
      </c>
      <c r="AW267" s="232">
        <f>+AS267*(1+AW268)</f>
        <v>67.275999999999996</v>
      </c>
      <c r="AX267" s="232">
        <f>+AV267+AW267</f>
        <v>128.018</v>
      </c>
      <c r="AZ267" s="232">
        <f>+AV267*(1+AZ268)</f>
        <v>66.816200000000023</v>
      </c>
      <c r="BA267" s="232">
        <f>+AW267*(1+BA268)</f>
        <v>74.003600000000006</v>
      </c>
      <c r="BB267" s="232">
        <f>+AZ267+BA267</f>
        <v>140.81980000000004</v>
      </c>
      <c r="BD267" s="232">
        <f>+AZ267*(1+BD268)</f>
        <v>70.825172000000023</v>
      </c>
      <c r="BE267" s="232">
        <f>+BA267*(1+BE268)</f>
        <v>78.443816000000012</v>
      </c>
      <c r="BF267" s="232">
        <f>+BD267+BE267</f>
        <v>149.26898800000004</v>
      </c>
      <c r="BH267" s="232">
        <f>+BD267*(1+BH268)</f>
        <v>75.074682320000022</v>
      </c>
      <c r="BI267" s="232">
        <f>+BE267*(1+BI268)</f>
        <v>83.150444960000016</v>
      </c>
      <c r="BJ267" s="232">
        <f>+BH267+BI267</f>
        <v>158.22512728000004</v>
      </c>
      <c r="BL267" s="232">
        <f>+BH267*(1+BL268)</f>
        <v>79.57916325920003</v>
      </c>
      <c r="BM267" s="232">
        <f>+BI267*(1+BM268)</f>
        <v>88.139471657600026</v>
      </c>
      <c r="BN267" s="232">
        <f>+BL267+BM267</f>
        <v>167.71863491680006</v>
      </c>
      <c r="BP267" s="232">
        <f>+BL267*(1+BP268)</f>
        <v>84.353913054752041</v>
      </c>
      <c r="BQ267" s="232">
        <f>+BM267*(1+BQ268)</f>
        <v>93.427839957056037</v>
      </c>
      <c r="BR267" s="232">
        <f>+BP267+BQ267</f>
        <v>177.78175301180806</v>
      </c>
      <c r="BT267" s="232">
        <f>+BP267*(1+BT268)</f>
        <v>89.415147838037171</v>
      </c>
      <c r="BU267" s="232">
        <f>+BQ267*(1+BU268)</f>
        <v>99.033510354479404</v>
      </c>
      <c r="BV267" s="232">
        <f>+BT267+BU267</f>
        <v>188.44865819251658</v>
      </c>
      <c r="BX267" s="232">
        <f>+BT267*(1+BX268)</f>
        <v>94.780056708319407</v>
      </c>
      <c r="BY267" s="232">
        <f>+BU267*(1+BY268)</f>
        <v>104.97552097574817</v>
      </c>
      <c r="BZ267" s="232">
        <f>+BX267+BY267</f>
        <v>199.75557768406759</v>
      </c>
    </row>
    <row r="268" spans="1:78" s="220" customFormat="1" ht="14.4" thickBot="1">
      <c r="A268" s="660"/>
      <c r="B268" s="658" t="s">
        <v>249</v>
      </c>
      <c r="C268" s="675"/>
      <c r="D268" s="676"/>
      <c r="E268" s="676"/>
      <c r="F268" s="676"/>
      <c r="G268" s="676"/>
      <c r="H268" s="676"/>
      <c r="I268" s="676"/>
      <c r="J268" s="676"/>
      <c r="K268" s="676"/>
      <c r="L268" s="676"/>
      <c r="M268" s="676"/>
      <c r="N268" s="676"/>
      <c r="O268" s="676"/>
      <c r="P268" s="676"/>
      <c r="Q268" s="676"/>
      <c r="R268" s="676"/>
      <c r="S268" s="676"/>
      <c r="T268" s="676"/>
      <c r="W268" s="675"/>
      <c r="Y268" s="315">
        <f>+Y267/U267-1</f>
        <v>0.57142857142857162</v>
      </c>
      <c r="Z268" s="315">
        <f>+Z267/V267-1</f>
        <v>1.9948979591836733</v>
      </c>
      <c r="AA268" s="675"/>
      <c r="AB268" s="315">
        <f>+AB267/X267-1</f>
        <v>0.19354838709677424</v>
      </c>
      <c r="AC268" s="315">
        <f>+AC267/Y267-1</f>
        <v>0.18279220779220795</v>
      </c>
      <c r="AD268" s="315">
        <f>+AD267/Z267-1</f>
        <v>0.18790459965928452</v>
      </c>
      <c r="AF268" s="374">
        <f>+AF267/AB267-1</f>
        <v>0.12912912912912922</v>
      </c>
      <c r="AG268" s="315">
        <f>+AG267/AC267-1</f>
        <v>0.16522097172659889</v>
      </c>
      <c r="AH268" s="315">
        <f>+AH267/AD267-1</f>
        <v>0.14798508532912669</v>
      </c>
      <c r="AJ268" s="374">
        <f>+AJ267/AF267-1</f>
        <v>0.14627659574468077</v>
      </c>
      <c r="AK268" s="315">
        <f>+AK267/AG267-1</f>
        <v>0.1524417536337721</v>
      </c>
      <c r="AL268" s="374">
        <f>+AL267/AH267-1</f>
        <v>0.14954590313433003</v>
      </c>
      <c r="AN268" s="315">
        <f>+AN267/AJ267-1</f>
        <v>0.16473317865429227</v>
      </c>
      <c r="AO268" s="315">
        <f>+AO267/AK267-1</f>
        <v>0.1365494685200328</v>
      </c>
      <c r="AP268" s="374">
        <f>+AP267/AL267-1</f>
        <v>0.14975005433601396</v>
      </c>
      <c r="AR268" s="659">
        <f>+Scenarios!AF16</f>
        <v>0.1</v>
      </c>
      <c r="AS268" s="659">
        <f>+Scenarios!AG16</f>
        <v>0.1</v>
      </c>
      <c r="AT268" s="138">
        <f>+AT267/AP267-1</f>
        <v>0.10000000000000009</v>
      </c>
      <c r="AV268" s="659">
        <f>+Scenarios!AJ16</f>
        <v>0.1</v>
      </c>
      <c r="AW268" s="659">
        <f>+Scenarios!AK16</f>
        <v>0.1</v>
      </c>
      <c r="AX268" s="138">
        <f>+AX267/AT267-1</f>
        <v>0.10000000000000009</v>
      </c>
      <c r="AZ268" s="659">
        <f>+Scenarios!AN16</f>
        <v>0.1</v>
      </c>
      <c r="BA268" s="659">
        <f>+Scenarios!AO16</f>
        <v>0.1</v>
      </c>
      <c r="BB268" s="138">
        <f>+BB267/AX267-1</f>
        <v>0.10000000000000031</v>
      </c>
      <c r="BD268" s="659">
        <f>+Scenarios!AR16</f>
        <v>0.06</v>
      </c>
      <c r="BE268" s="659">
        <f>+Scenarios!AS16</f>
        <v>0.06</v>
      </c>
      <c r="BF268" s="138">
        <f>+BF267/BB267-1</f>
        <v>5.9999999999999831E-2</v>
      </c>
      <c r="BH268" s="659">
        <f>+Scenarios!AV16</f>
        <v>0.06</v>
      </c>
      <c r="BI268" s="659">
        <f>+Scenarios!AW16</f>
        <v>0.06</v>
      </c>
      <c r="BJ268" s="138">
        <f>+BJ267/BF267-1</f>
        <v>6.0000000000000053E-2</v>
      </c>
      <c r="BL268" s="659">
        <f>+Scenarios!AZ16</f>
        <v>0.06</v>
      </c>
      <c r="BM268" s="659">
        <f>+Scenarios!BA16</f>
        <v>0.06</v>
      </c>
      <c r="BN268" s="138">
        <f>+BN267/BJ267-1</f>
        <v>6.0000000000000053E-2</v>
      </c>
      <c r="BP268" s="659">
        <f>+Scenarios!BD16</f>
        <v>0.06</v>
      </c>
      <c r="BQ268" s="659">
        <f>+Scenarios!BE16</f>
        <v>0.06</v>
      </c>
      <c r="BR268" s="138">
        <f>+BR267/BN267-1</f>
        <v>6.0000000000000053E-2</v>
      </c>
      <c r="BT268" s="659">
        <f>+Scenarios!BH16</f>
        <v>0.06</v>
      </c>
      <c r="BU268" s="659">
        <f>+Scenarios!BI16</f>
        <v>0.06</v>
      </c>
      <c r="BV268" s="138">
        <f>+BV267/BR267-1</f>
        <v>6.0000000000000053E-2</v>
      </c>
      <c r="BX268" s="659">
        <f>+Scenarios!BL16</f>
        <v>0.06</v>
      </c>
      <c r="BY268" s="659">
        <f>+Scenarios!BM16</f>
        <v>0.06</v>
      </c>
      <c r="BZ268" s="138">
        <f>+BZ267/BV267-1</f>
        <v>6.0000000000000053E-2</v>
      </c>
    </row>
    <row r="269" spans="1:78" s="173" customFormat="1">
      <c r="A269" s="853"/>
      <c r="B269" s="658" t="s">
        <v>704</v>
      </c>
      <c r="C269" s="854"/>
      <c r="D269" s="855"/>
      <c r="E269" s="855"/>
      <c r="F269" s="855"/>
      <c r="G269" s="855"/>
      <c r="H269" s="855"/>
      <c r="I269" s="855"/>
      <c r="J269" s="855"/>
      <c r="K269" s="855"/>
      <c r="L269" s="855"/>
      <c r="M269" s="855"/>
      <c r="N269" s="855"/>
      <c r="O269" s="855"/>
      <c r="P269" s="855"/>
      <c r="Q269" s="855"/>
      <c r="R269" s="855"/>
      <c r="S269" s="855"/>
      <c r="T269" s="855"/>
      <c r="W269" s="854"/>
      <c r="Y269" s="315"/>
      <c r="Z269" s="315"/>
      <c r="AA269" s="854"/>
      <c r="AB269" s="856">
        <f>+AB267/AB264/AB4</f>
        <v>0.39319681677018631</v>
      </c>
      <c r="AC269" s="315"/>
      <c r="AD269" s="856">
        <f>+AD267/AD264/AD4</f>
        <v>0.38955307262569833</v>
      </c>
      <c r="AF269" s="856">
        <f>+AF267/AF264/AF4</f>
        <v>0.38446884805020171</v>
      </c>
      <c r="AG269" s="315"/>
      <c r="AH269" s="856">
        <f>+AH267/AH264/AH4</f>
        <v>0.38485096153846154</v>
      </c>
      <c r="AJ269" s="856">
        <f>+AJ267/AJ264/AJ4</f>
        <v>0.36521905827353857</v>
      </c>
      <c r="AK269" s="315"/>
      <c r="AL269" s="856">
        <f>+AL267/AL264/AL4</f>
        <v>0.38182572614107885</v>
      </c>
      <c r="AN269" s="907">
        <f>+AN267/AN264/AN4</f>
        <v>0.3905157715260017</v>
      </c>
      <c r="AO269" s="315"/>
      <c r="AP269" s="856">
        <f>+AP267/AP264/AP4</f>
        <v>0.39040590405904058</v>
      </c>
    </row>
    <row r="270" spans="1:78" s="137" customFormat="1">
      <c r="A270" s="146"/>
      <c r="B270" s="146"/>
      <c r="C270" s="184"/>
      <c r="D270" s="326"/>
      <c r="E270" s="326"/>
      <c r="F270" s="326"/>
      <c r="G270" s="326"/>
      <c r="H270" s="326"/>
      <c r="I270" s="326"/>
      <c r="J270" s="326"/>
      <c r="K270" s="326"/>
      <c r="L270" s="326"/>
      <c r="M270" s="326"/>
      <c r="N270" s="326"/>
      <c r="O270" s="326"/>
      <c r="P270" s="326"/>
      <c r="Q270" s="326"/>
      <c r="R270" s="326"/>
      <c r="S270" s="326"/>
      <c r="T270" s="326"/>
      <c r="U270" s="144"/>
      <c r="V270" s="136"/>
      <c r="W270" s="184"/>
      <c r="X270" s="136"/>
      <c r="Y270" s="144"/>
      <c r="Z270" s="136"/>
      <c r="AA270" s="184"/>
      <c r="AB270" s="136"/>
      <c r="AC270" s="144"/>
      <c r="AD270" s="136"/>
      <c r="AF270" s="262"/>
      <c r="AG270" s="144"/>
      <c r="AH270" s="136"/>
      <c r="AJ270" s="262"/>
      <c r="AK270" s="144"/>
      <c r="AL270" s="262"/>
      <c r="AN270" s="136"/>
      <c r="AO270" s="144"/>
      <c r="AP270" s="262"/>
      <c r="AR270" s="144"/>
      <c r="AS270" s="144"/>
      <c r="AT270" s="144"/>
      <c r="AV270" s="144"/>
      <c r="AW270" s="144"/>
      <c r="AX270" s="144"/>
      <c r="AZ270" s="144"/>
      <c r="BA270" s="144"/>
      <c r="BB270" s="144"/>
      <c r="BD270" s="144"/>
      <c r="BE270" s="144"/>
      <c r="BF270" s="144"/>
      <c r="BH270" s="144"/>
      <c r="BI270" s="144"/>
      <c r="BJ270" s="144"/>
      <c r="BL270" s="144"/>
      <c r="BM270" s="144"/>
      <c r="BN270" s="144"/>
      <c r="BP270" s="144"/>
      <c r="BQ270" s="144"/>
      <c r="BR270" s="144"/>
      <c r="BT270" s="144"/>
      <c r="BU270" s="144"/>
      <c r="BV270" s="144"/>
      <c r="BX270" s="144"/>
      <c r="BY270" s="144"/>
      <c r="BZ270" s="144"/>
    </row>
    <row r="271" spans="1:78" s="137" customFormat="1">
      <c r="A271" s="146"/>
      <c r="B271" s="146" t="s">
        <v>185</v>
      </c>
      <c r="C271" s="322"/>
      <c r="D271" s="327"/>
      <c r="E271" s="327"/>
      <c r="F271" s="327"/>
      <c r="G271" s="327"/>
      <c r="H271" s="327"/>
      <c r="I271" s="327"/>
      <c r="J271" s="327"/>
      <c r="K271" s="327"/>
      <c r="L271" s="327"/>
      <c r="M271" s="327"/>
      <c r="N271" s="327"/>
      <c r="O271" s="327"/>
      <c r="P271" s="327"/>
      <c r="Q271" s="327"/>
      <c r="R271" s="327"/>
      <c r="S271" s="327"/>
      <c r="T271" s="327"/>
      <c r="U271" s="136">
        <f t="shared" ref="U271:U278" si="1510">V271</f>
        <v>-11.9</v>
      </c>
      <c r="V271" s="168">
        <v>-11.9</v>
      </c>
      <c r="W271" s="322"/>
      <c r="X271" s="168">
        <v>-17.2</v>
      </c>
      <c r="Y271" s="136">
        <f>Z271-X271</f>
        <v>-19.500000000000004</v>
      </c>
      <c r="Z271" s="168">
        <v>-36.700000000000003</v>
      </c>
      <c r="AA271" s="322"/>
      <c r="AB271" s="168">
        <v>-21</v>
      </c>
      <c r="AC271" s="136">
        <f>AD271-AB271</f>
        <v>-22.4</v>
      </c>
      <c r="AD271" s="168">
        <v>-43.4</v>
      </c>
      <c r="AF271" s="264">
        <v>-23.1</v>
      </c>
      <c r="AG271" s="136">
        <f>AH271-AF271</f>
        <v>-24.873999999999995</v>
      </c>
      <c r="AH271" s="264">
        <v>-47.973999999999997</v>
      </c>
      <c r="AJ271" s="264">
        <v>-26</v>
      </c>
      <c r="AK271" s="136">
        <f>AL271-AJ271</f>
        <v>-27.375999999999998</v>
      </c>
      <c r="AL271" s="264">
        <v>-53.375999999999998</v>
      </c>
      <c r="AN271" s="168">
        <v>-28.5</v>
      </c>
      <c r="AO271" s="136">
        <f>AP271-AN271</f>
        <v>-28.9</v>
      </c>
      <c r="AP271" s="912">
        <v>-57.4</v>
      </c>
      <c r="AR271" s="136">
        <f>+AR273-AR267</f>
        <v>-31.033640000000002</v>
      </c>
      <c r="AS271" s="136">
        <f>+AS273-AS267</f>
        <v>-31.8032</v>
      </c>
      <c r="AT271" s="136">
        <f>+AT273-AT267</f>
        <v>-62.836839999999995</v>
      </c>
      <c r="AV271" s="136">
        <f>+AV273-AV267</f>
        <v>-33.833294000000009</v>
      </c>
      <c r="AW271" s="136">
        <f>+AW273-AW267</f>
        <v>-34.64714</v>
      </c>
      <c r="AX271" s="136">
        <f>+AX273-AX267</f>
        <v>-68.480434000000002</v>
      </c>
      <c r="AZ271" s="136">
        <f>+AZ273-AZ267</f>
        <v>-36.882542400000013</v>
      </c>
      <c r="BA271" s="136">
        <f>+BA273-BA267</f>
        <v>-37.741836000000006</v>
      </c>
      <c r="BB271" s="136">
        <f>+BB273-BB267</f>
        <v>-74.62437840000004</v>
      </c>
      <c r="BD271" s="136">
        <f>+BD273-BD267</f>
        <v>-39.095494944000009</v>
      </c>
      <c r="BE271" s="136">
        <f>+BE273-BE267</f>
        <v>-40.006346160000007</v>
      </c>
      <c r="BF271" s="136">
        <f>+BF273-BF267</f>
        <v>-79.101841104000016</v>
      </c>
      <c r="BH271" s="136">
        <f>+BH273-BH267</f>
        <v>-41.441224640640009</v>
      </c>
      <c r="BI271" s="136">
        <f>+BI273-BI267</f>
        <v>-42.406726929600012</v>
      </c>
      <c r="BJ271" s="136">
        <f>+BJ273-BJ267</f>
        <v>-83.847951570240014</v>
      </c>
      <c r="BL271" s="136">
        <f>+BL273-BL267</f>
        <v>-43.927698119078414</v>
      </c>
      <c r="BM271" s="136">
        <f>+BM273-BM267</f>
        <v>-44.951130545376017</v>
      </c>
      <c r="BN271" s="136">
        <f>+BN273-BN267</f>
        <v>-88.878828664454431</v>
      </c>
      <c r="BP271" s="136">
        <f>+BP273-BP267</f>
        <v>-46.563360006223128</v>
      </c>
      <c r="BQ271" s="136">
        <f>+BQ273-BQ267</f>
        <v>-47.648198378098577</v>
      </c>
      <c r="BR271" s="136">
        <f>+BR273-BR267</f>
        <v>-94.211558384321691</v>
      </c>
      <c r="BT271" s="136">
        <f>+BT273-BT267</f>
        <v>-49.35716160659652</v>
      </c>
      <c r="BU271" s="136">
        <f>+BU273-BU267</f>
        <v>-50.507090280784496</v>
      </c>
      <c r="BV271" s="136">
        <f>+BV273-BV267</f>
        <v>-99.864251887381016</v>
      </c>
      <c r="BX271" s="136">
        <f>+BX273-BX267</f>
        <v>-52.31859130299231</v>
      </c>
      <c r="BY271" s="136">
        <f>+BY273-BY267</f>
        <v>-53.537515697631569</v>
      </c>
      <c r="BZ271" s="136">
        <f>+BZ273-BZ267</f>
        <v>-105.85610700062389</v>
      </c>
    </row>
    <row r="272" spans="1:78" s="135" customFormat="1">
      <c r="A272" s="134"/>
      <c r="B272" s="314" t="s">
        <v>248</v>
      </c>
      <c r="D272" s="328"/>
      <c r="E272" s="328"/>
      <c r="F272" s="328"/>
      <c r="G272" s="328"/>
      <c r="H272" s="328"/>
      <c r="I272" s="328"/>
      <c r="J272" s="328"/>
      <c r="K272" s="328"/>
      <c r="L272" s="328"/>
      <c r="M272" s="328"/>
      <c r="N272" s="328"/>
      <c r="O272" s="328"/>
      <c r="P272" s="328"/>
      <c r="Q272" s="328"/>
      <c r="R272" s="328"/>
      <c r="S272" s="328"/>
      <c r="T272" s="328"/>
      <c r="U272" s="315">
        <f>-U271/U267</f>
        <v>0.6071428571428571</v>
      </c>
      <c r="V272" s="315">
        <f>-V271/V267</f>
        <v>0.6071428571428571</v>
      </c>
      <c r="W272" s="133"/>
      <c r="X272" s="315">
        <f>-X271/X267</f>
        <v>0.61648745519713266</v>
      </c>
      <c r="Y272" s="315">
        <f>-Y271/Y267</f>
        <v>0.63311688311688319</v>
      </c>
      <c r="Z272" s="315">
        <f>-Z271/Z267</f>
        <v>0.62521294718909715</v>
      </c>
      <c r="AA272" s="133"/>
      <c r="AB272" s="315">
        <f>-AB271/AB267</f>
        <v>0.63063063063063074</v>
      </c>
      <c r="AC272" s="315">
        <f>-AC271/AC267</f>
        <v>0.61487784792753208</v>
      </c>
      <c r="AD272" s="315">
        <f>-AD271/AD267</f>
        <v>0.62240068836942486</v>
      </c>
      <c r="AE272" s="133"/>
      <c r="AF272" s="374">
        <f>-AF271/AF267</f>
        <v>0.61436170212765961</v>
      </c>
      <c r="AG272" s="315">
        <f>-AG271/AG267</f>
        <v>0.58597375674338603</v>
      </c>
      <c r="AH272" s="315">
        <f>-AH271/AH267</f>
        <v>0.59930792389661325</v>
      </c>
      <c r="AI272" s="133"/>
      <c r="AJ272" s="374">
        <f>-AJ271/AJ267</f>
        <v>0.60324825986078889</v>
      </c>
      <c r="AK272" s="315">
        <f>-AK271/AK267</f>
        <v>0.5596075224856909</v>
      </c>
      <c r="AL272" s="374">
        <f>-AL271/AL267</f>
        <v>0.58004781569224084</v>
      </c>
      <c r="AM272" s="133"/>
      <c r="AN272" s="315">
        <f>-AN271/AN267</f>
        <v>0.56772908366533859</v>
      </c>
      <c r="AO272" s="315">
        <f>-AO271/AO267</f>
        <v>0.51978417266187049</v>
      </c>
      <c r="AP272" s="374">
        <f>-AP271/AP267</f>
        <v>0.5425330812854442</v>
      </c>
      <c r="AQ272" s="133"/>
      <c r="AR272" s="315">
        <f>-AR271/AR267</f>
        <v>0.56199999999999994</v>
      </c>
      <c r="AS272" s="315">
        <f>-AS271/AS267</f>
        <v>0.52</v>
      </c>
      <c r="AT272" s="315">
        <f>-AT271/AT267</f>
        <v>0.53992816635160679</v>
      </c>
      <c r="AU272" s="133"/>
      <c r="AV272" s="315">
        <f>-AV271/AV267</f>
        <v>0.55700000000000005</v>
      </c>
      <c r="AW272" s="315">
        <f>-AW271/AW267</f>
        <v>0.51500000000000001</v>
      </c>
      <c r="AX272" s="315">
        <f>-AX271/AX267</f>
        <v>0.53492816635160678</v>
      </c>
      <c r="AY272" s="133"/>
      <c r="AZ272" s="315">
        <f>-AZ271/AZ267</f>
        <v>0.55200000000000005</v>
      </c>
      <c r="BA272" s="315">
        <f>-BA271/BA267</f>
        <v>0.51</v>
      </c>
      <c r="BB272" s="315">
        <f>-BB271/BB267</f>
        <v>0.52992816635160689</v>
      </c>
      <c r="BC272" s="133"/>
      <c r="BD272" s="315">
        <f>-BD271/BD267</f>
        <v>0.55199999999999994</v>
      </c>
      <c r="BE272" s="315">
        <f>-BE271/BE267</f>
        <v>0.51</v>
      </c>
      <c r="BF272" s="315">
        <f>-BF271/BF267</f>
        <v>0.52992816635160678</v>
      </c>
      <c r="BG272" s="133"/>
      <c r="BH272" s="315">
        <f>-BH271/BH267</f>
        <v>0.55199999999999994</v>
      </c>
      <c r="BI272" s="315">
        <f>-BI271/BI267</f>
        <v>0.51</v>
      </c>
      <c r="BJ272" s="315">
        <f>-BJ271/BJ267</f>
        <v>0.52992816635160678</v>
      </c>
      <c r="BK272" s="133"/>
      <c r="BL272" s="315">
        <f>-BL271/BL267</f>
        <v>0.55199999999999994</v>
      </c>
      <c r="BM272" s="315">
        <f>-BM271/BM267</f>
        <v>0.51</v>
      </c>
      <c r="BN272" s="315">
        <f>-BN271/BN267</f>
        <v>0.52992816635160678</v>
      </c>
      <c r="BO272" s="133"/>
      <c r="BP272" s="315">
        <f>-BP271/BP267</f>
        <v>0.55200000000000005</v>
      </c>
      <c r="BQ272" s="315">
        <f>-BQ271/BQ267</f>
        <v>0.51</v>
      </c>
      <c r="BR272" s="315">
        <f>-BR271/BR267</f>
        <v>0.52992816635160678</v>
      </c>
      <c r="BS272" s="133"/>
      <c r="BT272" s="315">
        <f>-BT271/BT267</f>
        <v>0.55200000000000005</v>
      </c>
      <c r="BU272" s="315">
        <f>-BU271/BU267</f>
        <v>0.51</v>
      </c>
      <c r="BV272" s="315">
        <f>-BV271/BV267</f>
        <v>0.52992816635160678</v>
      </c>
      <c r="BW272" s="133"/>
      <c r="BX272" s="315">
        <f>-BX271/BX267</f>
        <v>0.55199999999999994</v>
      </c>
      <c r="BY272" s="315">
        <f>-BY271/BY267</f>
        <v>0.51</v>
      </c>
      <c r="BZ272" s="315">
        <f>-BZ271/BZ267</f>
        <v>0.52992816635160689</v>
      </c>
    </row>
    <row r="273" spans="1:78" s="316" customFormat="1" ht="14.4" thickBot="1">
      <c r="A273" s="307"/>
      <c r="B273" s="307" t="s">
        <v>180</v>
      </c>
      <c r="C273" s="184"/>
      <c r="D273" s="329"/>
      <c r="E273" s="329"/>
      <c r="F273" s="329"/>
      <c r="G273" s="329"/>
      <c r="H273" s="329"/>
      <c r="I273" s="329"/>
      <c r="J273" s="329"/>
      <c r="K273" s="329"/>
      <c r="L273" s="329"/>
      <c r="M273" s="329"/>
      <c r="N273" s="329"/>
      <c r="O273" s="329"/>
      <c r="P273" s="329"/>
      <c r="Q273" s="329"/>
      <c r="R273" s="329"/>
      <c r="S273" s="329"/>
      <c r="T273" s="329"/>
      <c r="U273" s="232">
        <f t="shared" si="1510"/>
        <v>7.7000000000000011</v>
      </c>
      <c r="V273" s="313">
        <f>V271+V267</f>
        <v>7.7000000000000011</v>
      </c>
      <c r="W273" s="184"/>
      <c r="X273" s="313">
        <f>X271+X267</f>
        <v>10.7</v>
      </c>
      <c r="Y273" s="232">
        <f>Y271+Y267</f>
        <v>11.3</v>
      </c>
      <c r="Z273" s="313">
        <f>Z271+Z267</f>
        <v>22</v>
      </c>
      <c r="AA273" s="184"/>
      <c r="AB273" s="313">
        <f>AB271+AB267</f>
        <v>12.299999999999997</v>
      </c>
      <c r="AC273" s="232">
        <f>AC271+AC267</f>
        <v>14.030000000000008</v>
      </c>
      <c r="AD273" s="313">
        <f>AD271+AD267</f>
        <v>26.330000000000005</v>
      </c>
      <c r="AF273" s="409">
        <f>AF271+AF267</f>
        <v>14.5</v>
      </c>
      <c r="AG273" s="232">
        <f>AH273-AF273</f>
        <v>17.575000000000003</v>
      </c>
      <c r="AH273" s="343">
        <v>32.075000000000003</v>
      </c>
      <c r="AJ273" s="409">
        <f>AJ271+AJ267</f>
        <v>17.100000000000001</v>
      </c>
      <c r="AK273" s="232">
        <f>AL273-AJ273</f>
        <v>21.54</v>
      </c>
      <c r="AL273" s="343">
        <v>38.64</v>
      </c>
      <c r="AN273" s="908">
        <f>AN271+AN267</f>
        <v>21.700000000000003</v>
      </c>
      <c r="AO273" s="232">
        <f>AP273-AN273</f>
        <v>26.699999999999996</v>
      </c>
      <c r="AP273" s="913">
        <v>48.4</v>
      </c>
      <c r="AR273" s="232">
        <f>+AR274*AR267</f>
        <v>24.186360000000004</v>
      </c>
      <c r="AS273" s="232">
        <f>+AS274*AS267</f>
        <v>29.356799999999996</v>
      </c>
      <c r="AT273" s="232">
        <f>+AR273+AS273</f>
        <v>53.54316</v>
      </c>
      <c r="AV273" s="232">
        <f>+AV274*AV267</f>
        <v>26.908706000000006</v>
      </c>
      <c r="AW273" s="232">
        <f>+AW274*AW267</f>
        <v>32.628859999999996</v>
      </c>
      <c r="AX273" s="232">
        <f>+AV273+AW273</f>
        <v>59.537565999999998</v>
      </c>
      <c r="AZ273" s="232">
        <f>+AZ274*AZ267</f>
        <v>29.933657600000011</v>
      </c>
      <c r="BA273" s="232">
        <f>+BA274*BA267</f>
        <v>36.261763999999999</v>
      </c>
      <c r="BB273" s="232">
        <f>+AZ273+BA273</f>
        <v>66.195421600000003</v>
      </c>
      <c r="BD273" s="232">
        <f>+BD274*BD267</f>
        <v>31.729677056000011</v>
      </c>
      <c r="BE273" s="232">
        <f>+BE274*BE267</f>
        <v>38.437469840000006</v>
      </c>
      <c r="BF273" s="232">
        <f>+BD273+BE273</f>
        <v>70.16714689600002</v>
      </c>
      <c r="BH273" s="232">
        <f>+BH274*BH267</f>
        <v>33.633457679360014</v>
      </c>
      <c r="BI273" s="232">
        <f>+BI274*BI267</f>
        <v>40.743718030400004</v>
      </c>
      <c r="BJ273" s="232">
        <f>+BH273+BI273</f>
        <v>74.377175709760024</v>
      </c>
      <c r="BL273" s="232">
        <f>+BL274*BL267</f>
        <v>35.651465140121616</v>
      </c>
      <c r="BM273" s="232">
        <f>+BM274*BM267</f>
        <v>43.188341112224009</v>
      </c>
      <c r="BN273" s="232">
        <f>+BL273+BM273</f>
        <v>78.839806252345625</v>
      </c>
      <c r="BP273" s="232">
        <f>+BP274*BP267</f>
        <v>37.790553048528913</v>
      </c>
      <c r="BQ273" s="232">
        <f>+BQ274*BQ267</f>
        <v>45.77964157895746</v>
      </c>
      <c r="BR273" s="232">
        <f>+BP273+BQ273</f>
        <v>83.570194627486373</v>
      </c>
      <c r="BT273" s="232">
        <f>+BT274*BT267</f>
        <v>40.057986231440651</v>
      </c>
      <c r="BU273" s="232">
        <f>+BU274*BU267</f>
        <v>48.526420073694908</v>
      </c>
      <c r="BV273" s="232">
        <f>+BT273+BU273</f>
        <v>88.584406305135559</v>
      </c>
      <c r="BX273" s="232">
        <f>+BX274*BX267</f>
        <v>42.461465405327097</v>
      </c>
      <c r="BY273" s="232">
        <f>+BY274*BY267</f>
        <v>51.438005278116599</v>
      </c>
      <c r="BZ273" s="232">
        <f>+BX273+BY273</f>
        <v>93.899470683443695</v>
      </c>
    </row>
    <row r="274" spans="1:78" s="220" customFormat="1" ht="14.4" thickBot="1">
      <c r="A274" s="660"/>
      <c r="B274" s="658" t="s">
        <v>247</v>
      </c>
      <c r="D274" s="674"/>
      <c r="E274" s="674"/>
      <c r="F274" s="674"/>
      <c r="G274" s="674"/>
      <c r="H274" s="674"/>
      <c r="I274" s="674"/>
      <c r="J274" s="674"/>
      <c r="K274" s="674"/>
      <c r="L274" s="674"/>
      <c r="M274" s="674"/>
      <c r="N274" s="674"/>
      <c r="O274" s="674"/>
      <c r="P274" s="674"/>
      <c r="Q274" s="674"/>
      <c r="R274" s="674"/>
      <c r="S274" s="674"/>
      <c r="T274" s="674"/>
      <c r="U274" s="315">
        <f>+U273/U267</f>
        <v>0.3928571428571429</v>
      </c>
      <c r="V274" s="315">
        <f>+V273/V267</f>
        <v>0.3928571428571429</v>
      </c>
      <c r="W274" s="138"/>
      <c r="X274" s="315">
        <f>+X273/X267</f>
        <v>0.38351254480286739</v>
      </c>
      <c r="Y274" s="315">
        <f>+Y273/Y267</f>
        <v>0.36688311688311687</v>
      </c>
      <c r="Z274" s="315">
        <f>+Z273/Z267</f>
        <v>0.37478705281090285</v>
      </c>
      <c r="AA274" s="138"/>
      <c r="AB274" s="315">
        <f>+AB273/AB267</f>
        <v>0.36936936936936932</v>
      </c>
      <c r="AC274" s="315">
        <f>+AC273/AC267</f>
        <v>0.38512215207246792</v>
      </c>
      <c r="AD274" s="315">
        <f>+AD273/AD267</f>
        <v>0.37759931163057514</v>
      </c>
      <c r="AE274" s="138"/>
      <c r="AF274" s="374">
        <f>+AF273/AF267</f>
        <v>0.38563829787234039</v>
      </c>
      <c r="AG274" s="315">
        <f>+AG273/AG267</f>
        <v>0.41402624325661386</v>
      </c>
      <c r="AH274" s="315">
        <f>+AH273/AH267</f>
        <v>0.4006920761033867</v>
      </c>
      <c r="AI274" s="138"/>
      <c r="AJ274" s="374">
        <f>+AJ273/AJ267</f>
        <v>0.39675174013921116</v>
      </c>
      <c r="AK274" s="315">
        <f>+AK273/AK267</f>
        <v>0.44031071136549471</v>
      </c>
      <c r="AL274" s="374">
        <f>+AL273/AL267</f>
        <v>0.41990871549663117</v>
      </c>
      <c r="AM274" s="138"/>
      <c r="AN274" s="315">
        <f>+AN273/AN267</f>
        <v>0.43227091633466136</v>
      </c>
      <c r="AO274" s="315">
        <f>+AO273/AO267</f>
        <v>0.48021582733812945</v>
      </c>
      <c r="AP274" s="374">
        <f>+AP273/AP267</f>
        <v>0.45746691871455575</v>
      </c>
      <c r="AQ274" s="138"/>
      <c r="AR274" s="659">
        <f>+Scenarios!AF17</f>
        <v>0.438</v>
      </c>
      <c r="AS274" s="659">
        <f>+Scenarios!AG17</f>
        <v>0.48</v>
      </c>
      <c r="AT274" s="138">
        <f>+AT273/AT267</f>
        <v>0.46007183364839321</v>
      </c>
      <c r="AU274" s="138"/>
      <c r="AV274" s="659">
        <f>+Scenarios!AJ17</f>
        <v>0.443</v>
      </c>
      <c r="AW274" s="659">
        <f>+Scenarios!AK17</f>
        <v>0.48499999999999999</v>
      </c>
      <c r="AX274" s="138">
        <f>+AX273/AX267</f>
        <v>0.46507183364839316</v>
      </c>
      <c r="AY274" s="138"/>
      <c r="AZ274" s="659">
        <f>+Scenarios!AN17</f>
        <v>0.44800000000000001</v>
      </c>
      <c r="BA274" s="659">
        <f>+Scenarios!AO17</f>
        <v>0.49</v>
      </c>
      <c r="BB274" s="138">
        <f>+BB273/BB267</f>
        <v>0.47007183364839306</v>
      </c>
      <c r="BC274" s="138"/>
      <c r="BD274" s="659">
        <f>+Scenarios!AR17</f>
        <v>0.44800000000000001</v>
      </c>
      <c r="BE274" s="659">
        <f>+Scenarios!AS17</f>
        <v>0.49</v>
      </c>
      <c r="BF274" s="138">
        <f>+BF273/BF267</f>
        <v>0.47007183364839322</v>
      </c>
      <c r="BG274" s="138"/>
      <c r="BH274" s="659">
        <f>+Scenarios!AV17</f>
        <v>0.44800000000000001</v>
      </c>
      <c r="BI274" s="659">
        <f>+Scenarios!AW17</f>
        <v>0.49</v>
      </c>
      <c r="BJ274" s="138">
        <f>+BJ273/BJ267</f>
        <v>0.47007183364839322</v>
      </c>
      <c r="BK274" s="138"/>
      <c r="BL274" s="659">
        <f>+Scenarios!AZ17</f>
        <v>0.44800000000000001</v>
      </c>
      <c r="BM274" s="659">
        <f>+Scenarios!BA17</f>
        <v>0.49</v>
      </c>
      <c r="BN274" s="138">
        <f>+BN273/BN267</f>
        <v>0.47007183364839317</v>
      </c>
      <c r="BO274" s="138"/>
      <c r="BP274" s="659">
        <f>+Scenarios!BD17</f>
        <v>0.44800000000000001</v>
      </c>
      <c r="BQ274" s="659">
        <f>+Scenarios!BE17</f>
        <v>0.49</v>
      </c>
      <c r="BR274" s="138">
        <f>+BR273/BR267</f>
        <v>0.47007183364839322</v>
      </c>
      <c r="BS274" s="138"/>
      <c r="BT274" s="659">
        <f>+Scenarios!BH17</f>
        <v>0.44800000000000001</v>
      </c>
      <c r="BU274" s="659">
        <f>+Scenarios!BI17</f>
        <v>0.49</v>
      </c>
      <c r="BV274" s="138">
        <f>+BV273/BV267</f>
        <v>0.47007183364839317</v>
      </c>
      <c r="BW274" s="138"/>
      <c r="BX274" s="659">
        <f>+Scenarios!BL17</f>
        <v>0.44800000000000001</v>
      </c>
      <c r="BY274" s="659">
        <f>+Scenarios!BM17</f>
        <v>0.49</v>
      </c>
      <c r="BZ274" s="138">
        <f>+BZ273/BZ267</f>
        <v>0.47007183364839317</v>
      </c>
    </row>
    <row r="275" spans="1:78" s="135" customFormat="1">
      <c r="A275" s="134"/>
      <c r="B275" s="150" t="s">
        <v>360</v>
      </c>
      <c r="D275" s="315"/>
      <c r="E275" s="315"/>
      <c r="F275" s="315"/>
      <c r="G275" s="133"/>
      <c r="H275" s="315"/>
      <c r="I275" s="315"/>
      <c r="J275" s="315"/>
      <c r="K275" s="133"/>
      <c r="L275" s="315"/>
      <c r="M275" s="315"/>
      <c r="N275" s="315"/>
      <c r="O275" s="133"/>
      <c r="P275" s="315"/>
      <c r="Q275" s="315"/>
      <c r="R275" s="315"/>
      <c r="S275" s="133"/>
      <c r="T275" s="315"/>
      <c r="U275" s="315"/>
      <c r="V275" s="315"/>
      <c r="W275" s="133"/>
      <c r="X275" s="315"/>
      <c r="Y275" s="315"/>
      <c r="Z275" s="315"/>
      <c r="AA275" s="133"/>
      <c r="AB275" s="315"/>
      <c r="AC275" s="315">
        <f>+AD275</f>
        <v>0.38</v>
      </c>
      <c r="AD275" s="384">
        <v>0.38</v>
      </c>
      <c r="AE275" s="133"/>
      <c r="AF275" s="384">
        <v>0.4</v>
      </c>
      <c r="AG275" s="315">
        <f>+AH275</f>
        <v>0.5</v>
      </c>
      <c r="AH275" s="384">
        <v>0.5</v>
      </c>
      <c r="AI275" s="133"/>
      <c r="AJ275" s="384">
        <v>0.5</v>
      </c>
      <c r="AK275" s="315">
        <f>+AL275</f>
        <v>0.5</v>
      </c>
      <c r="AL275" s="384">
        <v>0.5</v>
      </c>
      <c r="AM275" s="133"/>
      <c r="AN275" s="393">
        <v>0.5</v>
      </c>
      <c r="AO275" s="315">
        <f>+AP275</f>
        <v>0.5</v>
      </c>
      <c r="AP275" s="917">
        <v>0.5</v>
      </c>
      <c r="AQ275" s="133"/>
      <c r="AR275" s="138">
        <f t="shared" ref="AR275" si="1511">+AP275</f>
        <v>0.5</v>
      </c>
      <c r="AS275" s="138">
        <f t="shared" ref="AS275:AT275" si="1512">+AR275</f>
        <v>0.5</v>
      </c>
      <c r="AT275" s="138">
        <f t="shared" si="1512"/>
        <v>0.5</v>
      </c>
      <c r="AU275" s="133"/>
      <c r="AV275" s="138">
        <f t="shared" ref="AV275" si="1513">+AT275</f>
        <v>0.5</v>
      </c>
      <c r="AW275" s="138">
        <f t="shared" ref="AW275:AX275" si="1514">+AV275</f>
        <v>0.5</v>
      </c>
      <c r="AX275" s="138">
        <f t="shared" si="1514"/>
        <v>0.5</v>
      </c>
      <c r="AY275" s="133"/>
      <c r="AZ275" s="138">
        <f t="shared" ref="AZ275" si="1515">+AX275</f>
        <v>0.5</v>
      </c>
      <c r="BA275" s="138">
        <f t="shared" ref="BA275:BB275" si="1516">+AZ275</f>
        <v>0.5</v>
      </c>
      <c r="BB275" s="138">
        <f t="shared" si="1516"/>
        <v>0.5</v>
      </c>
      <c r="BC275" s="133"/>
      <c r="BD275" s="138">
        <f t="shared" ref="BD275" si="1517">+BB275</f>
        <v>0.5</v>
      </c>
      <c r="BE275" s="138">
        <f t="shared" ref="BE275:BF275" si="1518">+BD275</f>
        <v>0.5</v>
      </c>
      <c r="BF275" s="138">
        <f t="shared" si="1518"/>
        <v>0.5</v>
      </c>
      <c r="BG275" s="133"/>
      <c r="BH275" s="138">
        <f t="shared" ref="BH275" si="1519">+BF275</f>
        <v>0.5</v>
      </c>
      <c r="BI275" s="138">
        <f t="shared" ref="BI275:BJ275" si="1520">+BH275</f>
        <v>0.5</v>
      </c>
      <c r="BJ275" s="138">
        <f t="shared" si="1520"/>
        <v>0.5</v>
      </c>
      <c r="BK275" s="133"/>
      <c r="BL275" s="138">
        <f t="shared" ref="BL275" si="1521">+BJ275</f>
        <v>0.5</v>
      </c>
      <c r="BM275" s="138">
        <f t="shared" ref="BM275:BN275" si="1522">+BL275</f>
        <v>0.5</v>
      </c>
      <c r="BN275" s="138">
        <f t="shared" si="1522"/>
        <v>0.5</v>
      </c>
      <c r="BO275" s="133"/>
      <c r="BP275" s="138">
        <f t="shared" ref="BP275" si="1523">+BN275</f>
        <v>0.5</v>
      </c>
      <c r="BQ275" s="138">
        <f t="shared" ref="BQ275:BR275" si="1524">+BP275</f>
        <v>0.5</v>
      </c>
      <c r="BR275" s="138">
        <f t="shared" si="1524"/>
        <v>0.5</v>
      </c>
      <c r="BS275" s="133"/>
      <c r="BT275" s="138">
        <f t="shared" ref="BT275" si="1525">+BR275</f>
        <v>0.5</v>
      </c>
      <c r="BU275" s="138">
        <f t="shared" ref="BU275" si="1526">+BT275</f>
        <v>0.5</v>
      </c>
      <c r="BV275" s="138">
        <f t="shared" ref="BV275" si="1527">+BU275</f>
        <v>0.5</v>
      </c>
      <c r="BW275" s="133"/>
      <c r="BX275" s="138">
        <f t="shared" ref="BX275" si="1528">+BV275</f>
        <v>0.5</v>
      </c>
      <c r="BY275" s="138">
        <f t="shared" ref="BY275" si="1529">+BX275</f>
        <v>0.5</v>
      </c>
      <c r="BZ275" s="138">
        <f t="shared" ref="BZ275" si="1530">+BY275</f>
        <v>0.5</v>
      </c>
    </row>
    <row r="276" spans="1:78" s="135" customFormat="1">
      <c r="A276" s="134"/>
      <c r="B276" s="150"/>
      <c r="D276" s="328"/>
      <c r="E276" s="328"/>
      <c r="F276" s="328"/>
      <c r="G276" s="328"/>
      <c r="H276" s="328"/>
      <c r="I276" s="328"/>
      <c r="J276" s="328"/>
      <c r="K276" s="328"/>
      <c r="L276" s="328"/>
      <c r="M276" s="328"/>
      <c r="N276" s="328"/>
      <c r="O276" s="328"/>
      <c r="P276" s="328"/>
      <c r="Q276" s="328"/>
      <c r="R276" s="328"/>
      <c r="S276" s="328"/>
      <c r="T276" s="328"/>
      <c r="U276" s="315"/>
      <c r="V276" s="315"/>
      <c r="W276" s="133"/>
      <c r="X276" s="315"/>
      <c r="Y276" s="315"/>
      <c r="Z276" s="315"/>
      <c r="AA276" s="133"/>
      <c r="AB276" s="315"/>
      <c r="AC276" s="315"/>
      <c r="AD276" s="315"/>
      <c r="AE276" s="133"/>
      <c r="AF276" s="374"/>
      <c r="AG276" s="315"/>
      <c r="AH276" s="315"/>
      <c r="AI276" s="133"/>
      <c r="AJ276" s="374"/>
      <c r="AK276" s="315"/>
      <c r="AL276" s="374"/>
      <c r="AM276" s="133"/>
      <c r="AN276" s="315"/>
      <c r="AO276" s="315"/>
      <c r="AP276" s="374"/>
      <c r="AQ276" s="133"/>
      <c r="AR276" s="232"/>
      <c r="AS276" s="232"/>
      <c r="AT276" s="232"/>
      <c r="AU276" s="133"/>
      <c r="AV276" s="232"/>
      <c r="AW276" s="232"/>
      <c r="AX276" s="232"/>
      <c r="AY276" s="133"/>
      <c r="AZ276" s="232"/>
      <c r="BA276" s="232"/>
      <c r="BB276" s="232"/>
      <c r="BC276" s="133"/>
      <c r="BD276" s="232"/>
      <c r="BE276" s="232"/>
      <c r="BF276" s="232"/>
      <c r="BG276" s="133"/>
      <c r="BH276" s="232"/>
      <c r="BI276" s="232"/>
      <c r="BJ276" s="232"/>
      <c r="BK276" s="133"/>
      <c r="BL276" s="232"/>
      <c r="BM276" s="232"/>
      <c r="BN276" s="232"/>
      <c r="BO276" s="133"/>
      <c r="BP276" s="232"/>
      <c r="BQ276" s="232"/>
      <c r="BR276" s="232"/>
      <c r="BS276" s="133"/>
      <c r="BT276" s="232"/>
      <c r="BU276" s="232"/>
      <c r="BV276" s="232"/>
      <c r="BW276" s="133"/>
      <c r="BX276" s="232"/>
      <c r="BY276" s="232"/>
      <c r="BZ276" s="232"/>
    </row>
    <row r="277" spans="1:78" s="135" customFormat="1">
      <c r="A277" s="134"/>
      <c r="B277" s="150" t="s">
        <v>262</v>
      </c>
      <c r="D277" s="328"/>
      <c r="E277" s="328"/>
      <c r="F277" s="328"/>
      <c r="G277" s="328"/>
      <c r="H277" s="328"/>
      <c r="I277" s="328"/>
      <c r="J277" s="328"/>
      <c r="K277" s="328"/>
      <c r="L277" s="328"/>
      <c r="M277" s="328"/>
      <c r="N277" s="328"/>
      <c r="O277" s="328"/>
      <c r="P277" s="328"/>
      <c r="Q277" s="328"/>
      <c r="R277" s="328"/>
      <c r="S277" s="328"/>
      <c r="T277" s="328"/>
      <c r="U277" s="136">
        <f>-(U273-U278)</f>
        <v>-0.10000000000000142</v>
      </c>
      <c r="V277" s="136">
        <f>+T277+U277</f>
        <v>-0.10000000000000142</v>
      </c>
      <c r="W277" s="133"/>
      <c r="X277" s="136">
        <f>-(X273-X278)</f>
        <v>0.10000000000000142</v>
      </c>
      <c r="Y277" s="136">
        <f>-(Y273-Y278)</f>
        <v>-0.10000000000000142</v>
      </c>
      <c r="Z277" s="136">
        <f>+X277+Y277</f>
        <v>0</v>
      </c>
      <c r="AA277" s="133"/>
      <c r="AB277" s="136">
        <f>-(AB273-AB278)</f>
        <v>-0.19999999999999751</v>
      </c>
      <c r="AC277" s="136">
        <f>-(AC273-AC278)</f>
        <v>-0.23000000000000931</v>
      </c>
      <c r="AD277" s="136">
        <f>+AB277+AC277</f>
        <v>-0.43000000000000682</v>
      </c>
      <c r="AE277" s="133"/>
      <c r="AF277" s="262">
        <f>-(AF273-AF278)</f>
        <v>-0.5</v>
      </c>
      <c r="AG277" s="136">
        <f>-(AG273-AG278)</f>
        <v>-0.87500000000000355</v>
      </c>
      <c r="AH277" s="136">
        <f>+AF277+AG277</f>
        <v>-1.3750000000000036</v>
      </c>
      <c r="AI277" s="133"/>
      <c r="AJ277" s="262">
        <f>-(AJ273-AJ278)</f>
        <v>-0.70000000000000284</v>
      </c>
      <c r="AK277" s="136">
        <f>-(AK273-AK278)</f>
        <v>-0.84599999999999653</v>
      </c>
      <c r="AL277" s="262">
        <f>+AJ277+AK277</f>
        <v>-1.5459999999999994</v>
      </c>
      <c r="AM277" s="133"/>
      <c r="AN277" s="136">
        <f>-(AN273-AN278)</f>
        <v>-0.70000000000000284</v>
      </c>
      <c r="AO277" s="136">
        <f>-(AO273-AO278)</f>
        <v>-0.69999999999999574</v>
      </c>
      <c r="AP277" s="262">
        <f>+AN277+AO277</f>
        <v>-1.3999999999999986</v>
      </c>
      <c r="AQ277" s="133"/>
      <c r="AR277" s="321">
        <f>+AO277*AR$465/AO$465</f>
        <v>-0.69999999999999574</v>
      </c>
      <c r="AS277" s="321">
        <f>+AR277*AS$465/AR$465</f>
        <v>-0.69999999999999574</v>
      </c>
      <c r="AT277" s="136">
        <f t="shared" ref="AT277" si="1531">+AR277+AS277</f>
        <v>-1.3999999999999915</v>
      </c>
      <c r="AU277" s="133"/>
      <c r="AV277" s="321">
        <f>+AS277*AV$465/AS$465</f>
        <v>-0.68599999999999584</v>
      </c>
      <c r="AW277" s="321">
        <f>+AV277*AW$465/AV$465</f>
        <v>-0.68599999999999584</v>
      </c>
      <c r="AX277" s="136">
        <f t="shared" ref="AX277" si="1532">+AV277+AW277</f>
        <v>-1.3719999999999917</v>
      </c>
      <c r="AY277" s="133"/>
      <c r="AZ277" s="321">
        <f>+AW277*AZ$465/AW$465</f>
        <v>-0.67227999999999599</v>
      </c>
      <c r="BA277" s="321">
        <f>+AZ277*BA$465/AZ$465</f>
        <v>-0.67227999999999599</v>
      </c>
      <c r="BB277" s="136">
        <f t="shared" ref="BB277" si="1533">+AZ277+BA277</f>
        <v>-1.344559999999992</v>
      </c>
      <c r="BC277" s="133"/>
      <c r="BD277" s="321">
        <f>+BA277*BD$465/BA$465</f>
        <v>-0.67227999999999599</v>
      </c>
      <c r="BE277" s="321">
        <f>+BD277*BE$465/BD$465</f>
        <v>-0.67227999999999599</v>
      </c>
      <c r="BF277" s="136">
        <f t="shared" ref="BF277" si="1534">+BD277+BE277</f>
        <v>-1.344559999999992</v>
      </c>
      <c r="BG277" s="133"/>
      <c r="BH277" s="321">
        <f>+BE277*BH$465/BE$465</f>
        <v>-0.67227999999999599</v>
      </c>
      <c r="BI277" s="321">
        <f>+BH277*BI$465/BH$465</f>
        <v>-0.67227999999999599</v>
      </c>
      <c r="BJ277" s="136">
        <f t="shared" ref="BJ277" si="1535">+BH277+BI277</f>
        <v>-1.344559999999992</v>
      </c>
      <c r="BK277" s="133"/>
      <c r="BL277" s="321">
        <f>+BI277*BL$465/BI$465</f>
        <v>-0.67227999999999599</v>
      </c>
      <c r="BM277" s="321">
        <f>+BL277*BM$465/BL$465</f>
        <v>-0.67227999999999599</v>
      </c>
      <c r="BN277" s="136">
        <f t="shared" ref="BN277" si="1536">+BL277+BM277</f>
        <v>-1.344559999999992</v>
      </c>
      <c r="BO277" s="133"/>
      <c r="BP277" s="321">
        <f>+BM277*BP$465/BM$465</f>
        <v>-0.67227999999999599</v>
      </c>
      <c r="BQ277" s="321">
        <f>+BP277*BQ$465/BP$465</f>
        <v>-0.67227999999999599</v>
      </c>
      <c r="BR277" s="136">
        <f t="shared" ref="BR277" si="1537">+BP277+BQ277</f>
        <v>-1.344559999999992</v>
      </c>
      <c r="BS277" s="133"/>
      <c r="BT277" s="321">
        <f>+BQ277*BT$465/BQ$465</f>
        <v>-0.67227999999999599</v>
      </c>
      <c r="BU277" s="321">
        <f>+BT277*BU$465/BT$465</f>
        <v>-0.67227999999999599</v>
      </c>
      <c r="BV277" s="136">
        <f t="shared" ref="BV277" si="1538">+BT277+BU277</f>
        <v>-1.344559999999992</v>
      </c>
      <c r="BW277" s="133"/>
      <c r="BX277" s="321">
        <f>+BU277*BX$465/BU$465</f>
        <v>-0.67227999999999599</v>
      </c>
      <c r="BY277" s="321">
        <f>+BX277*BY$465/BX$465</f>
        <v>-0.67227999999999599</v>
      </c>
      <c r="BZ277" s="136">
        <f t="shared" ref="BZ277" si="1539">+BX277+BY277</f>
        <v>-1.344559999999992</v>
      </c>
    </row>
    <row r="278" spans="1:78" s="316" customFormat="1">
      <c r="A278" s="307"/>
      <c r="B278" s="307" t="s">
        <v>186</v>
      </c>
      <c r="C278" s="184"/>
      <c r="D278" s="329"/>
      <c r="E278" s="329"/>
      <c r="F278" s="329"/>
      <c r="G278" s="329"/>
      <c r="H278" s="329"/>
      <c r="I278" s="329"/>
      <c r="J278" s="329"/>
      <c r="K278" s="329"/>
      <c r="L278" s="329"/>
      <c r="M278" s="329"/>
      <c r="N278" s="329"/>
      <c r="O278" s="329"/>
      <c r="P278" s="329"/>
      <c r="Q278" s="329"/>
      <c r="R278" s="329"/>
      <c r="S278" s="329"/>
      <c r="T278" s="329"/>
      <c r="U278" s="232">
        <f t="shared" si="1510"/>
        <v>7.6</v>
      </c>
      <c r="V278" s="313">
        <v>7.6</v>
      </c>
      <c r="W278" s="184"/>
      <c r="X278" s="313">
        <v>10.8</v>
      </c>
      <c r="Y278" s="232">
        <f>Z278-X278</f>
        <v>11.2</v>
      </c>
      <c r="Z278" s="313">
        <v>22</v>
      </c>
      <c r="AA278" s="184"/>
      <c r="AB278" s="313">
        <v>12.1</v>
      </c>
      <c r="AC278" s="232">
        <f>AD278-AB278</f>
        <v>13.799999999999999</v>
      </c>
      <c r="AD278" s="313">
        <v>25.9</v>
      </c>
      <c r="AF278" s="343">
        <v>14</v>
      </c>
      <c r="AG278" s="232">
        <f>AH278-AF278</f>
        <v>16.7</v>
      </c>
      <c r="AH278" s="343">
        <v>30.7</v>
      </c>
      <c r="AJ278" s="343">
        <v>16.399999999999999</v>
      </c>
      <c r="AK278" s="232">
        <f>AL278-AJ278</f>
        <v>20.694000000000003</v>
      </c>
      <c r="AL278" s="343">
        <v>37.094000000000001</v>
      </c>
      <c r="AN278" s="313">
        <v>21</v>
      </c>
      <c r="AO278" s="232">
        <f>AP278-AN278</f>
        <v>26</v>
      </c>
      <c r="AP278" s="913">
        <v>47</v>
      </c>
      <c r="AR278" s="232">
        <f>+AR273+AR277</f>
        <v>23.486360000000008</v>
      </c>
      <c r="AS278" s="232">
        <f>+AS273+AS277</f>
        <v>28.6568</v>
      </c>
      <c r="AT278" s="232">
        <f>+AT273+AT277</f>
        <v>52.143160000000009</v>
      </c>
      <c r="AV278" s="232">
        <f>+AV273+AV277</f>
        <v>26.222706000000009</v>
      </c>
      <c r="AW278" s="232">
        <f>+AW273+AW277</f>
        <v>31.94286</v>
      </c>
      <c r="AX278" s="232">
        <f>+AX273+AX277</f>
        <v>58.165566000000005</v>
      </c>
      <c r="AZ278" s="232">
        <f>+AZ273+AZ277</f>
        <v>29.261377600000014</v>
      </c>
      <c r="BA278" s="232">
        <f>+BA273+BA277</f>
        <v>35.589484000000006</v>
      </c>
      <c r="BB278" s="232">
        <f>+BB273+BB277</f>
        <v>64.850861600000016</v>
      </c>
      <c r="BD278" s="232">
        <f>+BD273+BD277</f>
        <v>31.057397056000013</v>
      </c>
      <c r="BE278" s="232">
        <f>+BE273+BE277</f>
        <v>37.765189840000012</v>
      </c>
      <c r="BF278" s="232">
        <f>+BF273+BF277</f>
        <v>68.822586896000033</v>
      </c>
      <c r="BH278" s="232">
        <f>+BH273+BH277</f>
        <v>32.96117767936002</v>
      </c>
      <c r="BI278" s="232">
        <f>+BI273+BI277</f>
        <v>40.07143803040001</v>
      </c>
      <c r="BJ278" s="232">
        <f>+BJ273+BJ277</f>
        <v>73.032615709760037</v>
      </c>
      <c r="BL278" s="232">
        <f>+BL273+BL277</f>
        <v>34.979185140121622</v>
      </c>
      <c r="BM278" s="232">
        <f>+BM273+BM277</f>
        <v>42.516061112224016</v>
      </c>
      <c r="BN278" s="232">
        <f>+BN273+BN277</f>
        <v>77.495246252345638</v>
      </c>
      <c r="BP278" s="232">
        <f>+BP273+BP277</f>
        <v>37.11827304852892</v>
      </c>
      <c r="BQ278" s="232">
        <f>+BQ273+BQ277</f>
        <v>45.107361578957466</v>
      </c>
      <c r="BR278" s="232">
        <f>+BR273+BR277</f>
        <v>82.225634627486386</v>
      </c>
      <c r="BT278" s="232">
        <f>+BT273+BT277</f>
        <v>39.385706231440658</v>
      </c>
      <c r="BU278" s="232">
        <f>+BU273+BU277</f>
        <v>47.854140073694914</v>
      </c>
      <c r="BV278" s="232">
        <f>+BV273+BV277</f>
        <v>87.239846305135572</v>
      </c>
      <c r="BX278" s="232">
        <f>+BX273+BX277</f>
        <v>41.789185405327103</v>
      </c>
      <c r="BY278" s="232">
        <f>+BY273+BY277</f>
        <v>50.765725278116605</v>
      </c>
      <c r="BZ278" s="232">
        <f>+BZ273+BZ277</f>
        <v>92.554910683443708</v>
      </c>
    </row>
    <row r="279" spans="1:78" s="137" customFormat="1">
      <c r="A279" s="146"/>
      <c r="B279" s="146"/>
      <c r="C279" s="184"/>
      <c r="D279" s="327"/>
      <c r="E279" s="327"/>
      <c r="F279" s="327"/>
      <c r="G279" s="327"/>
      <c r="H279" s="327"/>
      <c r="I279" s="327"/>
      <c r="J279" s="327"/>
      <c r="K279" s="327"/>
      <c r="L279" s="327"/>
      <c r="M279" s="327"/>
      <c r="N279" s="327"/>
      <c r="O279" s="327"/>
      <c r="P279" s="327"/>
      <c r="Q279" s="327"/>
      <c r="R279" s="327"/>
      <c r="S279" s="327"/>
      <c r="T279" s="327"/>
      <c r="U279" s="136"/>
      <c r="V279" s="168"/>
      <c r="W279" s="184"/>
      <c r="X279" s="168"/>
      <c r="Y279" s="136"/>
      <c r="Z279" s="168"/>
      <c r="AA279" s="184"/>
      <c r="AB279" s="168"/>
      <c r="AC279" s="136"/>
      <c r="AD279" s="168"/>
      <c r="AF279" s="264"/>
      <c r="AG279" s="136"/>
      <c r="AH279" s="168"/>
      <c r="AJ279" s="264"/>
      <c r="AK279" s="136"/>
      <c r="AL279" s="264"/>
      <c r="AN279" s="168"/>
      <c r="AO279" s="136"/>
      <c r="AP279" s="264"/>
      <c r="AR279" s="161"/>
      <c r="AS279" s="161"/>
      <c r="AT279" s="161"/>
      <c r="AV279" s="161"/>
      <c r="AW279" s="161"/>
      <c r="AX279" s="161"/>
      <c r="AZ279" s="161"/>
      <c r="BA279" s="161"/>
      <c r="BB279" s="161"/>
      <c r="BD279" s="161"/>
      <c r="BE279" s="161"/>
      <c r="BF279" s="161"/>
      <c r="BH279" s="161"/>
      <c r="BI279" s="161"/>
      <c r="BJ279" s="161"/>
      <c r="BL279" s="161"/>
      <c r="BM279" s="161"/>
      <c r="BN279" s="161"/>
      <c r="BP279" s="161"/>
      <c r="BQ279" s="161"/>
      <c r="BR279" s="161"/>
      <c r="BT279" s="161"/>
      <c r="BU279" s="161"/>
      <c r="BV279" s="161"/>
      <c r="BX279" s="161"/>
      <c r="BY279" s="161"/>
      <c r="BZ279" s="161"/>
    </row>
    <row r="280" spans="1:78" s="135" customFormat="1">
      <c r="A280" s="134"/>
      <c r="B280" s="150" t="s">
        <v>163</v>
      </c>
      <c r="D280" s="328"/>
      <c r="E280" s="328"/>
      <c r="F280" s="328"/>
      <c r="G280" s="328"/>
      <c r="H280" s="328"/>
      <c r="I280" s="328"/>
      <c r="J280" s="328"/>
      <c r="K280" s="328"/>
      <c r="L280" s="328"/>
      <c r="M280" s="328"/>
      <c r="N280" s="328"/>
      <c r="O280" s="328"/>
      <c r="P280" s="328"/>
      <c r="Q280" s="328"/>
      <c r="R280" s="328"/>
      <c r="S280" s="328"/>
      <c r="T280" s="328"/>
      <c r="U280" s="136">
        <f>+U281-U278</f>
        <v>-10.7</v>
      </c>
      <c r="V280" s="136">
        <f>+V281-V278</f>
        <v>-10.7</v>
      </c>
      <c r="W280" s="133"/>
      <c r="X280" s="136">
        <f>+X281-X278</f>
        <v>-6.5000000000000009</v>
      </c>
      <c r="Y280" s="136">
        <f>+Y281-Y278</f>
        <v>-6.5999999999999988</v>
      </c>
      <c r="Z280" s="136">
        <f>+Z281-Z278</f>
        <v>-13.1</v>
      </c>
      <c r="AA280" s="133"/>
      <c r="AB280" s="136">
        <f>+AB281-AB278</f>
        <v>-7.1999999999999993</v>
      </c>
      <c r="AC280" s="136">
        <f>+AC281-AC278</f>
        <v>-8.1999999999999993</v>
      </c>
      <c r="AD280" s="136">
        <f>+AD281-AD278</f>
        <v>-15.399999999999999</v>
      </c>
      <c r="AE280" s="133"/>
      <c r="AF280" s="262">
        <f>+AF281-AF278</f>
        <v>-8.3000000000000007</v>
      </c>
      <c r="AG280" s="136">
        <f>+AG281-AG278</f>
        <v>-9.9199999999999982</v>
      </c>
      <c r="AH280" s="136">
        <f>+AH281-AH278</f>
        <v>-18.22</v>
      </c>
      <c r="AI280" s="133"/>
      <c r="AJ280" s="262">
        <f>+AJ281-AJ278</f>
        <v>-9.6999999999999993</v>
      </c>
      <c r="AK280" s="136">
        <f>+AK281-AK278</f>
        <v>-12.307000000000002</v>
      </c>
      <c r="AL280" s="262">
        <f>+AL281-AL278</f>
        <v>-22.007000000000001</v>
      </c>
      <c r="AM280" s="133"/>
      <c r="AN280" s="136">
        <f>+AN281-AN278</f>
        <v>-12.4</v>
      </c>
      <c r="AO280" s="136">
        <f>+AO281-AO278</f>
        <v>-15.499999999999998</v>
      </c>
      <c r="AP280" s="262">
        <f>+AP281-AP278</f>
        <v>-27.9</v>
      </c>
      <c r="AQ280" s="133"/>
      <c r="AR280" s="136">
        <f>+AR281-AR278</f>
        <v>-13.856952400000006</v>
      </c>
      <c r="AS280" s="136">
        <f>+AS281-AS278</f>
        <v>-16.907512000000001</v>
      </c>
      <c r="AT280" s="136">
        <f>+AT281-AT278</f>
        <v>-30.764464400000008</v>
      </c>
      <c r="AU280" s="133"/>
      <c r="AV280" s="136">
        <f>+AV281-AV278</f>
        <v>-15.471396540000006</v>
      </c>
      <c r="AW280" s="136">
        <f>+AW281-AW278</f>
        <v>-18.846287400000001</v>
      </c>
      <c r="AX280" s="136">
        <f>+AX281-AX278</f>
        <v>-34.317683940000002</v>
      </c>
      <c r="AY280" s="133"/>
      <c r="AZ280" s="136">
        <f>+AZ281-AZ278</f>
        <v>-17.264212784000009</v>
      </c>
      <c r="BA280" s="136">
        <f>+BA281-BA278</f>
        <v>-20.997795560000004</v>
      </c>
      <c r="BB280" s="136">
        <f>+BB281-BB278</f>
        <v>-38.262008344000009</v>
      </c>
      <c r="BC280" s="133"/>
      <c r="BD280" s="136">
        <f>+BD281-BD278</f>
        <v>-18.323864263040008</v>
      </c>
      <c r="BE280" s="136">
        <f>+BE281-BE278</f>
        <v>-22.281462005600009</v>
      </c>
      <c r="BF280" s="136">
        <f>+BF281-BF278</f>
        <v>-40.605326268640027</v>
      </c>
      <c r="BG280" s="133"/>
      <c r="BH280" s="136">
        <f>+BH281-BH278</f>
        <v>-19.447094830822415</v>
      </c>
      <c r="BI280" s="136">
        <f>+BI281-BI278</f>
        <v>-23.642148437936008</v>
      </c>
      <c r="BJ280" s="136">
        <f>+BJ281-BJ278</f>
        <v>-43.08924326875843</v>
      </c>
      <c r="BK280" s="133"/>
      <c r="BL280" s="136">
        <f>+BL281-BL278</f>
        <v>-20.637719232671756</v>
      </c>
      <c r="BM280" s="136">
        <f>+BM281-BM278</f>
        <v>-25.084476056212171</v>
      </c>
      <c r="BN280" s="136">
        <f>+BN281-BN278</f>
        <v>-45.722195288883931</v>
      </c>
      <c r="BO280" s="133"/>
      <c r="BP280" s="136">
        <f>+BP281-BP278</f>
        <v>-21.899781098632062</v>
      </c>
      <c r="BQ280" s="136">
        <f>+BQ281-BQ278</f>
        <v>-26.613343331584908</v>
      </c>
      <c r="BR280" s="136">
        <f>+BR281-BR278</f>
        <v>-48.513124430216969</v>
      </c>
      <c r="BS280" s="133"/>
      <c r="BT280" s="136">
        <f>+BT281-BT278</f>
        <v>-23.237566676549989</v>
      </c>
      <c r="BU280" s="136">
        <f>+BU281-BU278</f>
        <v>-28.233942643479999</v>
      </c>
      <c r="BV280" s="136">
        <f>+BV281-BV278</f>
        <v>-51.471509320029988</v>
      </c>
      <c r="BW280" s="133"/>
      <c r="BX280" s="136">
        <f>+BX281-BX278</f>
        <v>-24.655619389142991</v>
      </c>
      <c r="BY280" s="136">
        <f>+BY281-BY278</f>
        <v>-29.951777914088797</v>
      </c>
      <c r="BZ280" s="136">
        <f>+BZ281-BZ278</f>
        <v>-54.607397303231792</v>
      </c>
    </row>
    <row r="281" spans="1:78" s="135" customFormat="1" ht="14.4" thickBot="1">
      <c r="A281" s="307"/>
      <c r="B281" s="134" t="s">
        <v>182</v>
      </c>
      <c r="D281" s="330"/>
      <c r="E281" s="330"/>
      <c r="F281" s="330"/>
      <c r="G281" s="330"/>
      <c r="H281" s="330"/>
      <c r="I281" s="330"/>
      <c r="J281" s="330"/>
      <c r="K281" s="330"/>
      <c r="L281" s="330"/>
      <c r="M281" s="330"/>
      <c r="N281" s="330"/>
      <c r="O281" s="330"/>
      <c r="P281" s="330"/>
      <c r="Q281" s="330"/>
      <c r="R281" s="330"/>
      <c r="S281" s="330"/>
      <c r="T281" s="330"/>
      <c r="U281" s="232">
        <f>V281</f>
        <v>-3.1</v>
      </c>
      <c r="V281" s="313">
        <v>-3.1</v>
      </c>
      <c r="X281" s="313">
        <v>4.3</v>
      </c>
      <c r="Y281" s="232">
        <f>Z281-X281</f>
        <v>4.6000000000000005</v>
      </c>
      <c r="Z281" s="313">
        <v>8.9</v>
      </c>
      <c r="AB281" s="313">
        <v>4.9000000000000004</v>
      </c>
      <c r="AC281" s="232">
        <f>AD281-AB281</f>
        <v>5.6</v>
      </c>
      <c r="AD281" s="313">
        <v>10.5</v>
      </c>
      <c r="AF281" s="343">
        <v>5.7</v>
      </c>
      <c r="AG281" s="232">
        <f>AH281-AF281</f>
        <v>6.78</v>
      </c>
      <c r="AH281" s="343">
        <v>12.48</v>
      </c>
      <c r="AJ281" s="343">
        <v>6.7</v>
      </c>
      <c r="AK281" s="232">
        <f>AL281-AJ281</f>
        <v>8.3870000000000005</v>
      </c>
      <c r="AL281" s="343">
        <f>37.094-22.007</f>
        <v>15.087</v>
      </c>
      <c r="AN281" s="313">
        <v>8.6</v>
      </c>
      <c r="AO281" s="232">
        <f>AP281-AN281</f>
        <v>10.500000000000002</v>
      </c>
      <c r="AP281" s="913">
        <v>19.100000000000001</v>
      </c>
      <c r="AR281" s="232">
        <f>+AR282*AR278</f>
        <v>9.6294076000000022</v>
      </c>
      <c r="AS281" s="232">
        <f>+AS282*AS278</f>
        <v>11.749288</v>
      </c>
      <c r="AT281" s="232">
        <f>+AR281+AS281</f>
        <v>21.3786956</v>
      </c>
      <c r="AV281" s="232">
        <f>+AV282*AV278</f>
        <v>10.751309460000003</v>
      </c>
      <c r="AW281" s="232">
        <f>+AW282*AW278</f>
        <v>13.096572599999998</v>
      </c>
      <c r="AX281" s="232">
        <f>+AV281+AW281</f>
        <v>23.847882060000003</v>
      </c>
      <c r="AZ281" s="232">
        <f>+AZ282*AZ278</f>
        <v>11.997164816000005</v>
      </c>
      <c r="BA281" s="232">
        <f>+BA282*BA278</f>
        <v>14.591688440000002</v>
      </c>
      <c r="BB281" s="232">
        <f>+AZ281+BA281</f>
        <v>26.588853256000007</v>
      </c>
      <c r="BD281" s="232">
        <f>+BD282*BD278</f>
        <v>12.733532792960006</v>
      </c>
      <c r="BE281" s="232">
        <f>+BE282*BE278</f>
        <v>15.483727834400003</v>
      </c>
      <c r="BF281" s="232">
        <f>+BD281+BE281</f>
        <v>28.217260627360009</v>
      </c>
      <c r="BH281" s="232">
        <f>+BH282*BH278</f>
        <v>13.514082848537607</v>
      </c>
      <c r="BI281" s="232">
        <f>+BI282*BI278</f>
        <v>16.429289592464002</v>
      </c>
      <c r="BJ281" s="232">
        <f>+BH281+BI281</f>
        <v>29.943372441001607</v>
      </c>
      <c r="BL281" s="232">
        <f>+BL282*BL278</f>
        <v>14.341465907449864</v>
      </c>
      <c r="BM281" s="232">
        <f>+BM282*BM278</f>
        <v>17.431585056011844</v>
      </c>
      <c r="BN281" s="232">
        <f>+BL281+BM281</f>
        <v>31.773050963461706</v>
      </c>
      <c r="BP281" s="232">
        <f>+BP282*BP278</f>
        <v>15.218491949896856</v>
      </c>
      <c r="BQ281" s="232">
        <f>+BQ282*BQ278</f>
        <v>18.494018247372559</v>
      </c>
      <c r="BR281" s="232">
        <f>+BP281+BQ281</f>
        <v>33.712510197269417</v>
      </c>
      <c r="BT281" s="232">
        <f>+BT282*BT278</f>
        <v>16.148139554890669</v>
      </c>
      <c r="BU281" s="232">
        <f>+BU282*BU278</f>
        <v>19.620197430214915</v>
      </c>
      <c r="BV281" s="232">
        <f>+BT281+BU281</f>
        <v>35.768336985105584</v>
      </c>
      <c r="BX281" s="232">
        <f>+BX282*BX278</f>
        <v>17.133566016184112</v>
      </c>
      <c r="BY281" s="232">
        <f>+BY282*BY278</f>
        <v>20.813947364027808</v>
      </c>
      <c r="BZ281" s="232">
        <f>+BX281+BY281</f>
        <v>37.947513380211916</v>
      </c>
    </row>
    <row r="282" spans="1:78" s="220" customFormat="1" ht="14.4" thickBot="1">
      <c r="A282" s="660"/>
      <c r="B282" s="661" t="s">
        <v>260</v>
      </c>
      <c r="D282" s="674"/>
      <c r="E282" s="674"/>
      <c r="F282" s="674"/>
      <c r="G282" s="674"/>
      <c r="H282" s="674"/>
      <c r="I282" s="674"/>
      <c r="J282" s="674"/>
      <c r="K282" s="674"/>
      <c r="L282" s="674"/>
      <c r="M282" s="674"/>
      <c r="N282" s="674"/>
      <c r="O282" s="674"/>
      <c r="P282" s="674"/>
      <c r="Q282" s="674"/>
      <c r="R282" s="674"/>
      <c r="S282" s="674"/>
      <c r="T282" s="674"/>
      <c r="U282" s="720">
        <f>-U281/U278</f>
        <v>0.40789473684210531</v>
      </c>
      <c r="V282" s="720">
        <f>-V281/V278</f>
        <v>0.40789473684210531</v>
      </c>
      <c r="X282" s="387">
        <f>+X281/X278</f>
        <v>0.39814814814814808</v>
      </c>
      <c r="Y282" s="387">
        <f>+Y281/Y278</f>
        <v>0.41071428571428581</v>
      </c>
      <c r="Z282" s="387">
        <f>+Z281/Z278</f>
        <v>0.40454545454545454</v>
      </c>
      <c r="AB282" s="387">
        <f>+AB281/AB278</f>
        <v>0.40495867768595045</v>
      </c>
      <c r="AC282" s="387">
        <f>+AC281/AC278</f>
        <v>0.40579710144927539</v>
      </c>
      <c r="AD282" s="387">
        <f>+AD281/AD278</f>
        <v>0.40540540540540543</v>
      </c>
      <c r="AF282" s="388">
        <f>+AF281/AF278</f>
        <v>0.40714285714285714</v>
      </c>
      <c r="AG282" s="387">
        <f>+AG281/AG278</f>
        <v>0.40598802395209582</v>
      </c>
      <c r="AH282" s="387">
        <f>+AH281/AH278</f>
        <v>0.40651465798045605</v>
      </c>
      <c r="AJ282" s="388">
        <f>+AJ281/AJ278</f>
        <v>0.40853658536585369</v>
      </c>
      <c r="AK282" s="387">
        <f>+AK281/AK278</f>
        <v>0.40528655648980377</v>
      </c>
      <c r="AL282" s="387">
        <f>+AL281/AL278</f>
        <v>0.40672345931956649</v>
      </c>
      <c r="AN282" s="387">
        <f>+AN281/AN278</f>
        <v>0.40952380952380951</v>
      </c>
      <c r="AO282" s="387">
        <f>+AO281/AO278</f>
        <v>0.40384615384615391</v>
      </c>
      <c r="AP282" s="387">
        <f>+AP281/AP278</f>
        <v>0.40638297872340429</v>
      </c>
      <c r="AR282" s="662">
        <f>+Scenarios!AF18</f>
        <v>0.41</v>
      </c>
      <c r="AS282" s="662">
        <f>+Scenarios!AG18</f>
        <v>0.41</v>
      </c>
      <c r="AT282" s="387">
        <f>+AT281/AT278</f>
        <v>0.40999999999999992</v>
      </c>
      <c r="AV282" s="662">
        <f>+Scenarios!AJ18</f>
        <v>0.41</v>
      </c>
      <c r="AW282" s="662">
        <f>+Scenarios!AK18</f>
        <v>0.41</v>
      </c>
      <c r="AX282" s="387">
        <f>+AX281/AX278</f>
        <v>0.41000000000000003</v>
      </c>
      <c r="AZ282" s="662">
        <f>+Scenarios!AN18</f>
        <v>0.41</v>
      </c>
      <c r="BA282" s="662">
        <f>+Scenarios!AO18</f>
        <v>0.41</v>
      </c>
      <c r="BB282" s="387">
        <f>+BB281/BB278</f>
        <v>0.41000000000000003</v>
      </c>
      <c r="BD282" s="662">
        <f>+Scenarios!AR18</f>
        <v>0.41</v>
      </c>
      <c r="BE282" s="662">
        <f>+Scenarios!AS18</f>
        <v>0.41</v>
      </c>
      <c r="BF282" s="387">
        <f>+BF281/BF278</f>
        <v>0.40999999999999992</v>
      </c>
      <c r="BH282" s="662">
        <f>+Scenarios!AV18</f>
        <v>0.41</v>
      </c>
      <c r="BI282" s="662">
        <f>+Scenarios!AW18</f>
        <v>0.41</v>
      </c>
      <c r="BJ282" s="387">
        <f>+BJ281/BJ278</f>
        <v>0.40999999999999986</v>
      </c>
      <c r="BL282" s="662">
        <f>+Scenarios!AZ18</f>
        <v>0.41</v>
      </c>
      <c r="BM282" s="662">
        <f>+Scenarios!BA18</f>
        <v>0.41</v>
      </c>
      <c r="BN282" s="387">
        <f>+BN281/BN278</f>
        <v>0.40999999999999992</v>
      </c>
      <c r="BP282" s="662">
        <f>+Scenarios!BD18</f>
        <v>0.41</v>
      </c>
      <c r="BQ282" s="662">
        <f>+Scenarios!BE18</f>
        <v>0.41</v>
      </c>
      <c r="BR282" s="387">
        <f>+BR281/BR278</f>
        <v>0.41</v>
      </c>
      <c r="BT282" s="662">
        <f>+Scenarios!BH18</f>
        <v>0.41</v>
      </c>
      <c r="BU282" s="662">
        <f>+Scenarios!BI18</f>
        <v>0.41</v>
      </c>
      <c r="BV282" s="387">
        <f>+BV281/BV278</f>
        <v>0.41</v>
      </c>
      <c r="BX282" s="662">
        <f>+Scenarios!BL18</f>
        <v>0.41</v>
      </c>
      <c r="BY282" s="662">
        <f>+Scenarios!BM18</f>
        <v>0.41</v>
      </c>
      <c r="BZ282" s="387">
        <f>+BZ281/BZ278</f>
        <v>0.41</v>
      </c>
    </row>
    <row r="283" spans="1:78" s="135" customFormat="1">
      <c r="A283" s="134"/>
      <c r="B283" s="314" t="s">
        <v>259</v>
      </c>
      <c r="D283" s="328"/>
      <c r="E283" s="328"/>
      <c r="F283" s="328"/>
      <c r="G283" s="328"/>
      <c r="H283" s="328"/>
      <c r="I283" s="328"/>
      <c r="J283" s="328"/>
      <c r="K283" s="328"/>
      <c r="L283" s="328"/>
      <c r="M283" s="328"/>
      <c r="N283" s="328"/>
      <c r="O283" s="328"/>
      <c r="P283" s="328"/>
      <c r="Q283" s="328"/>
      <c r="R283" s="328"/>
      <c r="S283" s="328"/>
      <c r="T283" s="328"/>
      <c r="U283" s="315"/>
      <c r="V283" s="315"/>
      <c r="W283" s="133"/>
      <c r="X283" s="315"/>
      <c r="Y283" s="315">
        <f>+Y281/U281-1</f>
        <v>-2.4838709677419359</v>
      </c>
      <c r="Z283" s="315">
        <f>+Z281/V281-1</f>
        <v>-3.870967741935484</v>
      </c>
      <c r="AA283" s="133"/>
      <c r="AB283" s="315">
        <f>+AB281/X281-1</f>
        <v>0.13953488372093026</v>
      </c>
      <c r="AC283" s="315">
        <f>+AC281/Y281-1</f>
        <v>0.21739130434782594</v>
      </c>
      <c r="AD283" s="315">
        <f>+AD281/Z281-1</f>
        <v>0.1797752808988764</v>
      </c>
      <c r="AE283" s="133"/>
      <c r="AF283" s="374">
        <f>+AF281/AB281-1</f>
        <v>0.16326530612244894</v>
      </c>
      <c r="AG283" s="315">
        <f>+AG281/AC281-1</f>
        <v>0.21071428571428585</v>
      </c>
      <c r="AH283" s="315">
        <f>+AH281/AD281-1</f>
        <v>0.18857142857142861</v>
      </c>
      <c r="AI283" s="133"/>
      <c r="AJ283" s="374">
        <f>+AJ281/AF281-1</f>
        <v>0.17543859649122817</v>
      </c>
      <c r="AK283" s="315">
        <f>+AK281/AG281-1</f>
        <v>0.23702064896755171</v>
      </c>
      <c r="AL283" s="315">
        <f>+AL281/AH281-1</f>
        <v>0.20889423076923075</v>
      </c>
      <c r="AM283" s="133"/>
      <c r="AN283" s="315">
        <f>+AN281/AJ281-1</f>
        <v>0.28358208955223874</v>
      </c>
      <c r="AO283" s="315">
        <f>+AO281/AK281-1</f>
        <v>0.2519375223560274</v>
      </c>
      <c r="AP283" s="315">
        <f>+AP281/AL281-1</f>
        <v>0.26599058792337793</v>
      </c>
      <c r="AQ283" s="133"/>
      <c r="AR283" s="315">
        <f>+AR281/AN281-1</f>
        <v>0.11969855813953512</v>
      </c>
      <c r="AS283" s="315">
        <f>+AS281/AO281-1</f>
        <v>0.11897980952380927</v>
      </c>
      <c r="AT283" s="315">
        <f>+AT281/AP281-1</f>
        <v>0.11930343455497372</v>
      </c>
      <c r="AU283" s="133"/>
      <c r="AV283" s="315">
        <f>+AV281/AR281-1</f>
        <v>0.11650787946706109</v>
      </c>
      <c r="AW283" s="315">
        <f>+AW281/AS281-1</f>
        <v>0.11466946763071917</v>
      </c>
      <c r="AX283" s="315">
        <f>+AX281/AT281-1</f>
        <v>0.11549752642532618</v>
      </c>
      <c r="AY283" s="133"/>
      <c r="AZ283" s="315">
        <f>+AZ281/AV281-1</f>
        <v>0.11587940619095538</v>
      </c>
      <c r="BA283" s="315">
        <f>+BA281/AW281-1</f>
        <v>0.11416084846504071</v>
      </c>
      <c r="BB283" s="315">
        <f>+BB281/AX281-1</f>
        <v>0.11493562359558251</v>
      </c>
      <c r="BC283" s="133"/>
      <c r="BD283" s="315">
        <f>+BD281/AZ281-1</f>
        <v>6.137849969168907E-2</v>
      </c>
      <c r="BE283" s="315">
        <f>+BE281/BA281-1</f>
        <v>6.1133390975828705E-2</v>
      </c>
      <c r="BF283" s="315">
        <f>+BF281/BB281-1</f>
        <v>6.1243986556379193E-2</v>
      </c>
      <c r="BG283" s="133"/>
      <c r="BH283" s="315">
        <f>+BH281/BD281-1</f>
        <v>6.1298782377907202E-2</v>
      </c>
      <c r="BI283" s="315">
        <f>+BI281/BE281-1</f>
        <v>6.1068094723497834E-2</v>
      </c>
      <c r="BJ283" s="315">
        <f>+BJ281/BF281-1</f>
        <v>6.1172196565669745E-2</v>
      </c>
      <c r="BK283" s="133"/>
      <c r="BL283" s="315">
        <f>+BL281/BH281-1</f>
        <v>6.1223766953729442E-2</v>
      </c>
      <c r="BM283" s="315">
        <f>+BM281/BI281-1</f>
        <v>6.1006622222277151E-2</v>
      </c>
      <c r="BN283" s="315">
        <f>+BN281/BJ281-1</f>
        <v>6.1104624272538821E-2</v>
      </c>
      <c r="BO283" s="133"/>
      <c r="BP283" s="315">
        <f>+BP281/BL281-1</f>
        <v>6.1153165799558096E-2</v>
      </c>
      <c r="BQ283" s="315">
        <f>+BQ281/BM281-1</f>
        <v>6.0948742638541553E-2</v>
      </c>
      <c r="BR283" s="315">
        <f>+BR281/BN281-1</f>
        <v>6.1041013531814903E-2</v>
      </c>
      <c r="BS283" s="133"/>
      <c r="BT283" s="315">
        <f>+BT281/BP281-1</f>
        <v>6.1086710040288317E-2</v>
      </c>
      <c r="BU283" s="315">
        <f>+BU281/BQ281-1</f>
        <v>6.0894239844407672E-2</v>
      </c>
      <c r="BV283" s="315">
        <f>+BV281/BR281-1</f>
        <v>6.0981124686546817E-2</v>
      </c>
      <c r="BW283" s="133"/>
      <c r="BX283" s="315">
        <f>+BX281/BT281-1</f>
        <v>6.1024148196378025E-2</v>
      </c>
      <c r="BY283" s="315">
        <f>+BY281/BU281-1</f>
        <v>6.0842911395709409E-2</v>
      </c>
      <c r="BZ283" s="315">
        <f>+BZ281/BV281-1</f>
        <v>6.0924733403562303E-2</v>
      </c>
    </row>
    <row r="284" spans="1:78" s="161" customFormat="1">
      <c r="A284" s="146"/>
      <c r="B284" s="148"/>
      <c r="D284" s="230"/>
      <c r="F284" s="230"/>
      <c r="H284" s="230"/>
      <c r="J284" s="230"/>
      <c r="L284" s="230"/>
      <c r="N284" s="230"/>
      <c r="P284" s="230"/>
      <c r="R284" s="230"/>
      <c r="T284" s="230"/>
      <c r="V284" s="230"/>
      <c r="X284" s="230"/>
      <c r="Z284" s="230"/>
      <c r="AB284" s="230"/>
      <c r="AF284" s="256"/>
      <c r="AJ284" s="256"/>
      <c r="AN284" s="256"/>
      <c r="AR284" s="133"/>
      <c r="AV284" s="133"/>
      <c r="AZ284" s="133"/>
      <c r="BD284" s="133"/>
      <c r="BH284" s="133"/>
      <c r="BL284" s="133"/>
      <c r="BP284" s="133"/>
      <c r="BT284" s="133"/>
      <c r="BX284" s="133"/>
    </row>
    <row r="285" spans="1:78" s="135" customFormat="1">
      <c r="A285" s="134"/>
      <c r="B285" s="150"/>
      <c r="D285" s="315"/>
      <c r="E285" s="315"/>
      <c r="F285" s="315"/>
      <c r="G285" s="133"/>
      <c r="H285" s="315"/>
      <c r="I285" s="315"/>
      <c r="J285" s="315"/>
      <c r="K285" s="133"/>
      <c r="L285" s="315"/>
      <c r="M285" s="315"/>
      <c r="N285" s="315"/>
      <c r="O285" s="133"/>
      <c r="P285" s="315"/>
      <c r="Q285" s="315"/>
      <c r="R285" s="315"/>
      <c r="S285" s="133"/>
      <c r="T285" s="315"/>
      <c r="U285" s="315"/>
      <c r="V285" s="315"/>
      <c r="W285" s="133"/>
      <c r="X285" s="315"/>
      <c r="Y285" s="315"/>
      <c r="Z285" s="315"/>
      <c r="AA285" s="133"/>
      <c r="AB285" s="315"/>
      <c r="AC285" s="315"/>
      <c r="AD285" s="384"/>
      <c r="AE285" s="133"/>
      <c r="AF285" s="384"/>
      <c r="AG285" s="232"/>
      <c r="AH285" s="232"/>
      <c r="AI285" s="133"/>
      <c r="AJ285" s="384"/>
      <c r="AK285" s="232"/>
      <c r="AL285" s="232"/>
      <c r="AM285" s="133"/>
      <c r="AN285" s="384"/>
      <c r="AO285" s="232"/>
      <c r="AP285" s="232"/>
      <c r="AQ285" s="133"/>
      <c r="AR285" s="232"/>
      <c r="AS285" s="232"/>
      <c r="AT285" s="232"/>
      <c r="AU285" s="133"/>
      <c r="AV285" s="232"/>
      <c r="AW285" s="232"/>
      <c r="AX285" s="232"/>
      <c r="AY285" s="133"/>
      <c r="AZ285" s="232"/>
      <c r="BA285" s="232"/>
      <c r="BB285" s="232"/>
      <c r="BC285" s="133"/>
      <c r="BD285" s="232"/>
      <c r="BE285" s="232"/>
      <c r="BF285" s="232"/>
      <c r="BG285" s="133"/>
      <c r="BH285" s="232"/>
      <c r="BI285" s="232"/>
      <c r="BJ285" s="232"/>
      <c r="BK285" s="133"/>
      <c r="BL285" s="232"/>
      <c r="BM285" s="232"/>
      <c r="BN285" s="232"/>
      <c r="BO285" s="133"/>
      <c r="BP285" s="232"/>
      <c r="BQ285" s="232"/>
      <c r="BR285" s="232"/>
      <c r="BS285" s="133"/>
      <c r="BT285" s="232"/>
      <c r="BU285" s="232"/>
      <c r="BV285" s="232"/>
      <c r="BW285" s="133"/>
      <c r="BX285" s="232"/>
      <c r="BY285" s="232"/>
      <c r="BZ285" s="232"/>
    </row>
    <row r="286" spans="1:78" s="346" customFormat="1">
      <c r="B286" s="345" t="s">
        <v>277</v>
      </c>
      <c r="D286" s="345"/>
      <c r="E286" s="345"/>
      <c r="F286" s="345"/>
      <c r="H286" s="345"/>
      <c r="I286" s="345"/>
      <c r="J286" s="345"/>
      <c r="L286" s="345"/>
      <c r="M286" s="345"/>
      <c r="N286" s="345"/>
      <c r="P286" s="345"/>
      <c r="Q286" s="345"/>
      <c r="R286" s="345"/>
      <c r="T286" s="345">
        <f>+T267+T271+T277+T280-T281</f>
        <v>0</v>
      </c>
      <c r="U286" s="345">
        <f>+U267+U271+U277+U280-U281</f>
        <v>0</v>
      </c>
      <c r="V286" s="345">
        <f>+V267+V271+V277+V280-V281</f>
        <v>0</v>
      </c>
      <c r="X286" s="345">
        <f>+X267+X271+X277+X280-X281</f>
        <v>0</v>
      </c>
      <c r="Y286" s="345">
        <f>+Y267+Y271+Y277+Y280-Y281</f>
        <v>0</v>
      </c>
      <c r="Z286" s="345">
        <f>+Z267+Z271+Z277+Z280-Z281</f>
        <v>0</v>
      </c>
      <c r="AA286" s="682"/>
      <c r="AB286" s="345">
        <f>+AB267+AB271+AB277+AB280-AB281</f>
        <v>0</v>
      </c>
      <c r="AC286" s="345">
        <f>+AC267+AC271+AC277+AC280-AC281</f>
        <v>0</v>
      </c>
      <c r="AD286" s="345">
        <f>+AD267+AD271+AD277+AD280-AD281</f>
        <v>0</v>
      </c>
      <c r="AF286" s="345">
        <f>+AF267+AF271+AF277+AF280-AF281</f>
        <v>0</v>
      </c>
      <c r="AG286" s="345">
        <f>+AG267+AG271+AG277+AG280-AG281</f>
        <v>7.9936057773011271E-15</v>
      </c>
      <c r="AH286" s="345">
        <f>+AH267+AH271+AH277+AH280-AH281</f>
        <v>0</v>
      </c>
      <c r="AJ286" s="345">
        <f>+AJ267+AJ271+AJ277+AJ280-AJ281</f>
        <v>0</v>
      </c>
      <c r="AK286" s="345">
        <f>+AK267+AK271+AK277+AK280-AK281</f>
        <v>3.9999999999977831E-3</v>
      </c>
      <c r="AL286" s="345">
        <f>+AL267+AL271+AL277+AL280-AL281</f>
        <v>3.9999999999977831E-3</v>
      </c>
      <c r="AN286" s="345">
        <f>+AN267+AN271+AN277+AN280-AN281</f>
        <v>0</v>
      </c>
      <c r="AO286" s="345">
        <f>+AO267+AO271+AO277+AO280-AO281</f>
        <v>0</v>
      </c>
      <c r="AP286" s="345">
        <f>+AP267+AP271+AP277+AP280-AP281</f>
        <v>0</v>
      </c>
      <c r="AR286" s="345">
        <f>+AR267+AR271+AR277+AR280-AR281</f>
        <v>0</v>
      </c>
      <c r="AS286" s="345">
        <f>+AS267+AS271+AS277+AS280-AS281</f>
        <v>0</v>
      </c>
      <c r="AT286" s="345">
        <f>+AT267+AT271+AT277+AT280-AT281</f>
        <v>0</v>
      </c>
      <c r="AV286" s="345">
        <f>+AV267+AV271+AV277+AV280-AV281</f>
        <v>0</v>
      </c>
      <c r="AW286" s="345">
        <f>+AW267+AW271+AW277+AW280-AW281</f>
        <v>0</v>
      </c>
      <c r="AX286" s="345">
        <f>+AX267+AX271+AX277+AX280-AX281</f>
        <v>0</v>
      </c>
      <c r="AZ286" s="345">
        <f>+AZ267+AZ271+AZ277+AZ280-AZ281</f>
        <v>0</v>
      </c>
      <c r="BA286" s="345">
        <f>+BA267+BA271+BA277+BA280-BA281</f>
        <v>0</v>
      </c>
      <c r="BB286" s="345">
        <f>+BB267+BB271+BB277+BB280-BB281</f>
        <v>0</v>
      </c>
      <c r="BD286" s="345">
        <f>+BD267+BD271+BD277+BD280-BD281</f>
        <v>0</v>
      </c>
      <c r="BE286" s="345">
        <f>+BE267+BE271+BE277+BE280-BE281</f>
        <v>0</v>
      </c>
      <c r="BF286" s="345">
        <f>+BF267+BF271+BF277+BF280-BF281</f>
        <v>0</v>
      </c>
      <c r="BH286" s="345">
        <f>+BH267+BH271+BH277+BH280-BH281</f>
        <v>0</v>
      </c>
      <c r="BI286" s="345">
        <f>+BI267+BI271+BI277+BI280-BI281</f>
        <v>0</v>
      </c>
      <c r="BJ286" s="345">
        <f>+BJ267+BJ271+BJ277+BJ280-BJ281</f>
        <v>0</v>
      </c>
      <c r="BL286" s="345">
        <f>+BL267+BL271+BL277+BL280-BL281</f>
        <v>0</v>
      </c>
      <c r="BM286" s="345">
        <f>+BM267+BM271+BM277+BM280-BM281</f>
        <v>0</v>
      </c>
      <c r="BN286" s="345">
        <f>+BN267+BN271+BN277+BN280-BN281</f>
        <v>0</v>
      </c>
      <c r="BP286" s="345">
        <f>+BP267+BP271+BP277+BP280-BP281</f>
        <v>0</v>
      </c>
      <c r="BQ286" s="345">
        <f>+BQ267+BQ271+BQ277+BQ280-BQ281</f>
        <v>0</v>
      </c>
      <c r="BR286" s="345">
        <f>+BR267+BR271+BR277+BR280-BR281</f>
        <v>0</v>
      </c>
      <c r="BT286" s="345">
        <f>+BT267+BT271+BT277+BT280-BT281</f>
        <v>0</v>
      </c>
      <c r="BU286" s="345">
        <f>+BU267+BU271+BU277+BU280-BU281</f>
        <v>0</v>
      </c>
      <c r="BV286" s="345">
        <f>+BV267+BV271+BV277+BV280-BV281</f>
        <v>0</v>
      </c>
      <c r="BX286" s="345">
        <f>+BX267+BX271+BX277+BX280-BX281</f>
        <v>0</v>
      </c>
      <c r="BY286" s="345">
        <f>+BY267+BY271+BY277+BY280-BY281</f>
        <v>0</v>
      </c>
      <c r="BZ286" s="345">
        <f>+BZ267+BZ271+BZ277+BZ280-BZ281</f>
        <v>0</v>
      </c>
    </row>
    <row r="287" spans="1:78" s="315" customFormat="1"/>
    <row r="288" spans="1:78" s="229" customFormat="1" ht="15.6">
      <c r="A288" s="228"/>
      <c r="B288" s="576" t="s">
        <v>187</v>
      </c>
    </row>
    <row r="289" spans="1:78">
      <c r="A289" s="133"/>
      <c r="B289" s="280"/>
    </row>
    <row r="290" spans="1:78">
      <c r="A290" s="133"/>
      <c r="B290" s="151" t="s">
        <v>371</v>
      </c>
      <c r="F290" s="393">
        <v>-0.09</v>
      </c>
      <c r="L290" s="393">
        <v>0.05</v>
      </c>
      <c r="M290" s="393">
        <v>0.05</v>
      </c>
      <c r="N290" s="393">
        <v>0.05</v>
      </c>
      <c r="P290" s="393">
        <v>0.05</v>
      </c>
      <c r="Q290" s="393">
        <v>0.05</v>
      </c>
      <c r="AJ290" s="885">
        <f>1192/1042-1</f>
        <v>0.14395393474088292</v>
      </c>
      <c r="AL290" s="256"/>
    </row>
    <row r="291" spans="1:78" s="135" customFormat="1">
      <c r="B291" s="151" t="s">
        <v>325</v>
      </c>
      <c r="D291" s="343">
        <v>300</v>
      </c>
      <c r="E291" s="343">
        <v>300</v>
      </c>
      <c r="F291" s="343">
        <v>300</v>
      </c>
      <c r="N291" s="133"/>
      <c r="R291" s="343">
        <v>350</v>
      </c>
      <c r="V291" s="313">
        <v>344</v>
      </c>
      <c r="Y291" s="232">
        <f>+Z291</f>
        <v>516</v>
      </c>
      <c r="Z291" s="313">
        <v>516</v>
      </c>
      <c r="AA291" s="313"/>
      <c r="AB291" s="313">
        <v>562</v>
      </c>
      <c r="AC291" s="232">
        <f>+AD291</f>
        <v>679</v>
      </c>
      <c r="AD291" s="313">
        <v>679</v>
      </c>
      <c r="AF291" s="313">
        <v>830</v>
      </c>
      <c r="AG291" s="232">
        <f>+AH291</f>
        <v>910</v>
      </c>
      <c r="AH291" s="343">
        <v>910</v>
      </c>
      <c r="AJ291" s="343">
        <v>1042</v>
      </c>
      <c r="AK291" s="232">
        <f>+AL291</f>
        <v>1088</v>
      </c>
      <c r="AL291" s="343">
        <v>1088</v>
      </c>
      <c r="AN291" s="313">
        <v>1192</v>
      </c>
      <c r="AO291" s="232">
        <f>+AP291</f>
        <v>1300</v>
      </c>
      <c r="AP291" s="913">
        <v>1300</v>
      </c>
    </row>
    <row r="292" spans="1:78">
      <c r="A292" s="133"/>
      <c r="B292" s="280"/>
      <c r="AD292" s="378"/>
      <c r="AH292" s="378"/>
      <c r="AL292" s="840"/>
      <c r="AP292" s="840"/>
    </row>
    <row r="293" spans="1:78" ht="14.4" thickBot="1">
      <c r="B293" s="150" t="s">
        <v>177</v>
      </c>
      <c r="D293" s="168">
        <v>21.582999999999998</v>
      </c>
      <c r="E293" s="136">
        <f>F293-D293</f>
        <v>23.167000000000002</v>
      </c>
      <c r="F293" s="168">
        <v>44.75</v>
      </c>
      <c r="H293" s="168">
        <v>22.715</v>
      </c>
      <c r="I293" s="136">
        <f>J293-H293</f>
        <v>28.014999999999997</v>
      </c>
      <c r="J293" s="168">
        <v>50.73</v>
      </c>
      <c r="L293" s="168">
        <v>24.213999999999999</v>
      </c>
      <c r="M293" s="136">
        <f>N293-L293</f>
        <v>27.686</v>
      </c>
      <c r="N293" s="168">
        <v>51.9</v>
      </c>
      <c r="P293" s="168">
        <v>27.9</v>
      </c>
      <c r="Q293" s="136">
        <f>R293-P293</f>
        <v>29.800000000000004</v>
      </c>
      <c r="R293" s="168">
        <v>57.7</v>
      </c>
      <c r="T293" s="168">
        <v>28.4</v>
      </c>
      <c r="U293" s="136">
        <f>V293-T293</f>
        <v>27.4</v>
      </c>
      <c r="V293" s="168">
        <v>55.8</v>
      </c>
      <c r="X293" s="168">
        <v>28.1</v>
      </c>
      <c r="Y293" s="136">
        <f>Z293-X293</f>
        <v>40.6</v>
      </c>
      <c r="Z293" s="168">
        <v>68.7</v>
      </c>
      <c r="AB293" s="168">
        <v>41.3</v>
      </c>
      <c r="AC293" s="136">
        <f>AD293-AB293</f>
        <v>52.150000000000006</v>
      </c>
      <c r="AD293" s="168">
        <v>93.45</v>
      </c>
      <c r="AF293" s="264">
        <v>54.8</v>
      </c>
      <c r="AG293" s="136">
        <f>AH293-AF293</f>
        <v>75.3</v>
      </c>
      <c r="AH293" s="264">
        <v>130.1</v>
      </c>
      <c r="AJ293" s="264">
        <v>71.8</v>
      </c>
      <c r="AK293" s="136">
        <f>AL293-AJ293</f>
        <v>84.600000000000009</v>
      </c>
      <c r="AL293" s="264">
        <v>156.4</v>
      </c>
      <c r="AN293" s="168">
        <v>91.3</v>
      </c>
      <c r="AO293" s="136">
        <f>AP293-AN293</f>
        <v>102.3</v>
      </c>
      <c r="AP293" s="912">
        <v>193.6</v>
      </c>
      <c r="AR293" s="136">
        <f t="shared" ref="AR293:AS293" si="1540">+(AN293+AN300)*(1+AR294)</f>
        <v>100.43</v>
      </c>
      <c r="AS293" s="136">
        <f t="shared" si="1540"/>
        <v>111.50700000000001</v>
      </c>
      <c r="AT293" s="136">
        <f t="shared" ref="AT293" si="1541">+AR293+AS293</f>
        <v>211.93700000000001</v>
      </c>
      <c r="AV293" s="136">
        <f t="shared" ref="AV293:AW293" si="1542">+(AR293+AR300)*(1+AV294)</f>
        <v>106.82603148058254</v>
      </c>
      <c r="AW293" s="136">
        <f t="shared" si="1542"/>
        <v>119.01615802105265</v>
      </c>
      <c r="AX293" s="136">
        <f t="shared" ref="AX293" si="1543">+AV293+AW293</f>
        <v>225.84218950163518</v>
      </c>
      <c r="AZ293" s="136">
        <f t="shared" ref="AZ293:BA293" si="1544">+(AV293+AV300)*(1+AZ294)</f>
        <v>111.61833831736931</v>
      </c>
      <c r="BA293" s="136">
        <f t="shared" si="1544"/>
        <v>124.7441572989474</v>
      </c>
      <c r="BB293" s="136">
        <f t="shared" ref="BB293" si="1545">+AZ293+BA293</f>
        <v>236.36249561631672</v>
      </c>
      <c r="BD293" s="136">
        <f t="shared" ref="BD293:BE293" si="1546">+(AZ293+AZ300)*(1+BD294)</f>
        <v>114.48386379509265</v>
      </c>
      <c r="BE293" s="136">
        <f t="shared" si="1546"/>
        <v>128.33461654280529</v>
      </c>
      <c r="BF293" s="136">
        <f t="shared" ref="BF293" si="1547">+BD293+BE293</f>
        <v>242.81848033789794</v>
      </c>
      <c r="BH293" s="136">
        <f t="shared" ref="BH293:BI293" si="1548">+(BD293+BD300)*(1+BH294)</f>
        <v>117.43202613082551</v>
      </c>
      <c r="BI293" s="136">
        <f t="shared" si="1548"/>
        <v>132.04070801545552</v>
      </c>
      <c r="BJ293" s="136">
        <f t="shared" ref="BJ293" si="1549">+BH293+BI293</f>
        <v>249.47273414628103</v>
      </c>
      <c r="BL293" s="136">
        <f t="shared" ref="BL293:BM293" si="1550">+(BH293+BH300)*(1+BL294)</f>
        <v>120.46549111566625</v>
      </c>
      <c r="BM293" s="136">
        <f t="shared" si="1550"/>
        <v>135.8664972832305</v>
      </c>
      <c r="BN293" s="136">
        <f t="shared" ref="BN293" si="1551">+BL293+BM293</f>
        <v>256.33198839889678</v>
      </c>
      <c r="BP293" s="136">
        <f t="shared" ref="BP293:BQ293" si="1552">+(BL293+BL300)*(1+BP294)</f>
        <v>123.58701837869279</v>
      </c>
      <c r="BQ293" s="136">
        <f t="shared" si="1552"/>
        <v>139.81620134065963</v>
      </c>
      <c r="BR293" s="136">
        <f t="shared" ref="BR293" si="1553">+BP293+BQ293</f>
        <v>263.40321971935242</v>
      </c>
      <c r="BT293" s="136">
        <f t="shared" ref="BT293" si="1554">+(BP293+BP300)*(1+BT294)</f>
        <v>126.79946488460838</v>
      </c>
      <c r="BU293" s="136">
        <f t="shared" ref="BU293" si="1555">+(BQ293+BQ300)*(1+BU294)</f>
        <v>143.8941944437079</v>
      </c>
      <c r="BV293" s="136">
        <f t="shared" ref="BV293" si="1556">+BT293+BU293</f>
        <v>270.6936593283163</v>
      </c>
      <c r="BX293" s="136">
        <f t="shared" ref="BX293" si="1557">+(BT293+BT300)*(1+BX294)</f>
        <v>130.10578856617596</v>
      </c>
      <c r="BY293" s="136">
        <f t="shared" ref="BY293" si="1558">+(BU293+BU300)*(1+BY294)</f>
        <v>148.10501417186654</v>
      </c>
      <c r="BZ293" s="136">
        <f t="shared" ref="BZ293" si="1559">+BX293+BY293</f>
        <v>278.2108027380425</v>
      </c>
    </row>
    <row r="294" spans="1:78" s="220" customFormat="1" ht="14.4" thickBot="1">
      <c r="A294" s="660"/>
      <c r="B294" s="661" t="s">
        <v>602</v>
      </c>
      <c r="D294" s="387"/>
      <c r="E294" s="387"/>
      <c r="F294" s="387"/>
      <c r="H294" s="387"/>
      <c r="I294" s="387"/>
      <c r="J294" s="387"/>
      <c r="L294" s="387"/>
      <c r="M294" s="387"/>
      <c r="N294" s="387"/>
      <c r="P294" s="387"/>
      <c r="Q294" s="387"/>
      <c r="R294" s="387"/>
      <c r="T294" s="387"/>
      <c r="U294" s="387"/>
      <c r="V294" s="387"/>
      <c r="X294" s="387">
        <f>+X293/T293-1</f>
        <v>-1.0563380281690016E-2</v>
      </c>
      <c r="Y294" s="387">
        <f>+Y293/U293-1</f>
        <v>0.48175182481751833</v>
      </c>
      <c r="Z294" s="387">
        <f>+Z293/V293-1</f>
        <v>0.23118279569892475</v>
      </c>
      <c r="AB294" s="387">
        <f>+AB293/X293-1</f>
        <v>0.46975088967971512</v>
      </c>
      <c r="AC294" s="387">
        <f>+AC293/Y293-1</f>
        <v>0.28448275862068972</v>
      </c>
      <c r="AD294" s="387">
        <f>+AD293/Z293-1</f>
        <v>0.36026200873362435</v>
      </c>
      <c r="AF294" s="388">
        <f>+AF293/AB293-1</f>
        <v>0.32687651331719136</v>
      </c>
      <c r="AG294" s="387">
        <f>+AG293/AC293-1</f>
        <v>0.44391179290508131</v>
      </c>
      <c r="AH294" s="387">
        <f>+AH293/AD293-1</f>
        <v>0.39218833600856073</v>
      </c>
      <c r="AJ294" s="388">
        <f>+AJ293/AF293-1</f>
        <v>0.31021897810218979</v>
      </c>
      <c r="AK294" s="387">
        <f>+AK293/AG293-1</f>
        <v>0.12350597609561764</v>
      </c>
      <c r="AL294" s="388">
        <f>+AL293/AH293-1</f>
        <v>0.20215219062259804</v>
      </c>
      <c r="AN294" s="387">
        <f>+AN293/AJ293-1</f>
        <v>0.27158774373259065</v>
      </c>
      <c r="AO294" s="387">
        <f>+AO293/AK293-1</f>
        <v>0.20921985815602828</v>
      </c>
      <c r="AP294" s="388">
        <f>+AP293/AL293-1</f>
        <v>0.23785166240409206</v>
      </c>
      <c r="AR294" s="662">
        <f>+Scenarios!AF21</f>
        <v>0.1</v>
      </c>
      <c r="AS294" s="662">
        <f>+Scenarios!AG21</f>
        <v>0.09</v>
      </c>
      <c r="AT294" s="220">
        <f t="shared" ref="AT294" si="1560">+AT293/(AP293+AP300)-1</f>
        <v>9.4715909090909101E-2</v>
      </c>
      <c r="AV294" s="662">
        <f>+Scenarios!AJ21</f>
        <v>0.08</v>
      </c>
      <c r="AW294" s="662">
        <f>+Scenarios!AK21</f>
        <v>0.08</v>
      </c>
      <c r="AX294" s="220">
        <f t="shared" ref="AX294" si="1561">+AX293/(AT293+AT300)-1</f>
        <v>8.0000000000000071E-2</v>
      </c>
      <c r="AZ294" s="662">
        <f>+Scenarios!AN21</f>
        <v>0.06</v>
      </c>
      <c r="BA294" s="662">
        <f>+Scenarios!AO21</f>
        <v>0.06</v>
      </c>
      <c r="BB294" s="220">
        <f t="shared" ref="BB294" si="1562">+BB293/(AX293+AX300)-1</f>
        <v>6.0000000000000275E-2</v>
      </c>
      <c r="BD294" s="662">
        <f>+Scenarios!AR21</f>
        <v>0.04</v>
      </c>
      <c r="BE294" s="662">
        <f>+Scenarios!AS21</f>
        <v>0.04</v>
      </c>
      <c r="BF294" s="220">
        <f t="shared" ref="BF294" si="1563">+BF293/(BB293+BB300)-1</f>
        <v>3.9999999999999813E-2</v>
      </c>
      <c r="BH294" s="662">
        <f>+Scenarios!AV21</f>
        <v>0.04</v>
      </c>
      <c r="BI294" s="662">
        <f>+Scenarios!AW21</f>
        <v>0.04</v>
      </c>
      <c r="BJ294" s="220">
        <f t="shared" ref="BJ294" si="1564">+BJ293/(BF293+BF300)-1</f>
        <v>4.0000000000000258E-2</v>
      </c>
      <c r="BL294" s="662">
        <f>+Scenarios!AZ21</f>
        <v>0.04</v>
      </c>
      <c r="BM294" s="662">
        <f>+Scenarios!BA21</f>
        <v>0.04</v>
      </c>
      <c r="BN294" s="220">
        <f t="shared" ref="BN294" si="1565">+BN293/(BJ293+BJ300)-1</f>
        <v>4.0000000000000036E-2</v>
      </c>
      <c r="BP294" s="662">
        <f>+Scenarios!BD21</f>
        <v>0.04</v>
      </c>
      <c r="BQ294" s="662">
        <f>+Scenarios!BE21</f>
        <v>0.04</v>
      </c>
      <c r="BR294" s="220">
        <f t="shared" ref="BR294" si="1566">+BR293/(BN293+BN300)-1</f>
        <v>3.9999999999999813E-2</v>
      </c>
      <c r="BT294" s="662">
        <f>+Scenarios!BH21</f>
        <v>0.04</v>
      </c>
      <c r="BU294" s="662">
        <f>+Scenarios!BI21</f>
        <v>0.04</v>
      </c>
      <c r="BV294" s="220">
        <f t="shared" ref="BV294" si="1567">+BV293/(BR293+BR300)-1</f>
        <v>4.0000000000000258E-2</v>
      </c>
      <c r="BX294" s="662">
        <f>+Scenarios!BL21</f>
        <v>0.04</v>
      </c>
      <c r="BY294" s="662">
        <f>+Scenarios!BM21</f>
        <v>0.04</v>
      </c>
      <c r="BZ294" s="220">
        <f t="shared" ref="BZ294" si="1568">+BZ293/(BV293+BV300)-1</f>
        <v>4.0000000000000036E-2</v>
      </c>
    </row>
    <row r="295" spans="1:78">
      <c r="B295" s="150" t="s">
        <v>179</v>
      </c>
      <c r="D295" s="168">
        <v>0.316</v>
      </c>
      <c r="E295" s="136">
        <f>F295-D295</f>
        <v>0.37299999999999994</v>
      </c>
      <c r="F295" s="168">
        <v>0.68899999999999995</v>
      </c>
      <c r="H295" s="168">
        <v>0.36299999999999999</v>
      </c>
      <c r="I295" s="136">
        <f>J295-H295</f>
        <v>0.30700000000000005</v>
      </c>
      <c r="J295" s="168">
        <v>0.67</v>
      </c>
      <c r="L295" s="168">
        <v>0.36299999999999999</v>
      </c>
      <c r="M295" s="136">
        <f>N295-L295</f>
        <v>0.23699999999999999</v>
      </c>
      <c r="N295" s="168">
        <v>0.6</v>
      </c>
      <c r="P295" s="168">
        <v>0.4</v>
      </c>
      <c r="Q295" s="136">
        <f>R295-P295</f>
        <v>0.4</v>
      </c>
      <c r="R295" s="168">
        <v>0.8</v>
      </c>
      <c r="T295" s="168">
        <v>0.4</v>
      </c>
      <c r="U295" s="136">
        <f>V295-T295</f>
        <v>9.9999999999999978E-2</v>
      </c>
      <c r="V295" s="168">
        <v>0.5</v>
      </c>
      <c r="X295" s="168">
        <v>0.2</v>
      </c>
      <c r="Y295" s="136">
        <f>Z295-X295</f>
        <v>9.9999999999999978E-2</v>
      </c>
      <c r="Z295" s="168">
        <v>0.3</v>
      </c>
      <c r="AB295" s="168">
        <v>0.1</v>
      </c>
      <c r="AC295" s="136">
        <f>AD295-AB295</f>
        <v>0.15</v>
      </c>
      <c r="AD295" s="168">
        <v>0.25</v>
      </c>
      <c r="AF295" s="264">
        <v>1.1000000000000001</v>
      </c>
      <c r="AG295" s="136">
        <f>AH295-AF295</f>
        <v>2.4</v>
      </c>
      <c r="AH295" s="264">
        <v>3.5</v>
      </c>
      <c r="AJ295" s="264">
        <v>3.4</v>
      </c>
      <c r="AK295" s="136">
        <f>AL295-AJ295</f>
        <v>3.4</v>
      </c>
      <c r="AL295" s="264">
        <v>6.8</v>
      </c>
      <c r="AN295" s="168">
        <v>4.5</v>
      </c>
      <c r="AO295" s="136">
        <f>AP295-AN295</f>
        <v>3.9000000000000004</v>
      </c>
      <c r="AP295" s="912">
        <v>8.4</v>
      </c>
      <c r="AR295" s="321">
        <f t="shared" ref="AR295:AS296" si="1569">+AN295</f>
        <v>4.5</v>
      </c>
      <c r="AS295" s="321">
        <f t="shared" si="1569"/>
        <v>3.9000000000000004</v>
      </c>
      <c r="AT295" s="136">
        <f t="shared" ref="AT295:AT296" si="1570">+AR295+AS295</f>
        <v>8.4</v>
      </c>
      <c r="AV295" s="321">
        <f t="shared" ref="AV295:AW296" si="1571">+AR295</f>
        <v>4.5</v>
      </c>
      <c r="AW295" s="321">
        <f t="shared" si="1571"/>
        <v>3.9000000000000004</v>
      </c>
      <c r="AX295" s="136">
        <f t="shared" ref="AX295:AX296" si="1572">+AV295+AW295</f>
        <v>8.4</v>
      </c>
      <c r="AZ295" s="321">
        <f t="shared" ref="AZ295:BA296" si="1573">+AV295</f>
        <v>4.5</v>
      </c>
      <c r="BA295" s="321">
        <f t="shared" si="1573"/>
        <v>3.9000000000000004</v>
      </c>
      <c r="BB295" s="136">
        <f t="shared" ref="BB295:BB296" si="1574">+AZ295+BA295</f>
        <v>8.4</v>
      </c>
      <c r="BD295" s="321">
        <f t="shared" ref="BD295:BE296" si="1575">+AZ295</f>
        <v>4.5</v>
      </c>
      <c r="BE295" s="321">
        <f t="shared" si="1575"/>
        <v>3.9000000000000004</v>
      </c>
      <c r="BF295" s="136">
        <f t="shared" ref="BF295:BF296" si="1576">+BD295+BE295</f>
        <v>8.4</v>
      </c>
      <c r="BH295" s="321">
        <f t="shared" ref="BH295:BI296" si="1577">+BD295</f>
        <v>4.5</v>
      </c>
      <c r="BI295" s="321">
        <f t="shared" si="1577"/>
        <v>3.9000000000000004</v>
      </c>
      <c r="BJ295" s="136">
        <f t="shared" ref="BJ295:BJ296" si="1578">+BH295+BI295</f>
        <v>8.4</v>
      </c>
      <c r="BL295" s="321">
        <f t="shared" ref="BL295:BM296" si="1579">+BH295</f>
        <v>4.5</v>
      </c>
      <c r="BM295" s="321">
        <f t="shared" si="1579"/>
        <v>3.9000000000000004</v>
      </c>
      <c r="BN295" s="136">
        <f t="shared" ref="BN295:BN296" si="1580">+BL295+BM295</f>
        <v>8.4</v>
      </c>
      <c r="BP295" s="321">
        <f t="shared" ref="BP295:BQ296" si="1581">+BL295</f>
        <v>4.5</v>
      </c>
      <c r="BQ295" s="321">
        <f t="shared" si="1581"/>
        <v>3.9000000000000004</v>
      </c>
      <c r="BR295" s="136">
        <f t="shared" ref="BR295:BR296" si="1582">+BP295+BQ295</f>
        <v>8.4</v>
      </c>
      <c r="BT295" s="321">
        <f t="shared" ref="BT295:BT296" si="1583">+BP295</f>
        <v>4.5</v>
      </c>
      <c r="BU295" s="321">
        <f t="shared" ref="BU295:BU296" si="1584">+BQ295</f>
        <v>3.9000000000000004</v>
      </c>
      <c r="BV295" s="136">
        <f t="shared" ref="BV295:BV296" si="1585">+BT295+BU295</f>
        <v>8.4</v>
      </c>
      <c r="BX295" s="321">
        <f t="shared" ref="BX295:BX296" si="1586">+BT295</f>
        <v>4.5</v>
      </c>
      <c r="BY295" s="321">
        <f t="shared" ref="BY295:BY296" si="1587">+BU295</f>
        <v>3.9000000000000004</v>
      </c>
      <c r="BZ295" s="136">
        <f t="shared" ref="BZ295:BZ296" si="1588">+BX295+BY295</f>
        <v>8.4</v>
      </c>
    </row>
    <row r="296" spans="1:78">
      <c r="B296" s="150" t="s">
        <v>141</v>
      </c>
      <c r="D296" s="168">
        <f>1.668+0.373+0.176</f>
        <v>2.2170000000000001</v>
      </c>
      <c r="E296" s="136">
        <f>F296-D296</f>
        <v>3.5529999999999995</v>
      </c>
      <c r="F296" s="168">
        <f>2.798+0.67+2.302</f>
        <v>5.77</v>
      </c>
      <c r="H296" s="168">
        <f>0.955+0.293+0.71</f>
        <v>1.958</v>
      </c>
      <c r="I296" s="136">
        <f>J296-H296</f>
        <v>2.9590000000000005</v>
      </c>
      <c r="J296" s="168">
        <f>3.122+1.169+0.626</f>
        <v>4.9170000000000007</v>
      </c>
      <c r="L296" s="168">
        <f>0.9+0.32+0.036</f>
        <v>1.256</v>
      </c>
      <c r="M296" s="136">
        <f>N296-L296</f>
        <v>2.7439999999999998</v>
      </c>
      <c r="N296" s="168">
        <f>2.7+0.6+0.7</f>
        <v>4</v>
      </c>
      <c r="P296" s="168">
        <v>0.4</v>
      </c>
      <c r="Q296" s="136">
        <f>R296-P296</f>
        <v>2.5</v>
      </c>
      <c r="R296" s="168">
        <v>2.9</v>
      </c>
      <c r="T296" s="168">
        <v>0.4</v>
      </c>
      <c r="U296" s="136">
        <f>V296-T296</f>
        <v>2.6</v>
      </c>
      <c r="V296" s="168">
        <v>3</v>
      </c>
      <c r="X296" s="168">
        <v>1</v>
      </c>
      <c r="Y296" s="136">
        <f>Z296-X296</f>
        <v>3.5</v>
      </c>
      <c r="Z296" s="168">
        <v>4.5</v>
      </c>
      <c r="AB296" s="168">
        <v>4.9000000000000004</v>
      </c>
      <c r="AC296" s="136">
        <f>AD296-AB296</f>
        <v>5.0499999999999989</v>
      </c>
      <c r="AD296" s="168">
        <v>9.9499999999999993</v>
      </c>
      <c r="AF296" s="264">
        <v>2.2999999999999998</v>
      </c>
      <c r="AG296" s="136">
        <f>AH296-AF296</f>
        <v>3.4000000000000004</v>
      </c>
      <c r="AH296" s="264">
        <v>5.7</v>
      </c>
      <c r="AJ296" s="264">
        <v>9.4</v>
      </c>
      <c r="AK296" s="136">
        <f>AL296-AJ296</f>
        <v>3.6189999999999998</v>
      </c>
      <c r="AL296" s="264">
        <f>13+0.019</f>
        <v>13.019</v>
      </c>
      <c r="AN296" s="168">
        <v>10.8</v>
      </c>
      <c r="AO296" s="136">
        <f>AP296-AN296</f>
        <v>7.6999999999999993</v>
      </c>
      <c r="AP296" s="912">
        <v>18.5</v>
      </c>
      <c r="AR296" s="321">
        <f t="shared" si="1569"/>
        <v>10.8</v>
      </c>
      <c r="AS296" s="321">
        <f t="shared" si="1569"/>
        <v>7.6999999999999993</v>
      </c>
      <c r="AT296" s="136">
        <f t="shared" si="1570"/>
        <v>18.5</v>
      </c>
      <c r="AV296" s="321">
        <f t="shared" si="1571"/>
        <v>10.8</v>
      </c>
      <c r="AW296" s="321">
        <f t="shared" si="1571"/>
        <v>7.6999999999999993</v>
      </c>
      <c r="AX296" s="136">
        <f t="shared" si="1572"/>
        <v>18.5</v>
      </c>
      <c r="AZ296" s="321">
        <f t="shared" si="1573"/>
        <v>10.8</v>
      </c>
      <c r="BA296" s="321">
        <f t="shared" si="1573"/>
        <v>7.6999999999999993</v>
      </c>
      <c r="BB296" s="136">
        <f t="shared" si="1574"/>
        <v>18.5</v>
      </c>
      <c r="BD296" s="321">
        <f t="shared" si="1575"/>
        <v>10.8</v>
      </c>
      <c r="BE296" s="321">
        <f t="shared" si="1575"/>
        <v>7.6999999999999993</v>
      </c>
      <c r="BF296" s="136">
        <f t="shared" si="1576"/>
        <v>18.5</v>
      </c>
      <c r="BH296" s="321">
        <f t="shared" si="1577"/>
        <v>10.8</v>
      </c>
      <c r="BI296" s="321">
        <f t="shared" si="1577"/>
        <v>7.6999999999999993</v>
      </c>
      <c r="BJ296" s="136">
        <f t="shared" si="1578"/>
        <v>18.5</v>
      </c>
      <c r="BL296" s="321">
        <f t="shared" si="1579"/>
        <v>10.8</v>
      </c>
      <c r="BM296" s="321">
        <f t="shared" si="1579"/>
        <v>7.6999999999999993</v>
      </c>
      <c r="BN296" s="136">
        <f t="shared" si="1580"/>
        <v>18.5</v>
      </c>
      <c r="BP296" s="321">
        <f t="shared" si="1581"/>
        <v>10.8</v>
      </c>
      <c r="BQ296" s="321">
        <f t="shared" si="1581"/>
        <v>7.6999999999999993</v>
      </c>
      <c r="BR296" s="136">
        <f t="shared" si="1582"/>
        <v>18.5</v>
      </c>
      <c r="BT296" s="321">
        <f t="shared" si="1583"/>
        <v>10.8</v>
      </c>
      <c r="BU296" s="321">
        <f t="shared" si="1584"/>
        <v>7.6999999999999993</v>
      </c>
      <c r="BV296" s="136">
        <f t="shared" si="1585"/>
        <v>18.5</v>
      </c>
      <c r="BX296" s="321">
        <f t="shared" si="1586"/>
        <v>10.8</v>
      </c>
      <c r="BY296" s="321">
        <f t="shared" si="1587"/>
        <v>7.6999999999999993</v>
      </c>
      <c r="BZ296" s="136">
        <f t="shared" si="1588"/>
        <v>18.5</v>
      </c>
    </row>
    <row r="297" spans="1:78" s="135" customFormat="1">
      <c r="A297" s="134"/>
      <c r="B297" s="151" t="s">
        <v>156</v>
      </c>
      <c r="D297" s="323">
        <f>+D293+D295+D296</f>
        <v>24.115999999999996</v>
      </c>
      <c r="E297" s="323">
        <f>+E293+E295+E296</f>
        <v>27.093000000000004</v>
      </c>
      <c r="F297" s="323">
        <f>+F293+F295+F296</f>
        <v>51.209000000000003</v>
      </c>
      <c r="G297" s="133"/>
      <c r="H297" s="323">
        <f>+H293+H295+H296</f>
        <v>25.035999999999998</v>
      </c>
      <c r="I297" s="323">
        <f>+I293+I295+I296</f>
        <v>31.280999999999995</v>
      </c>
      <c r="J297" s="323">
        <f>+J293+J295+J296</f>
        <v>56.317</v>
      </c>
      <c r="K297" s="133"/>
      <c r="L297" s="323">
        <f>+L293+L295+L296</f>
        <v>25.832999999999998</v>
      </c>
      <c r="M297" s="323">
        <f>+M293+M295+M296</f>
        <v>30.666999999999998</v>
      </c>
      <c r="N297" s="323">
        <f>+N293+N295+N296</f>
        <v>56.5</v>
      </c>
      <c r="O297" s="133"/>
      <c r="P297" s="323">
        <f>+P293+P295+P296</f>
        <v>28.699999999999996</v>
      </c>
      <c r="Q297" s="323">
        <f>+Q293+Q295+Q296</f>
        <v>32.700000000000003</v>
      </c>
      <c r="R297" s="323">
        <f>+R293+R295+R296</f>
        <v>61.4</v>
      </c>
      <c r="S297" s="133"/>
      <c r="T297" s="323">
        <f>+T293+T295+T296</f>
        <v>29.199999999999996</v>
      </c>
      <c r="U297" s="323">
        <f>+U293+U295+U296</f>
        <v>30.1</v>
      </c>
      <c r="V297" s="323">
        <f>+V293+V295+V296</f>
        <v>59.3</v>
      </c>
      <c r="W297" s="133"/>
      <c r="X297" s="323">
        <f>+X293+X295+X296</f>
        <v>29.3</v>
      </c>
      <c r="Y297" s="323">
        <f>+Y293+Y295+Y296</f>
        <v>44.2</v>
      </c>
      <c r="Z297" s="323">
        <f>+Z293+Z295+Z296</f>
        <v>73.5</v>
      </c>
      <c r="AA297" s="133"/>
      <c r="AB297" s="323">
        <f>+AB293+AB295+AB296</f>
        <v>46.3</v>
      </c>
      <c r="AC297" s="323">
        <f>+AC293+AC295+AC296</f>
        <v>57.35</v>
      </c>
      <c r="AD297" s="323">
        <f>+AD293+AD295+AD296</f>
        <v>103.65</v>
      </c>
      <c r="AE297" s="133"/>
      <c r="AF297" s="323">
        <f>+AF293+AF295+AF296</f>
        <v>58.199999999999996</v>
      </c>
      <c r="AG297" s="323">
        <f>+AG293+AG295+AG296</f>
        <v>81.100000000000009</v>
      </c>
      <c r="AH297" s="323">
        <f>+AH293+AH295+AH296</f>
        <v>139.29999999999998</v>
      </c>
      <c r="AI297" s="133"/>
      <c r="AJ297" s="323">
        <f>+AJ293+AJ295+AJ296</f>
        <v>84.600000000000009</v>
      </c>
      <c r="AK297" s="323">
        <f>+AK293+AK295+AK296</f>
        <v>91.619000000000014</v>
      </c>
      <c r="AL297" s="323">
        <f>+AL293+AL295+AL296</f>
        <v>176.21900000000002</v>
      </c>
      <c r="AM297" s="133"/>
      <c r="AN297" s="232">
        <f>+AN293+AN295+AN296</f>
        <v>106.6</v>
      </c>
      <c r="AO297" s="323">
        <f>+AO293+AO295+AO296</f>
        <v>113.9</v>
      </c>
      <c r="AP297" s="323">
        <f>+AP293+AP295+AP296</f>
        <v>220.5</v>
      </c>
      <c r="AQ297" s="133"/>
      <c r="AR297" s="323">
        <f t="shared" ref="AR297:AT297" si="1589">+AR293+AR295+AR296</f>
        <v>115.73</v>
      </c>
      <c r="AS297" s="323">
        <f t="shared" si="1589"/>
        <v>123.10700000000001</v>
      </c>
      <c r="AT297" s="323">
        <f t="shared" si="1589"/>
        <v>238.83700000000002</v>
      </c>
      <c r="AU297" s="133"/>
      <c r="AV297" s="323">
        <f t="shared" ref="AV297:AX297" si="1590">+AV293+AV295+AV296</f>
        <v>122.12603148058254</v>
      </c>
      <c r="AW297" s="323">
        <f t="shared" si="1590"/>
        <v>130.61615802105266</v>
      </c>
      <c r="AX297" s="323">
        <f t="shared" si="1590"/>
        <v>252.74218950163518</v>
      </c>
      <c r="AY297" s="133"/>
      <c r="AZ297" s="323">
        <f t="shared" ref="AZ297:BB297" si="1591">+AZ293+AZ295+AZ296</f>
        <v>126.9183383173693</v>
      </c>
      <c r="BA297" s="323">
        <f t="shared" si="1591"/>
        <v>136.34415729894738</v>
      </c>
      <c r="BB297" s="323">
        <f t="shared" si="1591"/>
        <v>263.26249561631676</v>
      </c>
      <c r="BC297" s="133"/>
      <c r="BD297" s="323">
        <f t="shared" ref="BD297:BF297" si="1592">+BD293+BD295+BD296</f>
        <v>129.78386379509266</v>
      </c>
      <c r="BE297" s="323">
        <f t="shared" si="1592"/>
        <v>139.93461654280529</v>
      </c>
      <c r="BF297" s="323">
        <f t="shared" si="1592"/>
        <v>269.71848033789797</v>
      </c>
      <c r="BG297" s="133"/>
      <c r="BH297" s="323">
        <f t="shared" ref="BH297:BJ297" si="1593">+BH293+BH295+BH296</f>
        <v>132.73202613082552</v>
      </c>
      <c r="BI297" s="323">
        <f t="shared" si="1593"/>
        <v>143.64070801545552</v>
      </c>
      <c r="BJ297" s="323">
        <f t="shared" si="1593"/>
        <v>276.372734146281</v>
      </c>
      <c r="BK297" s="133"/>
      <c r="BL297" s="323">
        <f t="shared" ref="BL297:BN297" si="1594">+BL293+BL295+BL296</f>
        <v>135.76549111566626</v>
      </c>
      <c r="BM297" s="323">
        <f t="shared" si="1594"/>
        <v>147.4664972832305</v>
      </c>
      <c r="BN297" s="323">
        <f t="shared" si="1594"/>
        <v>283.23198839889676</v>
      </c>
      <c r="BO297" s="133"/>
      <c r="BP297" s="323">
        <f t="shared" ref="BP297:BR297" si="1595">+BP293+BP295+BP296</f>
        <v>138.8870183786928</v>
      </c>
      <c r="BQ297" s="323">
        <f t="shared" si="1595"/>
        <v>151.41620134065963</v>
      </c>
      <c r="BR297" s="323">
        <f t="shared" si="1595"/>
        <v>290.3032197193524</v>
      </c>
      <c r="BS297" s="133"/>
      <c r="BT297" s="323">
        <f t="shared" ref="BT297:BV297" si="1596">+BT293+BT295+BT296</f>
        <v>142.09946488460838</v>
      </c>
      <c r="BU297" s="323">
        <f t="shared" si="1596"/>
        <v>155.4941944437079</v>
      </c>
      <c r="BV297" s="323">
        <f t="shared" si="1596"/>
        <v>297.59365932831628</v>
      </c>
      <c r="BW297" s="133"/>
      <c r="BX297" s="323">
        <f t="shared" ref="BX297:BZ297" si="1597">+BX293+BX295+BX296</f>
        <v>145.40578856617597</v>
      </c>
      <c r="BY297" s="323">
        <f t="shared" si="1597"/>
        <v>159.70501417186654</v>
      </c>
      <c r="BZ297" s="323">
        <f t="shared" si="1597"/>
        <v>305.11080273804248</v>
      </c>
    </row>
    <row r="298" spans="1:78" s="140" customFormat="1">
      <c r="A298" s="149"/>
      <c r="B298" s="408" t="s">
        <v>249</v>
      </c>
      <c r="C298" s="171"/>
      <c r="D298" s="175"/>
      <c r="E298" s="232"/>
      <c r="F298" s="232"/>
      <c r="G298" s="171"/>
      <c r="H298" s="175"/>
      <c r="I298" s="232"/>
      <c r="J298" s="232"/>
      <c r="K298" s="171"/>
      <c r="L298" s="175"/>
      <c r="M298" s="232"/>
      <c r="N298" s="232"/>
      <c r="O298" s="171"/>
      <c r="P298" s="175"/>
      <c r="Q298" s="232"/>
      <c r="R298" s="232"/>
      <c r="S298" s="171"/>
      <c r="T298" s="175"/>
      <c r="U298" s="232"/>
      <c r="V298" s="232"/>
      <c r="W298" s="171"/>
      <c r="X298" s="387">
        <f>+X297/T297-1</f>
        <v>3.4246575342467001E-3</v>
      </c>
      <c r="Y298" s="387">
        <f>+Y297/U297-1</f>
        <v>0.46843853820598014</v>
      </c>
      <c r="Z298" s="387">
        <f>+Z297/V297-1</f>
        <v>0.239460370994941</v>
      </c>
      <c r="AA298" s="171"/>
      <c r="AB298" s="387">
        <f>+AB297/X297-1</f>
        <v>0.58020477815699656</v>
      </c>
      <c r="AC298" s="387">
        <f>+AC297/Y297-1</f>
        <v>0.29751131221719462</v>
      </c>
      <c r="AD298" s="387">
        <f>+AD297/Z297-1</f>
        <v>0.41020408163265309</v>
      </c>
      <c r="AF298" s="388">
        <f>+AF297/AB297-1</f>
        <v>0.25701943844492448</v>
      </c>
      <c r="AG298" s="387">
        <f>+AG297/AC297-1</f>
        <v>0.41412380122057546</v>
      </c>
      <c r="AH298" s="387">
        <f>+AH297/AD297-1</f>
        <v>0.34394597202122501</v>
      </c>
      <c r="AJ298" s="388">
        <f>+AJ297/AF297-1</f>
        <v>0.45360824742268058</v>
      </c>
      <c r="AK298" s="387">
        <f>+AK297/AG297-1</f>
        <v>0.12970406905055487</v>
      </c>
      <c r="AL298" s="388">
        <f>+AL297/AH297-1</f>
        <v>0.26503230437903835</v>
      </c>
      <c r="AN298" s="388">
        <f>+AN297/AJ297-1</f>
        <v>0.26004728132387678</v>
      </c>
      <c r="AO298" s="387">
        <f>+AO297/AK297-1</f>
        <v>0.24319191434091159</v>
      </c>
      <c r="AP298" s="388">
        <f>+AP297/AL297-1</f>
        <v>0.2512839137663927</v>
      </c>
      <c r="AR298" s="388">
        <f t="shared" ref="AR298:AT298" si="1598">+AR297/AN297-1</f>
        <v>8.5647279549718736E-2</v>
      </c>
      <c r="AS298" s="387">
        <f t="shared" si="1598"/>
        <v>8.0834064969271369E-2</v>
      </c>
      <c r="AT298" s="387">
        <f t="shared" si="1598"/>
        <v>8.3160997732426356E-2</v>
      </c>
      <c r="AV298" s="388">
        <f t="shared" ref="AV298:AX298" si="1599">+AV297/AR297-1</f>
        <v>5.5266840755055169E-2</v>
      </c>
      <c r="AW298" s="387">
        <f t="shared" si="1599"/>
        <v>6.0997002778498732E-2</v>
      </c>
      <c r="AX298" s="387">
        <f t="shared" si="1599"/>
        <v>5.8220416022790378E-2</v>
      </c>
      <c r="AZ298" s="388">
        <f t="shared" ref="AZ298:BB298" si="1600">+AZ297/AV297-1</f>
        <v>3.9240666209224395E-2</v>
      </c>
      <c r="BA298" s="387">
        <f t="shared" si="1600"/>
        <v>4.3853680621745772E-2</v>
      </c>
      <c r="BB298" s="387">
        <f t="shared" si="1600"/>
        <v>4.1624653705128578E-2</v>
      </c>
      <c r="BD298" s="388">
        <f t="shared" ref="BD298:BF298" si="1601">+BD297/AZ297-1</f>
        <v>2.2577710327075673E-2</v>
      </c>
      <c r="BE298" s="387">
        <f t="shared" si="1601"/>
        <v>2.6333796144894395E-2</v>
      </c>
      <c r="BF298" s="387">
        <f t="shared" si="1601"/>
        <v>2.4522994460214553E-2</v>
      </c>
      <c r="BH298" s="388">
        <f t="shared" ref="BH298:BJ298" si="1602">+BH297/BD297-1</f>
        <v>2.2715939019873232E-2</v>
      </c>
      <c r="BI298" s="387">
        <f t="shared" si="1602"/>
        <v>2.6484450840057461E-2</v>
      </c>
      <c r="BJ298" s="387">
        <f t="shared" si="1602"/>
        <v>2.4671108186753443E-2</v>
      </c>
      <c r="BL298" s="388">
        <f t="shared" ref="BL298:BN298" si="1603">+BL297/BH297-1</f>
        <v>2.2854054694010806E-2</v>
      </c>
      <c r="BM298" s="387">
        <f t="shared" si="1603"/>
        <v>2.6634436161114827E-2</v>
      </c>
      <c r="BN298" s="387">
        <f t="shared" si="1603"/>
        <v>2.4818852966100646E-2</v>
      </c>
      <c r="BP298" s="388">
        <f t="shared" ref="BP298:BR298" si="1604">+BP297/BL297-1</f>
        <v>2.2992052231941118E-2</v>
      </c>
      <c r="BQ298" s="387">
        <f t="shared" si="1604"/>
        <v>2.6783738206266339E-2</v>
      </c>
      <c r="BR298" s="387">
        <f t="shared" si="1604"/>
        <v>2.4966217129742674E-2</v>
      </c>
      <c r="BT298" s="388">
        <f t="shared" ref="BT298" si="1605">+BT297/BP297-1</f>
        <v>2.3129926348886221E-2</v>
      </c>
      <c r="BU298" s="387">
        <f t="shared" ref="BU298" si="1606">+BU297/BQ297-1</f>
        <v>2.6932343216519605E-2</v>
      </c>
      <c r="BV298" s="387">
        <f t="shared" ref="BV298" si="1607">+BV297/BR297-1</f>
        <v>2.5113188947790022E-2</v>
      </c>
      <c r="BX298" s="388">
        <f t="shared" ref="BX298" si="1608">+BX297/BT297-1</f>
        <v>2.3267671586606475E-2</v>
      </c>
      <c r="BY298" s="387">
        <f t="shared" ref="BY298" si="1609">+BY297/BU297-1</f>
        <v>2.7080237582008504E-2</v>
      </c>
      <c r="BZ298" s="387">
        <f t="shared" ref="BZ298" si="1610">+BZ297/BV297-1</f>
        <v>2.5259756631551777E-2</v>
      </c>
    </row>
    <row r="299" spans="1:78" s="135" customFormat="1">
      <c r="A299" s="134"/>
      <c r="B299" s="314"/>
      <c r="D299" s="232"/>
      <c r="E299" s="232"/>
      <c r="F299" s="232"/>
      <c r="G299" s="133"/>
      <c r="H299" s="232"/>
      <c r="I299" s="232"/>
      <c r="J299" s="232"/>
      <c r="K299" s="133"/>
      <c r="L299" s="232"/>
      <c r="M299" s="232"/>
      <c r="N299" s="232"/>
      <c r="O299" s="133"/>
      <c r="P299" s="232"/>
      <c r="Q299" s="232"/>
      <c r="R299" s="232"/>
      <c r="S299" s="133"/>
      <c r="T299" s="232"/>
      <c r="U299" s="232"/>
      <c r="V299" s="232"/>
      <c r="W299" s="133"/>
      <c r="X299" s="315"/>
      <c r="Y299" s="315"/>
      <c r="Z299" s="315"/>
      <c r="AA299" s="133"/>
      <c r="AB299" s="315"/>
      <c r="AC299" s="315"/>
      <c r="AD299" s="315"/>
      <c r="AE299" s="133"/>
      <c r="AF299" s="374"/>
      <c r="AG299" s="315"/>
      <c r="AH299" s="315"/>
      <c r="AI299" s="133"/>
      <c r="AJ299" s="374"/>
      <c r="AK299" s="315"/>
      <c r="AL299" s="315"/>
      <c r="AM299" s="133"/>
      <c r="AN299" s="374"/>
      <c r="AO299" s="315"/>
      <c r="AP299" s="315"/>
      <c r="AQ299" s="133"/>
      <c r="AR299" s="315"/>
      <c r="AS299" s="315"/>
      <c r="AT299" s="315"/>
      <c r="AU299" s="133"/>
      <c r="AV299" s="315"/>
      <c r="AW299" s="315"/>
      <c r="AX299" s="315"/>
      <c r="AY299" s="133"/>
      <c r="AZ299" s="315"/>
      <c r="BA299" s="315"/>
      <c r="BB299" s="315"/>
      <c r="BC299" s="133"/>
      <c r="BD299" s="315"/>
      <c r="BE299" s="315"/>
      <c r="BF299" s="315"/>
      <c r="BG299" s="133"/>
      <c r="BH299" s="315"/>
      <c r="BI299" s="315"/>
      <c r="BJ299" s="315"/>
      <c r="BK299" s="133"/>
      <c r="BL299" s="315"/>
      <c r="BM299" s="315"/>
      <c r="BN299" s="315"/>
      <c r="BO299" s="133"/>
      <c r="BP299" s="315"/>
      <c r="BQ299" s="315"/>
      <c r="BR299" s="315"/>
      <c r="BS299" s="133"/>
      <c r="BT299" s="315"/>
      <c r="BU299" s="315"/>
      <c r="BV299" s="315"/>
      <c r="BW299" s="133"/>
      <c r="BX299" s="315"/>
      <c r="BY299" s="315"/>
      <c r="BZ299" s="315"/>
    </row>
    <row r="300" spans="1:78" s="523" customFormat="1">
      <c r="A300" s="522"/>
      <c r="B300" s="526" t="s">
        <v>640</v>
      </c>
      <c r="X300" s="689">
        <v>0</v>
      </c>
      <c r="Y300" s="689">
        <v>0</v>
      </c>
      <c r="Z300" s="690">
        <f>+Y300+X300</f>
        <v>0</v>
      </c>
      <c r="AA300" s="688"/>
      <c r="AB300" s="689">
        <v>0</v>
      </c>
      <c r="AC300" s="689">
        <v>0</v>
      </c>
      <c r="AD300" s="690">
        <f>+AC300+AB300</f>
        <v>0</v>
      </c>
      <c r="AE300" s="688"/>
      <c r="AF300" s="689">
        <v>0</v>
      </c>
      <c r="AG300" s="689">
        <v>0</v>
      </c>
      <c r="AH300" s="690">
        <f>+AG300+AF300</f>
        <v>0</v>
      </c>
      <c r="AI300" s="688"/>
      <c r="AJ300" s="689">
        <v>0</v>
      </c>
      <c r="AK300" s="689">
        <v>0</v>
      </c>
      <c r="AL300" s="690">
        <f>+AK300+AJ300</f>
        <v>0</v>
      </c>
      <c r="AM300" s="232"/>
      <c r="AN300" s="689">
        <v>0</v>
      </c>
      <c r="AO300" s="689">
        <v>0</v>
      </c>
      <c r="AP300" s="690">
        <f>+AO300+AN300</f>
        <v>0</v>
      </c>
      <c r="AQ300" s="232"/>
      <c r="AR300" s="232">
        <f>CF!AR154</f>
        <v>-1.5170078883495146</v>
      </c>
      <c r="AS300" s="232">
        <f>CF!AS154</f>
        <v>-1.3068536842105265</v>
      </c>
      <c r="AT300" s="232">
        <f t="shared" ref="AT300" si="1611">AS300+AR300</f>
        <v>-2.8238615725600411</v>
      </c>
      <c r="AU300" s="232"/>
      <c r="AV300" s="232">
        <f>CF!AV154</f>
        <v>-1.5257123132530119</v>
      </c>
      <c r="AW300" s="232">
        <f>CF!AW154</f>
        <v>-1.3329907578947369</v>
      </c>
      <c r="AX300" s="232">
        <f t="shared" ref="AX300" si="1612">AW300+AV300</f>
        <v>-2.8587030711477488</v>
      </c>
      <c r="AY300" s="232"/>
      <c r="AZ300" s="232">
        <f>CF!AZ154</f>
        <v>-1.5377000528571427</v>
      </c>
      <c r="BA300" s="232">
        <f>CF!BA154</f>
        <v>-1.34548754625</v>
      </c>
      <c r="BB300" s="232">
        <f t="shared" ref="BB300" si="1613">BA300+AZ300</f>
        <v>-2.883187599107143</v>
      </c>
      <c r="BC300" s="232"/>
      <c r="BD300" s="232">
        <f>CF!BD154</f>
        <v>-1.5684540539142859</v>
      </c>
      <c r="BE300" s="232">
        <f>CF!BE154</f>
        <v>-1.372397297175</v>
      </c>
      <c r="BF300" s="232">
        <f t="shared" ref="BF300" si="1614">BE300+BD300</f>
        <v>-2.940851351089286</v>
      </c>
      <c r="BG300" s="232"/>
      <c r="BH300" s="232">
        <f>CF!BH154</f>
        <v>-1.5998231349925713</v>
      </c>
      <c r="BI300" s="232">
        <f>CF!BI154</f>
        <v>-1.3998452431185</v>
      </c>
      <c r="BJ300" s="232">
        <f t="shared" ref="BJ300" si="1615">BI300+BH300</f>
        <v>-2.9996683781110711</v>
      </c>
      <c r="BK300" s="232"/>
      <c r="BL300" s="232">
        <f>CF!BL154</f>
        <v>-1.6318195976924228</v>
      </c>
      <c r="BM300" s="232">
        <f>CF!BM154</f>
        <v>-1.4278421479808701</v>
      </c>
      <c r="BN300" s="232">
        <f t="shared" ref="BN300" si="1616">BM300+BL300</f>
        <v>-3.0596617456732931</v>
      </c>
      <c r="BO300" s="232"/>
      <c r="BP300" s="232">
        <f>CF!BP154</f>
        <v>-1.6644559896462714</v>
      </c>
      <c r="BQ300" s="232">
        <f>CF!BQ154</f>
        <v>-1.4563989909404875</v>
      </c>
      <c r="BR300" s="232">
        <f t="shared" ref="BR300" si="1617">BQ300+BP300</f>
        <v>-3.1208549805867589</v>
      </c>
      <c r="BS300" s="232"/>
      <c r="BT300" s="232">
        <f>CF!BT154</f>
        <v>-1.6977451094391969</v>
      </c>
      <c r="BU300" s="232">
        <f>CF!BU154</f>
        <v>-1.4855269707592973</v>
      </c>
      <c r="BV300" s="232">
        <f t="shared" ref="BV300" si="1618">BU300+BT300</f>
        <v>-3.1832720801984942</v>
      </c>
      <c r="BW300" s="232"/>
      <c r="BX300" s="232">
        <f>CF!BX154</f>
        <v>-1.731700011627981</v>
      </c>
      <c r="BY300" s="232">
        <f>CF!BY154</f>
        <v>-1.5152375101744833</v>
      </c>
      <c r="BZ300" s="232">
        <f t="shared" ref="BZ300" si="1619">BY300+BX300</f>
        <v>-3.2469375218024643</v>
      </c>
    </row>
    <row r="301" spans="1:78" s="135" customFormat="1">
      <c r="A301" s="134"/>
      <c r="B301" s="314" t="s">
        <v>499</v>
      </c>
      <c r="D301" s="232"/>
      <c r="E301" s="232"/>
      <c r="F301" s="232"/>
      <c r="G301" s="133"/>
      <c r="H301" s="232"/>
      <c r="I301" s="232"/>
      <c r="J301" s="232"/>
      <c r="K301" s="133"/>
      <c r="L301" s="232"/>
      <c r="M301" s="232"/>
      <c r="N301" s="232"/>
      <c r="O301" s="133"/>
      <c r="P301" s="232"/>
      <c r="Q301" s="232"/>
      <c r="R301" s="232"/>
      <c r="S301" s="133"/>
      <c r="T301" s="232"/>
      <c r="U301" s="232"/>
      <c r="V301" s="232"/>
      <c r="W301" s="133"/>
      <c r="X301" s="315"/>
      <c r="Y301" s="315"/>
      <c r="Z301" s="315"/>
      <c r="AA301" s="133"/>
      <c r="AB301" s="315"/>
      <c r="AC301" s="315"/>
      <c r="AD301" s="315"/>
      <c r="AE301" s="133"/>
      <c r="AF301" s="374"/>
      <c r="AG301" s="315"/>
      <c r="AH301" s="315"/>
      <c r="AI301" s="133"/>
      <c r="AJ301" s="374"/>
      <c r="AK301" s="315"/>
      <c r="AL301" s="315"/>
      <c r="AM301" s="133"/>
      <c r="AN301" s="374"/>
      <c r="AO301" s="315"/>
      <c r="AP301" s="315"/>
      <c r="AQ301" s="133"/>
      <c r="AR301" s="315">
        <f t="shared" ref="AR301" si="1620">+AR300/AO297</f>
        <v>-1.3318769871374141E-2</v>
      </c>
      <c r="AS301" s="315">
        <f t="shared" ref="AS301" si="1621">+AS300/AR297</f>
        <v>-1.1292263753655288E-2</v>
      </c>
      <c r="AT301" s="315">
        <f t="shared" ref="AT301" si="1622">+AT300/AP297</f>
        <v>-1.2806628446984313E-2</v>
      </c>
      <c r="AU301" s="133"/>
      <c r="AV301" s="315">
        <f t="shared" ref="AV301" si="1623">+AV300/AS297</f>
        <v>-1.2393383911987228E-2</v>
      </c>
      <c r="AW301" s="315">
        <f t="shared" ref="AW301" si="1624">+AW300/AV297</f>
        <v>-1.0914878193734446E-2</v>
      </c>
      <c r="AX301" s="315">
        <f t="shared" ref="AX301" si="1625">+AX300/AT297</f>
        <v>-1.1969263854209142E-2</v>
      </c>
      <c r="AY301" s="133"/>
      <c r="AZ301" s="315">
        <f t="shared" ref="AZ301" si="1626">+AZ300/AW297</f>
        <v>-1.1772663322475745E-2</v>
      </c>
      <c r="BA301" s="315">
        <f t="shared" ref="BA301" si="1627">+BA300/AZ297</f>
        <v>-1.0601206760881965E-2</v>
      </c>
      <c r="BB301" s="315">
        <f t="shared" ref="BB301" si="1628">+BB300/AX297</f>
        <v>-1.1407622940959327E-2</v>
      </c>
      <c r="BC301" s="133"/>
      <c r="BD301" s="315">
        <f t="shared" ref="BD301" si="1629">+BD300/BA297</f>
        <v>-1.1503639649738001E-2</v>
      </c>
      <c r="BE301" s="315">
        <f t="shared" ref="BE301" si="1630">+BE300/BD297</f>
        <v>-1.0574483275839201E-2</v>
      </c>
      <c r="BF301" s="315">
        <f t="shared" ref="BF301" si="1631">+BF300/BB297</f>
        <v>-1.1170794929237976E-2</v>
      </c>
      <c r="BG301" s="133"/>
      <c r="BH301" s="315">
        <f t="shared" ref="BH301" si="1632">+BH300/BE297</f>
        <v>-1.1432647435762926E-2</v>
      </c>
      <c r="BI301" s="315">
        <f t="shared" ref="BI301" si="1633">+BI300/BH297</f>
        <v>-1.0546401527380901E-2</v>
      </c>
      <c r="BJ301" s="315">
        <f t="shared" ref="BJ301" si="1634">+BJ300/BF297</f>
        <v>-1.1121478863269384E-2</v>
      </c>
      <c r="BK301" s="133"/>
      <c r="BL301" s="315">
        <f t="shared" ref="BL301" si="1635">+BL300/BI297</f>
        <v>-1.1360425747252942E-2</v>
      </c>
      <c r="BM301" s="315">
        <f t="shared" ref="BM301" si="1636">+BM300/BL297</f>
        <v>-1.0516974057600624E-2</v>
      </c>
      <c r="BN301" s="315">
        <f t="shared" ref="BN301" si="1637">+BN300/BJ297</f>
        <v>-1.1070780028734123E-2</v>
      </c>
      <c r="BO301" s="133"/>
      <c r="BP301" s="315">
        <f t="shared" ref="BP301" si="1638">+BP300/BM297</f>
        <v>-1.1287011085978706E-2</v>
      </c>
      <c r="BQ301" s="315">
        <f t="shared" ref="BQ301" si="1639">+BQ300/BP297</f>
        <v>-1.0486213959676445E-2</v>
      </c>
      <c r="BR301" s="315">
        <f t="shared" ref="BR301" si="1640">+BR300/BN297</f>
        <v>-1.1018723549655789E-2</v>
      </c>
      <c r="BS301" s="133"/>
      <c r="BT301" s="315">
        <f t="shared" ref="BT301" si="1641">+BT300/BQ297</f>
        <v>-1.121244024356133E-2</v>
      </c>
      <c r="BU301" s="315">
        <f t="shared" ref="BU301" si="1642">+BU300/BT297</f>
        <v>-1.0454134869301702E-2</v>
      </c>
      <c r="BV301" s="315">
        <f t="shared" ref="BV301" si="1643">+BV300/BR297</f>
        <v>-1.0965335084040366E-2</v>
      </c>
      <c r="BW301" s="133"/>
      <c r="BX301" s="315">
        <f t="shared" ref="BX301" si="1644">+BX300/BU297</f>
        <v>-1.1136750267900787E-2</v>
      </c>
      <c r="BY301" s="315">
        <f t="shared" ref="BY301" si="1645">+BY300/BX297</f>
        <v>-1.0420750955763221E-2</v>
      </c>
      <c r="BZ301" s="315">
        <f t="shared" ref="BZ301" si="1646">+BZ300/BV297</f>
        <v>-1.0910640801725964E-2</v>
      </c>
    </row>
    <row r="302" spans="1:78" s="523" customFormat="1">
      <c r="A302" s="526"/>
      <c r="B302" s="586" t="s">
        <v>402</v>
      </c>
      <c r="D302" s="323">
        <f t="shared" ref="D302:Z302" si="1647">+D297</f>
        <v>24.115999999999996</v>
      </c>
      <c r="E302" s="323">
        <f t="shared" si="1647"/>
        <v>27.093000000000004</v>
      </c>
      <c r="F302" s="323">
        <f t="shared" si="1647"/>
        <v>51.209000000000003</v>
      </c>
      <c r="G302" s="259"/>
      <c r="H302" s="323">
        <f t="shared" si="1647"/>
        <v>25.035999999999998</v>
      </c>
      <c r="I302" s="323">
        <f t="shared" si="1647"/>
        <v>31.280999999999995</v>
      </c>
      <c r="J302" s="323">
        <f t="shared" si="1647"/>
        <v>56.317</v>
      </c>
      <c r="K302" s="259"/>
      <c r="L302" s="323">
        <f t="shared" si="1647"/>
        <v>25.832999999999998</v>
      </c>
      <c r="M302" s="323">
        <f t="shared" si="1647"/>
        <v>30.666999999999998</v>
      </c>
      <c r="N302" s="323">
        <f t="shared" si="1647"/>
        <v>56.5</v>
      </c>
      <c r="O302" s="259"/>
      <c r="P302" s="323">
        <f t="shared" si="1647"/>
        <v>28.699999999999996</v>
      </c>
      <c r="Q302" s="323">
        <f t="shared" si="1647"/>
        <v>32.700000000000003</v>
      </c>
      <c r="R302" s="323">
        <f t="shared" si="1647"/>
        <v>61.4</v>
      </c>
      <c r="S302" s="259"/>
      <c r="T302" s="323">
        <f t="shared" si="1647"/>
        <v>29.199999999999996</v>
      </c>
      <c r="U302" s="323">
        <f t="shared" si="1647"/>
        <v>30.1</v>
      </c>
      <c r="V302" s="323">
        <f t="shared" si="1647"/>
        <v>59.3</v>
      </c>
      <c r="W302" s="259"/>
      <c r="X302" s="323">
        <f t="shared" si="1647"/>
        <v>29.3</v>
      </c>
      <c r="Y302" s="323">
        <f t="shared" si="1647"/>
        <v>44.2</v>
      </c>
      <c r="Z302" s="323">
        <f t="shared" si="1647"/>
        <v>73.5</v>
      </c>
      <c r="AA302" s="259"/>
      <c r="AB302" s="323">
        <f t="shared" ref="AB302:AD302" si="1648">+AB297</f>
        <v>46.3</v>
      </c>
      <c r="AC302" s="323">
        <f t="shared" si="1648"/>
        <v>57.35</v>
      </c>
      <c r="AD302" s="323">
        <f t="shared" si="1648"/>
        <v>103.65</v>
      </c>
      <c r="AE302" s="259"/>
      <c r="AF302" s="323">
        <f>+AF297</f>
        <v>58.199999999999996</v>
      </c>
      <c r="AG302" s="323">
        <f t="shared" ref="AG302:AH302" si="1649">+AG297</f>
        <v>81.100000000000009</v>
      </c>
      <c r="AH302" s="323">
        <f t="shared" si="1649"/>
        <v>139.29999999999998</v>
      </c>
      <c r="AI302" s="259"/>
      <c r="AJ302" s="323">
        <f>+AJ297</f>
        <v>84.600000000000009</v>
      </c>
      <c r="AK302" s="323">
        <f t="shared" ref="AK302:AL302" si="1650">+AK297</f>
        <v>91.619000000000014</v>
      </c>
      <c r="AL302" s="323">
        <f t="shared" si="1650"/>
        <v>176.21900000000002</v>
      </c>
      <c r="AM302" s="323"/>
      <c r="AN302" s="323">
        <f>+AN297</f>
        <v>106.6</v>
      </c>
      <c r="AO302" s="323">
        <f t="shared" ref="AO302:AP302" si="1651">+AO297</f>
        <v>113.9</v>
      </c>
      <c r="AP302" s="323">
        <f t="shared" si="1651"/>
        <v>220.5</v>
      </c>
      <c r="AQ302" s="494"/>
      <c r="AR302" s="323">
        <f t="shared" ref="AR302:AT302" si="1652">AR297+AR300</f>
        <v>114.21299211165049</v>
      </c>
      <c r="AS302" s="323">
        <f t="shared" si="1652"/>
        <v>121.80014631578949</v>
      </c>
      <c r="AT302" s="323">
        <f t="shared" si="1652"/>
        <v>236.01313842743997</v>
      </c>
      <c r="AU302" s="323"/>
      <c r="AV302" s="323">
        <f t="shared" ref="AV302:AX302" si="1653">AV297+AV300</f>
        <v>120.60031916732953</v>
      </c>
      <c r="AW302" s="323">
        <f t="shared" si="1653"/>
        <v>129.28316726315791</v>
      </c>
      <c r="AX302" s="323">
        <f t="shared" si="1653"/>
        <v>249.88348643048744</v>
      </c>
      <c r="AY302" s="323"/>
      <c r="AZ302" s="323">
        <f t="shared" ref="AZ302:BB302" si="1654">AZ297+AZ300</f>
        <v>125.38063826451216</v>
      </c>
      <c r="BA302" s="323">
        <f t="shared" si="1654"/>
        <v>134.99866975269737</v>
      </c>
      <c r="BB302" s="323">
        <f t="shared" si="1654"/>
        <v>260.37930801720961</v>
      </c>
      <c r="BC302" s="323"/>
      <c r="BD302" s="323">
        <f t="shared" ref="BD302:BF302" si="1655">BD297+BD300</f>
        <v>128.21540974117838</v>
      </c>
      <c r="BE302" s="323">
        <f t="shared" si="1655"/>
        <v>138.56221924563027</v>
      </c>
      <c r="BF302" s="323">
        <f t="shared" si="1655"/>
        <v>266.77762898680868</v>
      </c>
      <c r="BG302" s="323"/>
      <c r="BH302" s="323">
        <f t="shared" ref="BH302:BJ302" si="1656">BH297+BH300</f>
        <v>131.13220299583296</v>
      </c>
      <c r="BI302" s="323">
        <f t="shared" si="1656"/>
        <v>142.24086277233701</v>
      </c>
      <c r="BJ302" s="323">
        <f t="shared" si="1656"/>
        <v>273.37306576816991</v>
      </c>
      <c r="BK302" s="323"/>
      <c r="BL302" s="323">
        <f t="shared" ref="BL302:BN302" si="1657">BL297+BL300</f>
        <v>134.13367151797385</v>
      </c>
      <c r="BM302" s="323">
        <f t="shared" si="1657"/>
        <v>146.03865513524963</v>
      </c>
      <c r="BN302" s="323">
        <f t="shared" si="1657"/>
        <v>280.17232665322348</v>
      </c>
      <c r="BO302" s="323"/>
      <c r="BP302" s="323">
        <f t="shared" ref="BP302:BR302" si="1658">BP297+BP300</f>
        <v>137.22256238904652</v>
      </c>
      <c r="BQ302" s="323">
        <f t="shared" si="1658"/>
        <v>149.95980234971913</v>
      </c>
      <c r="BR302" s="323">
        <f t="shared" si="1658"/>
        <v>287.18236473876561</v>
      </c>
      <c r="BS302" s="323"/>
      <c r="BT302" s="323">
        <f t="shared" ref="BT302:BV302" si="1659">BT297+BT300</f>
        <v>140.40171977516917</v>
      </c>
      <c r="BU302" s="323">
        <f t="shared" si="1659"/>
        <v>154.00866747294859</v>
      </c>
      <c r="BV302" s="323">
        <f t="shared" si="1659"/>
        <v>294.41038724811779</v>
      </c>
      <c r="BW302" s="323"/>
      <c r="BX302" s="323">
        <f t="shared" ref="BX302:BZ302" si="1660">BX297+BX300</f>
        <v>143.67408855454798</v>
      </c>
      <c r="BY302" s="323">
        <f t="shared" si="1660"/>
        <v>158.18977666169206</v>
      </c>
      <c r="BZ302" s="323">
        <f t="shared" si="1660"/>
        <v>301.86386521624001</v>
      </c>
    </row>
    <row r="303" spans="1:78" s="671" customFormat="1" ht="17.399999999999999" customHeight="1" thickBot="1">
      <c r="A303" s="669"/>
      <c r="B303" s="670" t="s">
        <v>612</v>
      </c>
      <c r="D303" s="672"/>
      <c r="E303" s="672"/>
      <c r="F303" s="672"/>
      <c r="H303" s="672"/>
      <c r="I303" s="672"/>
      <c r="J303" s="672"/>
      <c r="L303" s="672"/>
      <c r="M303" s="672"/>
      <c r="N303" s="672"/>
      <c r="P303" s="672"/>
      <c r="Q303" s="672"/>
      <c r="R303" s="672"/>
      <c r="T303" s="672"/>
      <c r="U303" s="672"/>
      <c r="V303" s="672"/>
      <c r="X303" s="672">
        <f>+X302/T302-1</f>
        <v>3.4246575342467001E-3</v>
      </c>
      <c r="Y303" s="672">
        <f>+Y302/U302-1</f>
        <v>0.46843853820598014</v>
      </c>
      <c r="Z303" s="672">
        <f>+Z302/V302-1</f>
        <v>0.239460370994941</v>
      </c>
      <c r="AB303" s="672">
        <f>+AB302/X302-1</f>
        <v>0.58020477815699656</v>
      </c>
      <c r="AC303" s="672">
        <f>+AC302/Y302-1</f>
        <v>0.29751131221719462</v>
      </c>
      <c r="AD303" s="672">
        <f>+AD302/Z302-1</f>
        <v>0.41020408163265309</v>
      </c>
      <c r="AF303" s="673">
        <f>+AF302/AB302-1</f>
        <v>0.25701943844492448</v>
      </c>
      <c r="AG303" s="672">
        <f>+AG302/AC302-1</f>
        <v>0.41412380122057546</v>
      </c>
      <c r="AH303" s="672">
        <f>+AH302/AD302-1</f>
        <v>0.34394597202122501</v>
      </c>
      <c r="AJ303" s="673">
        <f>+AJ302/AF302-1</f>
        <v>0.45360824742268058</v>
      </c>
      <c r="AK303" s="672">
        <f>+AK302/AG302-1</f>
        <v>0.12970406905055487</v>
      </c>
      <c r="AL303" s="672">
        <f>+AL302/AH302-1</f>
        <v>0.26503230437903835</v>
      </c>
      <c r="AN303" s="673">
        <f>+AN302/AJ302-1</f>
        <v>0.26004728132387678</v>
      </c>
      <c r="AO303" s="672">
        <f>+AO302/AK302-1</f>
        <v>0.24319191434091159</v>
      </c>
      <c r="AP303" s="672">
        <f>+AP302/AL302-1</f>
        <v>0.2512839137663927</v>
      </c>
      <c r="AR303" s="673">
        <f t="shared" ref="AR303" si="1661">+AR302/AN302-1</f>
        <v>7.141643631942296E-2</v>
      </c>
      <c r="AS303" s="672">
        <f t="shared" ref="AS303" si="1662">+AS302/AO302-1</f>
        <v>6.9360371517027897E-2</v>
      </c>
      <c r="AT303" s="672">
        <f t="shared" ref="AT303" si="1663">+AT302/AP302-1</f>
        <v>7.0354369285442031E-2</v>
      </c>
      <c r="AV303" s="673">
        <f t="shared" ref="AV303" si="1664">+AV302/AR302-1</f>
        <v>5.5924697686188019E-2</v>
      </c>
      <c r="AW303" s="672">
        <f t="shared" ref="AW303" si="1665">+AW302/AS302-1</f>
        <v>6.1436879788036469E-2</v>
      </c>
      <c r="AX303" s="672">
        <f t="shared" ref="AX303" si="1666">+AX302/AT302-1</f>
        <v>5.8769389261402294E-2</v>
      </c>
      <c r="AZ303" s="673">
        <f t="shared" ref="AZ303" si="1667">+AZ302/AV302-1</f>
        <v>3.9637698558244061E-2</v>
      </c>
      <c r="BA303" s="672">
        <f t="shared" ref="BA303" si="1668">+BA302/AW302-1</f>
        <v>4.4209177501858932E-2</v>
      </c>
      <c r="BB303" s="672">
        <f t="shared" ref="BB303" si="1669">+BB302/AX302-1</f>
        <v>4.2002861960395599E-2</v>
      </c>
      <c r="BD303" s="673">
        <f t="shared" ref="BD303" si="1670">+BD302/AZ302-1</f>
        <v>2.2609324022468069E-2</v>
      </c>
      <c r="BE303" s="672">
        <f t="shared" ref="BE303" si="1671">+BE302/BA302-1</f>
        <v>2.6396923017544704E-2</v>
      </c>
      <c r="BF303" s="672">
        <f t="shared" ref="BF303" si="1672">+BF302/BB302-1</f>
        <v>2.4573077708525792E-2</v>
      </c>
      <c r="BH303" s="673">
        <f t="shared" ref="BH303" si="1673">+BH302/BD302-1</f>
        <v>2.2749162994857963E-2</v>
      </c>
      <c r="BI303" s="672">
        <f t="shared" ref="BI303" si="1674">+BI302/BE302-1</f>
        <v>2.6548676448271857E-2</v>
      </c>
      <c r="BJ303" s="672">
        <f t="shared" ref="BJ303" si="1675">+BJ302/BF302-1</f>
        <v>2.4722600640878056E-2</v>
      </c>
      <c r="BL303" s="673">
        <f t="shared" ref="BL303" si="1676">+BL302/BH302-1</f>
        <v>2.2888874384549673E-2</v>
      </c>
      <c r="BM303" s="672">
        <f t="shared" ref="BM303" si="1677">+BM302/BI302-1</f>
        <v>2.6699728115338717E-2</v>
      </c>
      <c r="BN303" s="672">
        <f t="shared" ref="BN303" si="1678">+BN302/BJ302-1</f>
        <v>2.4871729283014288E-2</v>
      </c>
      <c r="BP303" s="673">
        <f t="shared" ref="BP303" si="1679">+BP302/BL302-1</f>
        <v>2.3028452409570743E-2</v>
      </c>
      <c r="BQ303" s="672">
        <f t="shared" ref="BQ303" si="1680">+BQ302/BM302-1</f>
        <v>2.6850063846712624E-2</v>
      </c>
      <c r="BR303" s="672">
        <f t="shared" ref="BR303" si="1681">+BR302/BN302-1</f>
        <v>2.5020451410315836E-2</v>
      </c>
      <c r="BT303" s="673">
        <f t="shared" ref="BT303" si="1682">+BT302/BP302-1</f>
        <v>2.3167891130827734E-2</v>
      </c>
      <c r="BU303" s="672">
        <f t="shared" ref="BU303" si="1683">+BU302/BQ302-1</f>
        <v>2.6999669643383184E-2</v>
      </c>
      <c r="BV303" s="672">
        <f t="shared" ref="BV303" si="1684">+BV302/BR302-1</f>
        <v>2.5168754759461454E-2</v>
      </c>
      <c r="BX303" s="673">
        <f t="shared" ref="BX303" si="1685">+BX302/BT302-1</f>
        <v>2.3307184446308638E-2</v>
      </c>
      <c r="BY303" s="672">
        <f t="shared" ref="BY303" si="1686">+BY302/BU302-1</f>
        <v>2.7148531685581068E-2</v>
      </c>
      <c r="BZ303" s="672">
        <f t="shared" ref="BZ303" si="1687">+BZ302/BV302-1</f>
        <v>2.5316627031371386E-2</v>
      </c>
    </row>
    <row r="304" spans="1:78" s="220" customFormat="1" ht="17.399999999999999" customHeight="1">
      <c r="A304" s="660"/>
      <c r="B304" s="661"/>
      <c r="D304" s="683"/>
      <c r="E304" s="683"/>
      <c r="F304" s="683"/>
      <c r="H304" s="683"/>
      <c r="I304" s="683"/>
      <c r="J304" s="683"/>
      <c r="L304" s="683"/>
      <c r="M304" s="683"/>
      <c r="N304" s="683"/>
      <c r="P304" s="683"/>
      <c r="Q304" s="683"/>
      <c r="R304" s="683"/>
      <c r="T304" s="683"/>
      <c r="U304" s="683"/>
      <c r="V304" s="683"/>
      <c r="X304" s="683"/>
      <c r="Y304" s="683"/>
      <c r="Z304" s="683"/>
      <c r="AB304" s="683"/>
      <c r="AC304" s="683"/>
      <c r="AD304" s="683"/>
      <c r="AF304" s="684"/>
      <c r="AG304" s="683"/>
      <c r="AH304" s="683"/>
      <c r="AJ304" s="684"/>
      <c r="AK304" s="683"/>
      <c r="AL304" s="683"/>
      <c r="AN304" s="684"/>
      <c r="AO304" s="683"/>
      <c r="AP304" s="683"/>
      <c r="AR304" s="684"/>
      <c r="AS304" s="683"/>
      <c r="AT304" s="683"/>
      <c r="AV304" s="684"/>
      <c r="AW304" s="683"/>
      <c r="AX304" s="683"/>
      <c r="AZ304" s="684"/>
      <c r="BA304" s="683"/>
      <c r="BB304" s="683"/>
      <c r="BD304" s="684"/>
      <c r="BE304" s="683"/>
      <c r="BF304" s="683"/>
      <c r="BH304" s="684"/>
      <c r="BI304" s="683"/>
      <c r="BJ304" s="683"/>
      <c r="BL304" s="684"/>
      <c r="BM304" s="683"/>
      <c r="BN304" s="683"/>
      <c r="BP304" s="684"/>
      <c r="BQ304" s="683"/>
      <c r="BR304" s="683"/>
      <c r="BT304" s="684"/>
      <c r="BU304" s="683"/>
      <c r="BV304" s="683"/>
      <c r="BX304" s="684"/>
      <c r="BY304" s="683"/>
      <c r="BZ304" s="683"/>
    </row>
    <row r="305" spans="1:78" s="135" customFormat="1">
      <c r="A305" s="134"/>
      <c r="B305" s="150" t="s">
        <v>185</v>
      </c>
      <c r="D305" s="168">
        <v>-19.366</v>
      </c>
      <c r="E305" s="136">
        <f>F305-D305</f>
        <v>-16.862000000000002</v>
      </c>
      <c r="F305" s="168">
        <v>-36.228000000000002</v>
      </c>
      <c r="G305" s="133"/>
      <c r="H305" s="168">
        <v>-17.795999999999999</v>
      </c>
      <c r="I305" s="136">
        <f>J305-H305</f>
        <v>-18.902000000000001</v>
      </c>
      <c r="J305" s="168">
        <v>-36.698</v>
      </c>
      <c r="K305" s="133"/>
      <c r="L305" s="168">
        <v>-18.885000000000002</v>
      </c>
      <c r="M305" s="136">
        <f>N305-L305</f>
        <v>-17.914999999999996</v>
      </c>
      <c r="N305" s="168">
        <v>-36.799999999999997</v>
      </c>
      <c r="O305" s="133"/>
      <c r="P305" s="168">
        <v>-20.6</v>
      </c>
      <c r="Q305" s="136">
        <f>R305-P305</f>
        <v>-20.100000000000001</v>
      </c>
      <c r="R305" s="168">
        <v>-40.700000000000003</v>
      </c>
      <c r="S305" s="133"/>
      <c r="T305" s="168">
        <v>-21.1</v>
      </c>
      <c r="U305" s="136">
        <f>V305-T305</f>
        <v>-19.899999999999999</v>
      </c>
      <c r="V305" s="168">
        <v>-41</v>
      </c>
      <c r="W305" s="133"/>
      <c r="X305" s="168">
        <v>-21.3</v>
      </c>
      <c r="Y305" s="136">
        <f>Z305-X305</f>
        <v>-28.8</v>
      </c>
      <c r="Z305" s="168">
        <v>-50.1</v>
      </c>
      <c r="AA305" s="133"/>
      <c r="AB305" s="168">
        <v>-31.2</v>
      </c>
      <c r="AC305" s="136">
        <f>AD305-AB305</f>
        <v>-34.099999999999994</v>
      </c>
      <c r="AD305" s="168">
        <v>-65.3</v>
      </c>
      <c r="AE305" s="133"/>
      <c r="AF305" s="264">
        <v>-39.799999999999997</v>
      </c>
      <c r="AG305" s="136">
        <f>AH305-AF305</f>
        <v>-46</v>
      </c>
      <c r="AH305" s="264">
        <v>-85.8</v>
      </c>
      <c r="AI305" s="133"/>
      <c r="AJ305" s="264">
        <v>-50.5</v>
      </c>
      <c r="AK305" s="136">
        <f>AL305-AJ305</f>
        <v>-50.576999999999998</v>
      </c>
      <c r="AL305" s="264">
        <v>-101.077</v>
      </c>
      <c r="AM305" s="133"/>
      <c r="AN305" s="168">
        <v>-63.5</v>
      </c>
      <c r="AO305" s="136">
        <f>AP305-AN305</f>
        <v>-59.5</v>
      </c>
      <c r="AP305" s="912">
        <v>-123</v>
      </c>
      <c r="AQ305" s="133"/>
      <c r="AR305" s="136">
        <f t="shared" ref="AR305:AS305" si="1688">+AR306</f>
        <v>-67.157239361650483</v>
      </c>
      <c r="AS305" s="136">
        <f t="shared" si="1688"/>
        <v>-63.945076815789484</v>
      </c>
      <c r="AT305" s="136">
        <f t="shared" ref="AT305:AT306" si="1689">+AS305+AR305</f>
        <v>-131.10231617743997</v>
      </c>
      <c r="AU305" s="133"/>
      <c r="AV305" s="136">
        <f t="shared" ref="AV305:AW305" si="1690">+AV306</f>
        <v>-70.551186712887784</v>
      </c>
      <c r="AW305" s="136">
        <f t="shared" si="1690"/>
        <v>-67.873662813157907</v>
      </c>
      <c r="AX305" s="136">
        <f t="shared" ref="AX305:AX306" si="1691">+AW305+AV305</f>
        <v>-138.4248495260457</v>
      </c>
      <c r="AY305" s="133"/>
      <c r="AZ305" s="136">
        <f t="shared" ref="AZ305:BA305" si="1692">+AZ306</f>
        <v>-72.720770193417053</v>
      </c>
      <c r="BA305" s="136">
        <f t="shared" si="1692"/>
        <v>-70.199308271402629</v>
      </c>
      <c r="BB305" s="136">
        <f t="shared" ref="BB305:BB306" si="1693">+BA305+AZ305</f>
        <v>-142.92007846481968</v>
      </c>
      <c r="BC305" s="133"/>
      <c r="BD305" s="136">
        <f t="shared" ref="BD305:BE305" si="1694">+BD306</f>
        <v>-74.364937649883458</v>
      </c>
      <c r="BE305" s="136">
        <f t="shared" si="1694"/>
        <v>-72.052354007727743</v>
      </c>
      <c r="BF305" s="136">
        <f t="shared" ref="BF305:BF306" si="1695">+BE305+BD305</f>
        <v>-146.4172916576112</v>
      </c>
      <c r="BG305" s="133"/>
      <c r="BH305" s="136">
        <f t="shared" ref="BH305:BI305" si="1696">+BH306</f>
        <v>-76.056677737583115</v>
      </c>
      <c r="BI305" s="136">
        <f t="shared" si="1696"/>
        <v>-73.965248641615247</v>
      </c>
      <c r="BJ305" s="136">
        <f t="shared" ref="BJ305:BJ306" si="1697">+BI305+BH305</f>
        <v>-150.02192637919836</v>
      </c>
      <c r="BK305" s="133"/>
      <c r="BL305" s="136">
        <f t="shared" ref="BL305:BM305" si="1698">+BL306</f>
        <v>-77.797529480424828</v>
      </c>
      <c r="BM305" s="136">
        <f t="shared" si="1698"/>
        <v>-75.940100670329812</v>
      </c>
      <c r="BN305" s="136">
        <f t="shared" ref="BN305:BN306" si="1699">+BM305+BL305</f>
        <v>-153.73763015075463</v>
      </c>
      <c r="BO305" s="133"/>
      <c r="BP305" s="136">
        <f t="shared" ref="BP305:BQ305" si="1700">+BP306</f>
        <v>-79.589086185646977</v>
      </c>
      <c r="BQ305" s="136">
        <f t="shared" si="1700"/>
        <v>-77.979097221853948</v>
      </c>
      <c r="BR305" s="136">
        <f t="shared" ref="BR305:BR306" si="1701">+BQ305+BP305</f>
        <v>-157.56818340750092</v>
      </c>
      <c r="BS305" s="133"/>
      <c r="BT305" s="136">
        <f t="shared" ref="BT305:BU305" si="1702">+BT306</f>
        <v>-81.432997469598121</v>
      </c>
      <c r="BU305" s="136">
        <f t="shared" si="1702"/>
        <v>-80.084507085933268</v>
      </c>
      <c r="BV305" s="136">
        <f t="shared" ref="BV305:BV306" si="1703">+BU305+BT305</f>
        <v>-161.51750455553139</v>
      </c>
      <c r="BW305" s="133"/>
      <c r="BX305" s="136">
        <f t="shared" ref="BX305:BY305" si="1704">+BX306</f>
        <v>-83.330971361637836</v>
      </c>
      <c r="BY305" s="136">
        <f t="shared" si="1704"/>
        <v>-82.25868386407987</v>
      </c>
      <c r="BZ305" s="136">
        <f t="shared" ref="BZ305:BZ306" si="1705">+BY305+BX305</f>
        <v>-165.58965522571771</v>
      </c>
    </row>
    <row r="306" spans="1:78">
      <c r="B306" s="307" t="s">
        <v>503</v>
      </c>
      <c r="D306" s="232">
        <f>D305</f>
        <v>-19.366</v>
      </c>
      <c r="E306" s="232">
        <f>E305</f>
        <v>-16.862000000000002</v>
      </c>
      <c r="F306" s="232">
        <f>F305</f>
        <v>-36.228000000000002</v>
      </c>
      <c r="H306" s="232">
        <f>H305</f>
        <v>-17.795999999999999</v>
      </c>
      <c r="I306" s="232">
        <f>I305</f>
        <v>-18.902000000000001</v>
      </c>
      <c r="J306" s="232">
        <f>J305</f>
        <v>-36.698</v>
      </c>
      <c r="L306" s="232">
        <f>L305</f>
        <v>-18.885000000000002</v>
      </c>
      <c r="M306" s="232">
        <f>M305</f>
        <v>-17.914999999999996</v>
      </c>
      <c r="N306" s="232">
        <f>N305</f>
        <v>-36.799999999999997</v>
      </c>
      <c r="P306" s="232">
        <f>P305</f>
        <v>-20.6</v>
      </c>
      <c r="Q306" s="232">
        <f>Q305</f>
        <v>-20.100000000000001</v>
      </c>
      <c r="R306" s="232">
        <f>R305</f>
        <v>-40.700000000000003</v>
      </c>
      <c r="T306" s="232">
        <f>T305</f>
        <v>-21.1</v>
      </c>
      <c r="U306" s="232">
        <f>U305</f>
        <v>-19.899999999999999</v>
      </c>
      <c r="V306" s="232">
        <f>V305</f>
        <v>-41</v>
      </c>
      <c r="X306" s="232">
        <f>X305</f>
        <v>-21.3</v>
      </c>
      <c r="Y306" s="232">
        <f>Y305</f>
        <v>-28.8</v>
      </c>
      <c r="Z306" s="232">
        <f>Z305</f>
        <v>-50.1</v>
      </c>
      <c r="AB306" s="232">
        <f>AB305</f>
        <v>-31.2</v>
      </c>
      <c r="AC306" s="232">
        <f>AC305</f>
        <v>-34.099999999999994</v>
      </c>
      <c r="AD306" s="232">
        <f>AD305</f>
        <v>-65.3</v>
      </c>
      <c r="AF306" s="232">
        <f>AF305</f>
        <v>-39.799999999999997</v>
      </c>
      <c r="AG306" s="232">
        <f>AG305</f>
        <v>-46</v>
      </c>
      <c r="AH306" s="232">
        <f>AH305</f>
        <v>-85.8</v>
      </c>
      <c r="AJ306" s="232">
        <f>AJ305</f>
        <v>-50.5</v>
      </c>
      <c r="AK306" s="232">
        <f>AK305</f>
        <v>-50.576999999999998</v>
      </c>
      <c r="AL306" s="232">
        <f>AL305</f>
        <v>-101.077</v>
      </c>
      <c r="AN306" s="232">
        <f>AN305</f>
        <v>-63.5</v>
      </c>
      <c r="AO306" s="232">
        <f>AO305</f>
        <v>-59.5</v>
      </c>
      <c r="AP306" s="232">
        <f>AP305</f>
        <v>-123</v>
      </c>
      <c r="AR306" s="232">
        <f t="shared" ref="AR306:AS306" si="1706">-(+AR302-AR310)</f>
        <v>-67.157239361650483</v>
      </c>
      <c r="AS306" s="232">
        <f t="shared" si="1706"/>
        <v>-63.945076815789484</v>
      </c>
      <c r="AT306" s="232">
        <f t="shared" si="1689"/>
        <v>-131.10231617743997</v>
      </c>
      <c r="AV306" s="232">
        <f t="shared" ref="AV306:AW306" si="1707">-(+AV302-AV310)</f>
        <v>-70.551186712887784</v>
      </c>
      <c r="AW306" s="232">
        <f t="shared" si="1707"/>
        <v>-67.873662813157907</v>
      </c>
      <c r="AX306" s="232">
        <f t="shared" si="1691"/>
        <v>-138.4248495260457</v>
      </c>
      <c r="AZ306" s="232">
        <f t="shared" ref="AZ306:BA306" si="1708">-(+AZ302-AZ310)</f>
        <v>-72.720770193417053</v>
      </c>
      <c r="BA306" s="232">
        <f t="shared" si="1708"/>
        <v>-70.199308271402629</v>
      </c>
      <c r="BB306" s="232">
        <f t="shared" si="1693"/>
        <v>-142.92007846481968</v>
      </c>
      <c r="BD306" s="232">
        <f t="shared" ref="BD306:BE306" si="1709">-(+BD302-BD310)</f>
        <v>-74.364937649883458</v>
      </c>
      <c r="BE306" s="232">
        <f t="shared" si="1709"/>
        <v>-72.052354007727743</v>
      </c>
      <c r="BF306" s="232">
        <f t="shared" si="1695"/>
        <v>-146.4172916576112</v>
      </c>
      <c r="BH306" s="232">
        <f t="shared" ref="BH306:BI306" si="1710">-(+BH302-BH310)</f>
        <v>-76.056677737583115</v>
      </c>
      <c r="BI306" s="232">
        <f t="shared" si="1710"/>
        <v>-73.965248641615247</v>
      </c>
      <c r="BJ306" s="232">
        <f t="shared" si="1697"/>
        <v>-150.02192637919836</v>
      </c>
      <c r="BL306" s="232">
        <f t="shared" ref="BL306:BM306" si="1711">-(+BL302-BL310)</f>
        <v>-77.797529480424828</v>
      </c>
      <c r="BM306" s="232">
        <f t="shared" si="1711"/>
        <v>-75.940100670329812</v>
      </c>
      <c r="BN306" s="232">
        <f t="shared" si="1699"/>
        <v>-153.73763015075463</v>
      </c>
      <c r="BP306" s="232">
        <f t="shared" ref="BP306:BQ306" si="1712">-(+BP302-BP310)</f>
        <v>-79.589086185646977</v>
      </c>
      <c r="BQ306" s="232">
        <f t="shared" si="1712"/>
        <v>-77.979097221853948</v>
      </c>
      <c r="BR306" s="232">
        <f t="shared" si="1701"/>
        <v>-157.56818340750092</v>
      </c>
      <c r="BT306" s="232">
        <f t="shared" ref="BT306:BU306" si="1713">-(+BT302-BT310)</f>
        <v>-81.432997469598121</v>
      </c>
      <c r="BU306" s="232">
        <f t="shared" si="1713"/>
        <v>-80.084507085933268</v>
      </c>
      <c r="BV306" s="232">
        <f t="shared" si="1703"/>
        <v>-161.51750455553139</v>
      </c>
      <c r="BX306" s="232">
        <f t="shared" ref="BX306:BY306" si="1714">-(+BX302-BX310)</f>
        <v>-83.330971361637836</v>
      </c>
      <c r="BY306" s="232">
        <f t="shared" si="1714"/>
        <v>-82.25868386407987</v>
      </c>
      <c r="BZ306" s="232">
        <f t="shared" si="1705"/>
        <v>-165.58965522571771</v>
      </c>
    </row>
    <row r="307" spans="1:78" s="135" customFormat="1">
      <c r="A307" s="134"/>
      <c r="B307" s="314" t="s">
        <v>504</v>
      </c>
      <c r="D307" s="315">
        <f>-D305/D297</f>
        <v>0.80303532924199716</v>
      </c>
      <c r="E307" s="315">
        <f>-E305/E297</f>
        <v>0.62237478315432027</v>
      </c>
      <c r="F307" s="315">
        <f>-F305/F297</f>
        <v>0.70745376789236269</v>
      </c>
      <c r="G307" s="133"/>
      <c r="H307" s="315">
        <f>-H305/H297</f>
        <v>0.71081642434893755</v>
      </c>
      <c r="I307" s="315">
        <f>-I305/I297</f>
        <v>0.60426456954700947</v>
      </c>
      <c r="J307" s="315">
        <f>-J305/J297</f>
        <v>0.65163272191345423</v>
      </c>
      <c r="K307" s="133"/>
      <c r="L307" s="315">
        <f>-L305/L297</f>
        <v>0.73104169086052739</v>
      </c>
      <c r="M307" s="315">
        <f>-M305/M297</f>
        <v>0.58417843284312121</v>
      </c>
      <c r="N307" s="315">
        <f>-N305/N297</f>
        <v>0.65132743362831858</v>
      </c>
      <c r="O307" s="133"/>
      <c r="P307" s="315">
        <f>-P305/P297</f>
        <v>0.71777003484320578</v>
      </c>
      <c r="Q307" s="315">
        <f>-Q305/Q297</f>
        <v>0.61467889908256879</v>
      </c>
      <c r="R307" s="315">
        <f>-R305/R297</f>
        <v>0.66286644951140072</v>
      </c>
      <c r="S307" s="133"/>
      <c r="T307" s="315">
        <f>-T305/T297</f>
        <v>0.72260273972602751</v>
      </c>
      <c r="U307" s="315">
        <f>-U305/U297</f>
        <v>0.66112956810631218</v>
      </c>
      <c r="V307" s="315">
        <f>-V305/V297</f>
        <v>0.69139966273187192</v>
      </c>
      <c r="W307" s="133"/>
      <c r="X307" s="315">
        <f>-X305/X297</f>
        <v>0.726962457337884</v>
      </c>
      <c r="Y307" s="315">
        <f>-Y305/Y297</f>
        <v>0.65158371040723984</v>
      </c>
      <c r="Z307" s="315">
        <f>-Z305/Z297</f>
        <v>0.68163265306122456</v>
      </c>
      <c r="AA307" s="133"/>
      <c r="AB307" s="315">
        <f>-AB305/AB297</f>
        <v>0.67386609071274306</v>
      </c>
      <c r="AC307" s="315">
        <f>-AC305/AC297</f>
        <v>0.59459459459459452</v>
      </c>
      <c r="AD307" s="315">
        <f>-AD305/AD297</f>
        <v>0.63000482392667623</v>
      </c>
      <c r="AE307" s="133"/>
      <c r="AF307" s="374">
        <f>-AF305/AF297</f>
        <v>0.68384879725085912</v>
      </c>
      <c r="AG307" s="315">
        <f>-AG305/AG297</f>
        <v>0.56720098643649808</v>
      </c>
      <c r="AH307" s="315">
        <f>-AH305/AH297</f>
        <v>0.61593682699210339</v>
      </c>
      <c r="AI307" s="133"/>
      <c r="AJ307" s="374">
        <f>-AJ305/AJ297</f>
        <v>0.59692671394799046</v>
      </c>
      <c r="AK307" s="315">
        <f>-AK305/AK297</f>
        <v>0.55203614970693837</v>
      </c>
      <c r="AL307" s="315">
        <f>-AL305/AL297</f>
        <v>0.57358741111911871</v>
      </c>
      <c r="AM307" s="133"/>
      <c r="AN307" s="374">
        <f>-AN305/AN297</f>
        <v>0.59568480300187621</v>
      </c>
      <c r="AO307" s="315">
        <f>-AO305/AO297</f>
        <v>0.52238805970149249</v>
      </c>
      <c r="AP307" s="315">
        <f>-AP305/AP297</f>
        <v>0.55782312925170063</v>
      </c>
      <c r="AQ307" s="133"/>
      <c r="AR307" s="315">
        <f t="shared" ref="AR307:AT307" si="1715">-AR305/AR297</f>
        <v>0.58029239921930775</v>
      </c>
      <c r="AS307" s="315">
        <f t="shared" si="1715"/>
        <v>0.51942681420056924</v>
      </c>
      <c r="AT307" s="315">
        <f t="shared" si="1715"/>
        <v>0.54891962374941894</v>
      </c>
      <c r="AU307" s="133"/>
      <c r="AV307" s="315">
        <f t="shared" ref="AV307:AX307" si="1716">-AV305/AV297</f>
        <v>0.57769163426967729</v>
      </c>
      <c r="AW307" s="315">
        <f t="shared" si="1716"/>
        <v>0.51964216251268136</v>
      </c>
      <c r="AX307" s="315">
        <f t="shared" si="1716"/>
        <v>0.54769189821056818</v>
      </c>
      <c r="AY307" s="133"/>
      <c r="AZ307" s="315">
        <f t="shared" ref="AZ307:BB307" si="1717">-AZ305/AZ297</f>
        <v>0.5729729143756439</v>
      </c>
      <c r="BA307" s="315">
        <f t="shared" si="1717"/>
        <v>0.51486847446996975</v>
      </c>
      <c r="BB307" s="315">
        <f t="shared" si="1717"/>
        <v>0.54288051220601452</v>
      </c>
      <c r="BC307" s="133"/>
      <c r="BD307" s="315">
        <f t="shared" ref="BD307:BF307" si="1718">-BD305/BD297</f>
        <v>0.5729906282285866</v>
      </c>
      <c r="BE307" s="315">
        <f t="shared" si="1718"/>
        <v>0.51490014256541938</v>
      </c>
      <c r="BF307" s="315">
        <f t="shared" si="1718"/>
        <v>0.54285227869511399</v>
      </c>
      <c r="BG307" s="133"/>
      <c r="BH307" s="315">
        <f t="shared" ref="BH307:BJ307" si="1719">-BH305/BH297</f>
        <v>0.57300924241613616</v>
      </c>
      <c r="BI307" s="315">
        <f t="shared" si="1719"/>
        <v>0.51493235910294111</v>
      </c>
      <c r="BJ307" s="315">
        <f t="shared" si="1719"/>
        <v>0.54282462719275859</v>
      </c>
      <c r="BK307" s="133"/>
      <c r="BL307" s="315">
        <f t="shared" ref="BL307:BN307" si="1720">-BL305/BL297</f>
        <v>0.57302874862467612</v>
      </c>
      <c r="BM307" s="315">
        <f t="shared" si="1720"/>
        <v>0.51496510779988214</v>
      </c>
      <c r="BN307" s="315">
        <f t="shared" si="1720"/>
        <v>0.54279755270522068</v>
      </c>
      <c r="BO307" s="133"/>
      <c r="BP307" s="315">
        <f t="shared" ref="BP307:BR307" si="1721">-BP305/BP297</f>
        <v>0.57304913817530012</v>
      </c>
      <c r="BQ307" s="315">
        <f t="shared" si="1721"/>
        <v>0.51499837224429368</v>
      </c>
      <c r="BR307" s="315">
        <f t="shared" si="1721"/>
        <v>0.54277105007594584</v>
      </c>
      <c r="BS307" s="133"/>
      <c r="BT307" s="315">
        <f t="shared" ref="BT307:BV307" si="1722">-BT305/BT297</f>
        <v>0.57307040202949144</v>
      </c>
      <c r="BU307" s="315">
        <f t="shared" si="1722"/>
        <v>0.51503213590990693</v>
      </c>
      <c r="BV307" s="315">
        <f t="shared" si="1722"/>
        <v>0.54274511399229552</v>
      </c>
      <c r="BW307" s="133"/>
      <c r="BX307" s="315">
        <f t="shared" ref="BX307:BZ307" si="1723">-BX305/BX297</f>
        <v>0.57309253079503697</v>
      </c>
      <c r="BY307" s="315">
        <f t="shared" si="1723"/>
        <v>0.51506638217105194</v>
      </c>
      <c r="BZ307" s="315">
        <f t="shared" si="1723"/>
        <v>0.54271973899228743</v>
      </c>
    </row>
    <row r="308" spans="1:78" s="140" customFormat="1">
      <c r="B308" s="244" t="s">
        <v>505</v>
      </c>
      <c r="C308" s="243"/>
      <c r="D308" s="341"/>
      <c r="E308" s="341"/>
      <c r="F308" s="341"/>
      <c r="G308" s="341"/>
      <c r="H308" s="341"/>
      <c r="I308" s="341"/>
      <c r="J308" s="341"/>
      <c r="K308" s="341"/>
      <c r="L308" s="341"/>
      <c r="M308" s="341"/>
      <c r="N308" s="341"/>
      <c r="O308" s="341"/>
      <c r="P308" s="341"/>
      <c r="Q308" s="341"/>
      <c r="R308" s="341"/>
      <c r="S308" s="341"/>
      <c r="T308" s="341"/>
      <c r="U308" s="341"/>
      <c r="V308" s="341"/>
      <c r="W308" s="341"/>
      <c r="X308" s="341"/>
      <c r="Y308" s="341"/>
      <c r="Z308" s="341"/>
      <c r="AA308" s="341"/>
      <c r="AB308" s="341"/>
      <c r="AC308" s="341"/>
      <c r="AD308" s="341"/>
      <c r="AE308" s="341"/>
      <c r="AF308" s="341"/>
      <c r="AG308" s="341"/>
      <c r="AH308" s="341"/>
      <c r="AI308" s="341"/>
      <c r="AJ308" s="341"/>
      <c r="AK308" s="341"/>
      <c r="AL308" s="341"/>
      <c r="AM308" s="341"/>
      <c r="AN308" s="341"/>
      <c r="AO308" s="341"/>
      <c r="AP308" s="341"/>
      <c r="AQ308" s="341"/>
      <c r="AR308" s="341">
        <f t="shared" ref="AR308:AT308" si="1724">AR302-AR313+AR306</f>
        <v>0</v>
      </c>
      <c r="AS308" s="341">
        <f t="shared" si="1724"/>
        <v>0</v>
      </c>
      <c r="AT308" s="341">
        <f t="shared" si="1724"/>
        <v>0</v>
      </c>
      <c r="AU308" s="341"/>
      <c r="AV308" s="341">
        <f t="shared" ref="AV308:AX308" si="1725">AV302-AV313+AV306</f>
        <v>0</v>
      </c>
      <c r="AW308" s="341">
        <f t="shared" si="1725"/>
        <v>0</v>
      </c>
      <c r="AX308" s="341">
        <f t="shared" si="1725"/>
        <v>0</v>
      </c>
      <c r="AY308" s="341"/>
      <c r="AZ308" s="341">
        <f t="shared" ref="AZ308:BB308" si="1726">AZ302-AZ313+AZ306</f>
        <v>0</v>
      </c>
      <c r="BA308" s="341">
        <f t="shared" si="1726"/>
        <v>0</v>
      </c>
      <c r="BB308" s="341">
        <f t="shared" si="1726"/>
        <v>0</v>
      </c>
      <c r="BC308" s="341"/>
      <c r="BD308" s="341">
        <f t="shared" ref="BD308:BF308" si="1727">BD302-BD313+BD306</f>
        <v>0</v>
      </c>
      <c r="BE308" s="341">
        <f t="shared" si="1727"/>
        <v>0</v>
      </c>
      <c r="BF308" s="341">
        <f t="shared" si="1727"/>
        <v>0</v>
      </c>
      <c r="BG308" s="341"/>
      <c r="BH308" s="341">
        <f t="shared" ref="BH308:BJ308" si="1728">BH302-BH313+BH306</f>
        <v>0</v>
      </c>
      <c r="BI308" s="341">
        <f t="shared" si="1728"/>
        <v>0</v>
      </c>
      <c r="BJ308" s="341">
        <f t="shared" si="1728"/>
        <v>0</v>
      </c>
      <c r="BK308" s="341"/>
      <c r="BL308" s="341">
        <f t="shared" ref="BL308:BN308" si="1729">BL302-BL313+BL306</f>
        <v>0</v>
      </c>
      <c r="BM308" s="341">
        <f t="shared" si="1729"/>
        <v>0</v>
      </c>
      <c r="BN308" s="341">
        <f t="shared" si="1729"/>
        <v>0</v>
      </c>
      <c r="BO308" s="341"/>
      <c r="BP308" s="341">
        <f t="shared" ref="BP308:BR308" si="1730">BP302-BP313+BP306</f>
        <v>0</v>
      </c>
      <c r="BQ308" s="341">
        <f t="shared" si="1730"/>
        <v>0</v>
      </c>
      <c r="BR308" s="341">
        <f t="shared" si="1730"/>
        <v>0</v>
      </c>
      <c r="BS308" s="341"/>
      <c r="BT308" s="341">
        <f t="shared" ref="BT308:BV308" si="1731">BT302-BT313+BT306</f>
        <v>0</v>
      </c>
      <c r="BU308" s="341">
        <f t="shared" si="1731"/>
        <v>0</v>
      </c>
      <c r="BV308" s="341">
        <f t="shared" si="1731"/>
        <v>0</v>
      </c>
      <c r="BW308" s="341"/>
      <c r="BX308" s="341">
        <f t="shared" ref="BX308:BZ308" si="1732">BX302-BX313+BX306</f>
        <v>0</v>
      </c>
      <c r="BY308" s="341">
        <f t="shared" si="1732"/>
        <v>0</v>
      </c>
      <c r="BZ308" s="341">
        <f t="shared" si="1732"/>
        <v>0</v>
      </c>
    </row>
    <row r="309" spans="1:78" s="135" customFormat="1">
      <c r="A309" s="134"/>
      <c r="B309" s="314"/>
      <c r="D309" s="315"/>
      <c r="E309" s="315"/>
      <c r="F309" s="315"/>
      <c r="G309" s="133"/>
      <c r="H309" s="315"/>
      <c r="I309" s="315"/>
      <c r="J309" s="315"/>
      <c r="K309" s="133"/>
      <c r="L309" s="315"/>
      <c r="M309" s="315"/>
      <c r="N309" s="315"/>
      <c r="O309" s="133"/>
      <c r="P309" s="315"/>
      <c r="Q309" s="315"/>
      <c r="R309" s="315"/>
      <c r="S309" s="133"/>
      <c r="T309" s="315"/>
      <c r="U309" s="315"/>
      <c r="V309" s="315"/>
      <c r="W309" s="133"/>
      <c r="X309" s="315"/>
      <c r="Y309" s="315"/>
      <c r="Z309" s="315"/>
      <c r="AA309" s="133"/>
      <c r="AB309" s="315"/>
      <c r="AC309" s="315"/>
      <c r="AD309" s="315"/>
      <c r="AE309" s="133"/>
      <c r="AF309" s="374"/>
      <c r="AG309" s="315"/>
      <c r="AH309" s="315"/>
      <c r="AI309" s="133"/>
      <c r="AJ309" s="374"/>
      <c r="AK309" s="315"/>
      <c r="AL309" s="315"/>
      <c r="AM309" s="133"/>
      <c r="AN309" s="374"/>
      <c r="AO309" s="315"/>
      <c r="AP309" s="315"/>
      <c r="AQ309" s="133"/>
      <c r="AR309" s="315"/>
      <c r="AS309" s="315"/>
      <c r="AT309" s="315"/>
      <c r="AU309" s="133"/>
      <c r="AV309" s="315"/>
      <c r="AW309" s="315"/>
      <c r="AX309" s="315"/>
      <c r="AY309" s="133"/>
      <c r="AZ309" s="315"/>
      <c r="BA309" s="315"/>
      <c r="BB309" s="315"/>
      <c r="BC309" s="133"/>
      <c r="BD309" s="315"/>
      <c r="BE309" s="315"/>
      <c r="BF309" s="315"/>
      <c r="BG309" s="133"/>
      <c r="BH309" s="315"/>
      <c r="BI309" s="315"/>
      <c r="BJ309" s="315"/>
      <c r="BK309" s="133"/>
      <c r="BL309" s="315"/>
      <c r="BM309" s="315"/>
      <c r="BN309" s="315"/>
      <c r="BO309" s="133"/>
      <c r="BP309" s="315"/>
      <c r="BQ309" s="315"/>
      <c r="BR309" s="315"/>
      <c r="BS309" s="133"/>
      <c r="BT309" s="315"/>
      <c r="BU309" s="315"/>
      <c r="BV309" s="315"/>
      <c r="BW309" s="133"/>
      <c r="BX309" s="315"/>
      <c r="BY309" s="315"/>
      <c r="BZ309" s="315"/>
    </row>
    <row r="310" spans="1:78" s="135" customFormat="1" ht="14.4" thickBot="1">
      <c r="A310" s="134"/>
      <c r="B310" s="151" t="s">
        <v>609</v>
      </c>
      <c r="D310" s="232">
        <f>D305+D297</f>
        <v>4.7499999999999964</v>
      </c>
      <c r="E310" s="232">
        <f>E305+E297</f>
        <v>10.231000000000002</v>
      </c>
      <c r="F310" s="232">
        <f>F305+F297</f>
        <v>14.981000000000002</v>
      </c>
      <c r="G310" s="133"/>
      <c r="H310" s="232">
        <f>H305+H297</f>
        <v>7.2399999999999984</v>
      </c>
      <c r="I310" s="232">
        <f>I305+I297</f>
        <v>12.378999999999994</v>
      </c>
      <c r="J310" s="232">
        <f>J305+J297</f>
        <v>19.619</v>
      </c>
      <c r="K310" s="133"/>
      <c r="L310" s="232">
        <f>L305+L297</f>
        <v>6.9479999999999968</v>
      </c>
      <c r="M310" s="232">
        <f>M305+M297</f>
        <v>12.752000000000002</v>
      </c>
      <c r="N310" s="232">
        <f>N305+N297</f>
        <v>19.700000000000003</v>
      </c>
      <c r="O310" s="133"/>
      <c r="P310" s="232">
        <f>P305+P297</f>
        <v>8.0999999999999943</v>
      </c>
      <c r="Q310" s="232">
        <f>Q305+Q297</f>
        <v>12.600000000000001</v>
      </c>
      <c r="R310" s="232">
        <f>R305+R297</f>
        <v>20.699999999999996</v>
      </c>
      <c r="S310" s="133"/>
      <c r="T310" s="232">
        <f>T305+T297</f>
        <v>8.0999999999999943</v>
      </c>
      <c r="U310" s="232">
        <f>U305+U297</f>
        <v>10.200000000000003</v>
      </c>
      <c r="V310" s="232">
        <f>V305+V297</f>
        <v>18.299999999999997</v>
      </c>
      <c r="W310" s="133"/>
      <c r="X310" s="232">
        <f>X305+X297</f>
        <v>8</v>
      </c>
      <c r="Y310" s="232">
        <f>Y305+Y297</f>
        <v>15.400000000000002</v>
      </c>
      <c r="Z310" s="232">
        <f>Z305+Z297</f>
        <v>23.4</v>
      </c>
      <c r="AA310" s="133"/>
      <c r="AB310" s="232">
        <f>AB305+AB297</f>
        <v>15.099999999999998</v>
      </c>
      <c r="AC310" s="232">
        <f>AC305+AC297</f>
        <v>23.250000000000007</v>
      </c>
      <c r="AD310" s="232">
        <f>AD305+AD297</f>
        <v>38.350000000000009</v>
      </c>
      <c r="AE310" s="133"/>
      <c r="AF310" s="323">
        <f>AF305+AF297</f>
        <v>18.399999999999999</v>
      </c>
      <c r="AG310" s="232">
        <f>AG305+AG297</f>
        <v>35.100000000000009</v>
      </c>
      <c r="AH310" s="232">
        <f>AH305+AH297</f>
        <v>53.499999999999986</v>
      </c>
      <c r="AI310" s="133"/>
      <c r="AJ310" s="323">
        <f>AJ305+AJ297</f>
        <v>34.100000000000009</v>
      </c>
      <c r="AK310" s="232">
        <f>AK305+AK297</f>
        <v>41.042000000000016</v>
      </c>
      <c r="AL310" s="140">
        <f>AL305+AL297</f>
        <v>75.142000000000024</v>
      </c>
      <c r="AM310" s="133"/>
      <c r="AN310" s="323">
        <f>AN305+AN297</f>
        <v>43.099999999999994</v>
      </c>
      <c r="AO310" s="232">
        <f>AO305+AO297</f>
        <v>54.400000000000006</v>
      </c>
      <c r="AP310" s="140">
        <f>AP305+AP297</f>
        <v>97.5</v>
      </c>
      <c r="AQ310" s="161">
        <f>AN310+AO310-AP310</f>
        <v>0</v>
      </c>
      <c r="AR310" s="232">
        <f t="shared" ref="AR310:AS310" si="1733">+AR313</f>
        <v>47.055752750000003</v>
      </c>
      <c r="AS310" s="232">
        <f t="shared" si="1733"/>
        <v>57.855069500000006</v>
      </c>
      <c r="AT310" s="232">
        <f t="shared" ref="AT310" si="1734">+AR310+AS310</f>
        <v>104.91082225000001</v>
      </c>
      <c r="AU310" s="133"/>
      <c r="AV310" s="232">
        <f t="shared" ref="AV310:AW310" si="1735">+AV313</f>
        <v>50.049132454441754</v>
      </c>
      <c r="AW310" s="232">
        <f t="shared" si="1735"/>
        <v>61.40950445</v>
      </c>
      <c r="AX310" s="232">
        <f t="shared" ref="AX310" si="1736">+AV310+AW310</f>
        <v>111.45863690444176</v>
      </c>
      <c r="AY310" s="133"/>
      <c r="AZ310" s="232">
        <f t="shared" ref="AZ310:BA310" si="1737">+AZ313</f>
        <v>52.659868071095104</v>
      </c>
      <c r="BA310" s="232">
        <f t="shared" si="1737"/>
        <v>64.799361481294738</v>
      </c>
      <c r="BB310" s="232">
        <f t="shared" ref="BB310" si="1738">+AZ310+BA310</f>
        <v>117.45922955238984</v>
      </c>
      <c r="BC310" s="133"/>
      <c r="BD310" s="232">
        <f t="shared" ref="BD310:BE310" si="1739">+BD313</f>
        <v>53.850472091294918</v>
      </c>
      <c r="BE310" s="232">
        <f t="shared" si="1739"/>
        <v>66.509865237902531</v>
      </c>
      <c r="BF310" s="232">
        <f t="shared" ref="BF310" si="1740">+BD310+BE310</f>
        <v>120.36033732919745</v>
      </c>
      <c r="BG310" s="133"/>
      <c r="BH310" s="232">
        <f t="shared" ref="BH310:BI310" si="1741">+BH313</f>
        <v>55.07552525824984</v>
      </c>
      <c r="BI310" s="232">
        <f t="shared" si="1741"/>
        <v>68.275614130721763</v>
      </c>
      <c r="BJ310" s="232">
        <f t="shared" ref="BJ310" si="1742">+BH310+BI310</f>
        <v>123.3511393889716</v>
      </c>
      <c r="BK310" s="133"/>
      <c r="BL310" s="232">
        <f t="shared" ref="BL310:BM310" si="1743">+BL313</f>
        <v>56.336142037549017</v>
      </c>
      <c r="BM310" s="232">
        <f t="shared" si="1743"/>
        <v>70.098554464919815</v>
      </c>
      <c r="BN310" s="232">
        <f t="shared" ref="BN310" si="1744">+BL310+BM310</f>
        <v>126.43469650246882</v>
      </c>
      <c r="BO310" s="133"/>
      <c r="BP310" s="232">
        <f t="shared" ref="BP310:BQ310" si="1745">+BP313</f>
        <v>57.633476203399532</v>
      </c>
      <c r="BQ310" s="232">
        <f t="shared" si="1745"/>
        <v>71.980705127865178</v>
      </c>
      <c r="BR310" s="232">
        <f t="shared" ref="BR310" si="1746">+BP310+BQ310</f>
        <v>129.61418133126472</v>
      </c>
      <c r="BS310" s="133"/>
      <c r="BT310" s="232">
        <f t="shared" ref="BT310:BU310" si="1747">+BT313</f>
        <v>58.968722305571049</v>
      </c>
      <c r="BU310" s="232">
        <f t="shared" si="1747"/>
        <v>73.92416038701532</v>
      </c>
      <c r="BV310" s="232">
        <f t="shared" ref="BV310" si="1748">+BT310+BU310</f>
        <v>132.89288269258637</v>
      </c>
      <c r="BW310" s="133"/>
      <c r="BX310" s="232">
        <f t="shared" ref="BX310:BY310" si="1749">+BX313</f>
        <v>60.34311719291015</v>
      </c>
      <c r="BY310" s="232">
        <f t="shared" si="1749"/>
        <v>75.931092797612195</v>
      </c>
      <c r="BZ310" s="232">
        <f t="shared" ref="BZ310" si="1750">+BX310+BY310</f>
        <v>136.27420999052234</v>
      </c>
    </row>
    <row r="311" spans="1:78" s="220" customFormat="1" ht="14.4" thickBot="1">
      <c r="A311" s="660"/>
      <c r="B311" s="658" t="s">
        <v>247</v>
      </c>
      <c r="D311" s="315">
        <f>+D310/D297</f>
        <v>0.19696467075800286</v>
      </c>
      <c r="E311" s="315">
        <f>+E310/E297</f>
        <v>0.37762521684567973</v>
      </c>
      <c r="F311" s="315">
        <f>+F310/F297</f>
        <v>0.29254623210763736</v>
      </c>
      <c r="G311" s="138"/>
      <c r="H311" s="315">
        <f>+H310/H297</f>
        <v>0.28918357565106245</v>
      </c>
      <c r="I311" s="315">
        <f>+I310/I297</f>
        <v>0.39573543045299053</v>
      </c>
      <c r="J311" s="315">
        <f>+J310/J297</f>
        <v>0.34836727808654577</v>
      </c>
      <c r="K311" s="138"/>
      <c r="L311" s="315">
        <f>+L310/L297</f>
        <v>0.26895830913947266</v>
      </c>
      <c r="M311" s="315">
        <f>+M310/M297</f>
        <v>0.41582156715687885</v>
      </c>
      <c r="N311" s="315">
        <f>+N310/N297</f>
        <v>0.34867256637168148</v>
      </c>
      <c r="O311" s="138"/>
      <c r="P311" s="315">
        <f>+P310/P297</f>
        <v>0.28222996515679427</v>
      </c>
      <c r="Q311" s="315">
        <f>+Q310/Q297</f>
        <v>0.38532110091743121</v>
      </c>
      <c r="R311" s="315">
        <f>+R310/R297</f>
        <v>0.33713355048859928</v>
      </c>
      <c r="S311" s="138"/>
      <c r="T311" s="315">
        <f>+T310/T297</f>
        <v>0.27739726027397243</v>
      </c>
      <c r="U311" s="315">
        <f>+U310/U297</f>
        <v>0.33887043189368776</v>
      </c>
      <c r="V311" s="315">
        <f>+V310/V297</f>
        <v>0.30860033726812813</v>
      </c>
      <c r="W311" s="138"/>
      <c r="X311" s="315">
        <f>+X310/X297</f>
        <v>0.27303754266211605</v>
      </c>
      <c r="Y311" s="315">
        <f>+Y310/Y297</f>
        <v>0.34841628959276022</v>
      </c>
      <c r="Z311" s="315">
        <f>+Z310/Z297</f>
        <v>0.3183673469387755</v>
      </c>
      <c r="AA311" s="138"/>
      <c r="AB311" s="138">
        <f>+AB310/AB302</f>
        <v>0.326133909287257</v>
      </c>
      <c r="AC311" s="138">
        <f>+AC310/AC302</f>
        <v>0.40540540540540554</v>
      </c>
      <c r="AD311" s="138">
        <f>+AD310/AD302</f>
        <v>0.36999517607332377</v>
      </c>
      <c r="AE311" s="138"/>
      <c r="AF311" s="138">
        <f>+AF310/AF302</f>
        <v>0.31615120274914088</v>
      </c>
      <c r="AG311" s="138">
        <f>+AG310/AG302</f>
        <v>0.43279901356350192</v>
      </c>
      <c r="AH311" s="138">
        <f>+AH310/AH302</f>
        <v>0.38406317300789655</v>
      </c>
      <c r="AI311" s="138"/>
      <c r="AJ311" s="138">
        <f>+AJ310/AJ302</f>
        <v>0.40307328605200954</v>
      </c>
      <c r="AK311" s="138">
        <f>+AK310/AK302</f>
        <v>0.44796385029306157</v>
      </c>
      <c r="AL311" s="138">
        <f>+AL310/AL302</f>
        <v>0.42641258888088124</v>
      </c>
      <c r="AM311" s="138"/>
      <c r="AN311" s="138">
        <f>+AN310/AN302</f>
        <v>0.40431519699812379</v>
      </c>
      <c r="AO311" s="138">
        <f>+AO310/AO302</f>
        <v>0.47761194029850751</v>
      </c>
      <c r="AP311" s="138">
        <f>+AP310/AP302</f>
        <v>0.44217687074829931</v>
      </c>
      <c r="AQ311" s="138"/>
      <c r="AR311" s="659">
        <f>+Scenarios!AF22</f>
        <v>0.41199999999999998</v>
      </c>
      <c r="AS311" s="659">
        <f>+Scenarios!AG22</f>
        <v>0.47499999999999998</v>
      </c>
      <c r="AT311" s="138">
        <f t="shared" ref="AT311" si="1751">+AT310/AT302</f>
        <v>0.44451263581774647</v>
      </c>
      <c r="AU311" s="138"/>
      <c r="AV311" s="659">
        <f>+Scenarios!AJ22</f>
        <v>0.41499999999999998</v>
      </c>
      <c r="AW311" s="659">
        <f>+Scenarios!AK22</f>
        <v>0.47499999999999998</v>
      </c>
      <c r="AX311" s="138">
        <f t="shared" ref="AX311" si="1752">+AX310/AX302</f>
        <v>0.44604242759934165</v>
      </c>
      <c r="AY311" s="138"/>
      <c r="AZ311" s="659">
        <f>+Scenarios!AN22</f>
        <v>0.42</v>
      </c>
      <c r="BA311" s="659">
        <f>+Scenarios!AO22</f>
        <v>0.48</v>
      </c>
      <c r="BB311" s="138">
        <f t="shared" ref="BB311" si="1753">+BB310/BB302</f>
        <v>0.45110815620043987</v>
      </c>
      <c r="BC311" s="138"/>
      <c r="BD311" s="659">
        <f>+Scenarios!AR22</f>
        <v>0.42</v>
      </c>
      <c r="BE311" s="659">
        <f>+Scenarios!AS22</f>
        <v>0.48</v>
      </c>
      <c r="BF311" s="138">
        <f t="shared" ref="BF311" si="1754">+BF310/BF302</f>
        <v>0.45116353191349823</v>
      </c>
      <c r="BG311" s="138"/>
      <c r="BH311" s="659">
        <f>+Scenarios!AV22</f>
        <v>0.42</v>
      </c>
      <c r="BI311" s="659">
        <f>+Scenarios!AW22</f>
        <v>0.48</v>
      </c>
      <c r="BJ311" s="138">
        <f t="shared" ref="BJ311" si="1755">+BJ310/BJ302</f>
        <v>0.45121906593964806</v>
      </c>
      <c r="BK311" s="138"/>
      <c r="BL311" s="659">
        <f>+Scenarios!AZ22</f>
        <v>0.42</v>
      </c>
      <c r="BM311" s="659">
        <f>+Scenarios!BA22</f>
        <v>0.48</v>
      </c>
      <c r="BN311" s="138">
        <f t="shared" ref="BN311" si="1756">+BN310/BN302</f>
        <v>0.45127474941149454</v>
      </c>
      <c r="BO311" s="138"/>
      <c r="BP311" s="659">
        <f>+Scenarios!BD22</f>
        <v>0.42</v>
      </c>
      <c r="BQ311" s="659">
        <f>+Scenarios!BE22</f>
        <v>0.48</v>
      </c>
      <c r="BR311" s="138">
        <f t="shared" ref="BR311" si="1757">+BR310/BR302</f>
        <v>0.45133057334202181</v>
      </c>
      <c r="BS311" s="138"/>
      <c r="BT311" s="659">
        <f>+Scenarios!BH22</f>
        <v>0.42</v>
      </c>
      <c r="BU311" s="659">
        <f>+Scenarios!BI22</f>
        <v>0.48</v>
      </c>
      <c r="BV311" s="138">
        <f t="shared" ref="BV311" si="1758">+BV310/BV302</f>
        <v>0.45138652863015105</v>
      </c>
      <c r="BW311" s="138"/>
      <c r="BX311" s="659">
        <f>+Scenarios!BL22</f>
        <v>0.42</v>
      </c>
      <c r="BY311" s="659">
        <f>+Scenarios!BM22</f>
        <v>0.48</v>
      </c>
      <c r="BZ311" s="138">
        <f t="shared" ref="BZ311" si="1759">+BZ310/BZ302</f>
        <v>0.45144260606648756</v>
      </c>
    </row>
    <row r="312" spans="1:78" s="135" customFormat="1">
      <c r="A312" s="134"/>
      <c r="B312" s="150" t="s">
        <v>360</v>
      </c>
      <c r="D312" s="315"/>
      <c r="E312" s="315"/>
      <c r="F312" s="315"/>
      <c r="G312" s="133"/>
      <c r="H312" s="315"/>
      <c r="I312" s="315"/>
      <c r="J312" s="315"/>
      <c r="K312" s="133"/>
      <c r="L312" s="315"/>
      <c r="M312" s="315"/>
      <c r="N312" s="315"/>
      <c r="O312" s="133"/>
      <c r="P312" s="315"/>
      <c r="Q312" s="315"/>
      <c r="R312" s="315"/>
      <c r="S312" s="133"/>
      <c r="T312" s="315"/>
      <c r="U312" s="315"/>
      <c r="V312" s="315"/>
      <c r="W312" s="133"/>
      <c r="X312" s="315"/>
      <c r="Y312" s="315"/>
      <c r="Z312" s="315"/>
      <c r="AA312" s="133"/>
      <c r="AB312" s="315"/>
      <c r="AC312" s="315">
        <f>+AD312</f>
        <v>0.45</v>
      </c>
      <c r="AD312" s="384">
        <v>0.45</v>
      </c>
      <c r="AE312" s="133"/>
      <c r="AF312" s="384">
        <v>0.45</v>
      </c>
      <c r="AG312" s="315">
        <f>+AH312</f>
        <v>0.45</v>
      </c>
      <c r="AH312" s="384">
        <v>0.45</v>
      </c>
      <c r="AI312" s="133"/>
      <c r="AJ312" s="384">
        <v>0.45</v>
      </c>
      <c r="AK312" s="315">
        <f>+AL312</f>
        <v>0.45</v>
      </c>
      <c r="AL312" s="384">
        <v>0.45</v>
      </c>
      <c r="AM312" s="133"/>
      <c r="AN312" s="393">
        <v>0.45</v>
      </c>
      <c r="AO312" s="315">
        <f>+AP312</f>
        <v>0.45</v>
      </c>
      <c r="AP312" s="917">
        <v>0.45</v>
      </c>
      <c r="AQ312" s="133"/>
      <c r="AR312" s="919">
        <v>0.47</v>
      </c>
      <c r="AS312" s="919">
        <v>0.47</v>
      </c>
      <c r="AT312" s="919">
        <v>0.47</v>
      </c>
      <c r="AU312" s="133"/>
      <c r="AV312" s="138">
        <f t="shared" ref="AV312" si="1760">+AT312</f>
        <v>0.47</v>
      </c>
      <c r="AW312" s="138">
        <f t="shared" ref="AW312:AX312" si="1761">+AV312</f>
        <v>0.47</v>
      </c>
      <c r="AX312" s="138">
        <f t="shared" si="1761"/>
        <v>0.47</v>
      </c>
      <c r="AY312" s="133"/>
      <c r="AZ312" s="138">
        <f t="shared" ref="AZ312" si="1762">+AX312</f>
        <v>0.47</v>
      </c>
      <c r="BA312" s="138">
        <f t="shared" ref="BA312:BB312" si="1763">+AZ312</f>
        <v>0.47</v>
      </c>
      <c r="BB312" s="138">
        <f t="shared" si="1763"/>
        <v>0.47</v>
      </c>
      <c r="BC312" s="133"/>
      <c r="BD312" s="138">
        <f t="shared" ref="BD312" si="1764">+BB312</f>
        <v>0.47</v>
      </c>
      <c r="BE312" s="138">
        <f t="shared" ref="BE312:BF312" si="1765">+BD312</f>
        <v>0.47</v>
      </c>
      <c r="BF312" s="138">
        <f t="shared" si="1765"/>
        <v>0.47</v>
      </c>
      <c r="BG312" s="133"/>
      <c r="BH312" s="138">
        <f t="shared" ref="BH312" si="1766">+BF312</f>
        <v>0.47</v>
      </c>
      <c r="BI312" s="138">
        <f t="shared" ref="BI312:BJ312" si="1767">+BH312</f>
        <v>0.47</v>
      </c>
      <c r="BJ312" s="138">
        <f t="shared" si="1767"/>
        <v>0.47</v>
      </c>
      <c r="BK312" s="133"/>
      <c r="BL312" s="138">
        <f t="shared" ref="BL312" si="1768">+BJ312</f>
        <v>0.47</v>
      </c>
      <c r="BM312" s="138">
        <f t="shared" ref="BM312:BN312" si="1769">+BL312</f>
        <v>0.47</v>
      </c>
      <c r="BN312" s="138">
        <f t="shared" si="1769"/>
        <v>0.47</v>
      </c>
      <c r="BO312" s="133"/>
      <c r="BP312" s="138">
        <f t="shared" ref="BP312" si="1770">+BN312</f>
        <v>0.47</v>
      </c>
      <c r="BQ312" s="138">
        <f t="shared" ref="BQ312:BR312" si="1771">+BP312</f>
        <v>0.47</v>
      </c>
      <c r="BR312" s="138">
        <f t="shared" si="1771"/>
        <v>0.47</v>
      </c>
      <c r="BS312" s="133"/>
      <c r="BT312" s="138">
        <f t="shared" ref="BT312" si="1772">+BR312</f>
        <v>0.47</v>
      </c>
      <c r="BU312" s="138">
        <f t="shared" ref="BU312" si="1773">+BT312</f>
        <v>0.47</v>
      </c>
      <c r="BV312" s="138">
        <f t="shared" ref="BV312" si="1774">+BU312</f>
        <v>0.47</v>
      </c>
      <c r="BW312" s="133"/>
      <c r="BX312" s="138">
        <f t="shared" ref="BX312" si="1775">+BV312</f>
        <v>0.47</v>
      </c>
      <c r="BY312" s="138">
        <f t="shared" ref="BY312" si="1776">+BX312</f>
        <v>0.47</v>
      </c>
      <c r="BZ312" s="138">
        <f t="shared" ref="BZ312" si="1777">+BY312</f>
        <v>0.47</v>
      </c>
    </row>
    <row r="313" spans="1:78" s="523" customFormat="1">
      <c r="A313" s="526"/>
      <c r="B313" s="586" t="s">
        <v>501</v>
      </c>
      <c r="G313" s="259"/>
      <c r="K313" s="259"/>
      <c r="O313" s="259"/>
      <c r="P313" s="323">
        <f>+P310</f>
        <v>8.0999999999999943</v>
      </c>
      <c r="Q313" s="323">
        <f>+Q310</f>
        <v>12.600000000000001</v>
      </c>
      <c r="R313" s="323">
        <f>+R310</f>
        <v>20.699999999999996</v>
      </c>
      <c r="S313" s="259"/>
      <c r="T313" s="323">
        <f>+T310</f>
        <v>8.0999999999999943</v>
      </c>
      <c r="U313" s="323">
        <f>+U310</f>
        <v>10.200000000000003</v>
      </c>
      <c r="V313" s="323">
        <f>+V310</f>
        <v>18.299999999999997</v>
      </c>
      <c r="W313" s="259"/>
      <c r="X313" s="323">
        <f>+X310</f>
        <v>8</v>
      </c>
      <c r="Y313" s="323">
        <f>+Y310</f>
        <v>15.400000000000002</v>
      </c>
      <c r="Z313" s="323">
        <f>+Z310</f>
        <v>23.4</v>
      </c>
      <c r="AA313" s="259"/>
      <c r="AB313" s="323">
        <f>+AB310</f>
        <v>15.099999999999998</v>
      </c>
      <c r="AC313" s="323">
        <f>+AC310</f>
        <v>23.250000000000007</v>
      </c>
      <c r="AD313" s="323">
        <f>+AD310</f>
        <v>38.350000000000009</v>
      </c>
      <c r="AE313" s="259"/>
      <c r="AF313" s="323">
        <f>+AF310</f>
        <v>18.399999999999999</v>
      </c>
      <c r="AG313" s="323">
        <f>+AG310</f>
        <v>35.100000000000009</v>
      </c>
      <c r="AH313" s="323">
        <f>+AH310</f>
        <v>53.499999999999986</v>
      </c>
      <c r="AI313" s="259"/>
      <c r="AJ313" s="323">
        <f>+AJ310</f>
        <v>34.100000000000009</v>
      </c>
      <c r="AK313" s="323">
        <f>+AK310</f>
        <v>41.042000000000016</v>
      </c>
      <c r="AL313" s="323">
        <f>+AL310</f>
        <v>75.142000000000024</v>
      </c>
      <c r="AM313" s="323"/>
      <c r="AN313" s="323">
        <f>+AN310</f>
        <v>43.099999999999994</v>
      </c>
      <c r="AO313" s="323">
        <f>+AO310</f>
        <v>54.400000000000006</v>
      </c>
      <c r="AP313" s="323">
        <f>+AP310</f>
        <v>97.5</v>
      </c>
      <c r="AQ313" s="323"/>
      <c r="AR313" s="323">
        <f t="shared" ref="AR313:AS313" si="1778">+AR311*AR302</f>
        <v>47.055752750000003</v>
      </c>
      <c r="AS313" s="323">
        <f t="shared" si="1778"/>
        <v>57.855069500000006</v>
      </c>
      <c r="AT313" s="323">
        <f t="shared" ref="AT313" si="1779">+AS313+AR313</f>
        <v>104.91082225000001</v>
      </c>
      <c r="AU313" s="323"/>
      <c r="AV313" s="323">
        <f t="shared" ref="AV313:AW313" si="1780">+AV311*AV302</f>
        <v>50.049132454441754</v>
      </c>
      <c r="AW313" s="323">
        <f t="shared" si="1780"/>
        <v>61.40950445</v>
      </c>
      <c r="AX313" s="323">
        <f t="shared" ref="AX313" si="1781">+AW313+AV313</f>
        <v>111.45863690444176</v>
      </c>
      <c r="AY313" s="323"/>
      <c r="AZ313" s="323">
        <f t="shared" ref="AZ313:BA313" si="1782">+AZ311*AZ302</f>
        <v>52.659868071095104</v>
      </c>
      <c r="BA313" s="323">
        <f t="shared" si="1782"/>
        <v>64.799361481294738</v>
      </c>
      <c r="BB313" s="323">
        <f t="shared" ref="BB313" si="1783">+BA313+AZ313</f>
        <v>117.45922955238984</v>
      </c>
      <c r="BC313" s="323"/>
      <c r="BD313" s="323">
        <f t="shared" ref="BD313:BE313" si="1784">+BD311*BD302</f>
        <v>53.850472091294918</v>
      </c>
      <c r="BE313" s="323">
        <f t="shared" si="1784"/>
        <v>66.509865237902531</v>
      </c>
      <c r="BF313" s="323">
        <f t="shared" ref="BF313" si="1785">+BE313+BD313</f>
        <v>120.36033732919745</v>
      </c>
      <c r="BG313" s="323"/>
      <c r="BH313" s="323">
        <f t="shared" ref="BH313:BI313" si="1786">+BH311*BH302</f>
        <v>55.07552525824984</v>
      </c>
      <c r="BI313" s="323">
        <f t="shared" si="1786"/>
        <v>68.275614130721763</v>
      </c>
      <c r="BJ313" s="323">
        <f t="shared" ref="BJ313" si="1787">+BI313+BH313</f>
        <v>123.3511393889716</v>
      </c>
      <c r="BK313" s="323"/>
      <c r="BL313" s="323">
        <f t="shared" ref="BL313:BM313" si="1788">+BL311*BL302</f>
        <v>56.336142037549017</v>
      </c>
      <c r="BM313" s="323">
        <f t="shared" si="1788"/>
        <v>70.098554464919815</v>
      </c>
      <c r="BN313" s="323">
        <f t="shared" ref="BN313" si="1789">+BM313+BL313</f>
        <v>126.43469650246882</v>
      </c>
      <c r="BO313" s="323"/>
      <c r="BP313" s="323">
        <f t="shared" ref="BP313:BQ313" si="1790">+BP311*BP302</f>
        <v>57.633476203399532</v>
      </c>
      <c r="BQ313" s="323">
        <f t="shared" si="1790"/>
        <v>71.980705127865178</v>
      </c>
      <c r="BR313" s="323">
        <f t="shared" ref="BR313" si="1791">+BQ313+BP313</f>
        <v>129.61418133126472</v>
      </c>
      <c r="BS313" s="323"/>
      <c r="BT313" s="323">
        <f t="shared" ref="BT313:BU313" si="1792">+BT311*BT302</f>
        <v>58.968722305571049</v>
      </c>
      <c r="BU313" s="323">
        <f t="shared" si="1792"/>
        <v>73.92416038701532</v>
      </c>
      <c r="BV313" s="323">
        <f t="shared" ref="BV313" si="1793">+BU313+BT313</f>
        <v>132.89288269258637</v>
      </c>
      <c r="BW313" s="323"/>
      <c r="BX313" s="323">
        <f t="shared" ref="BX313:BY313" si="1794">+BX311*BX302</f>
        <v>60.34311719291015</v>
      </c>
      <c r="BY313" s="323">
        <f t="shared" si="1794"/>
        <v>75.931092797612195</v>
      </c>
      <c r="BZ313" s="323">
        <f t="shared" ref="BZ313" si="1795">+BY313+BX313</f>
        <v>136.27420999052234</v>
      </c>
    </row>
    <row r="314" spans="1:78" s="523" customFormat="1">
      <c r="A314" s="526"/>
      <c r="B314" s="586"/>
      <c r="G314" s="259"/>
      <c r="K314" s="259"/>
      <c r="O314" s="259"/>
      <c r="S314" s="259"/>
      <c r="W314" s="259"/>
      <c r="X314" s="524"/>
      <c r="Y314" s="524"/>
      <c r="Z314" s="524"/>
      <c r="AA314" s="259"/>
      <c r="AB314" s="524"/>
      <c r="AC314" s="524"/>
      <c r="AD314" s="524"/>
      <c r="AE314" s="259"/>
      <c r="AF314" s="525"/>
      <c r="AG314" s="524"/>
      <c r="AH314" s="524"/>
      <c r="AI314" s="259"/>
      <c r="AJ314" s="525"/>
      <c r="AK314" s="524"/>
      <c r="AL314" s="524"/>
      <c r="AM314" s="323"/>
      <c r="AN314" s="525"/>
      <c r="AO314" s="323"/>
      <c r="AP314" s="323"/>
      <c r="AQ314" s="323"/>
      <c r="AR314" s="323"/>
      <c r="AS314" s="323"/>
      <c r="AT314" s="323"/>
      <c r="AU314" s="323"/>
      <c r="AV314" s="323"/>
      <c r="AW314" s="323"/>
      <c r="AX314" s="323"/>
      <c r="AY314" s="323"/>
      <c r="AZ314" s="323"/>
      <c r="BA314" s="323"/>
      <c r="BB314" s="323"/>
      <c r="BC314" s="323"/>
      <c r="BD314" s="323"/>
      <c r="BE314" s="323"/>
      <c r="BF314" s="323"/>
      <c r="BG314" s="323"/>
      <c r="BH314" s="323"/>
      <c r="BI314" s="323"/>
      <c r="BJ314" s="323"/>
      <c r="BK314" s="323"/>
      <c r="BL314" s="323"/>
      <c r="BM314" s="323"/>
      <c r="BN314" s="323"/>
      <c r="BO314" s="323"/>
      <c r="BP314" s="323"/>
      <c r="BQ314" s="323"/>
      <c r="BR314" s="323"/>
      <c r="BS314" s="323"/>
      <c r="BT314" s="323"/>
      <c r="BU314" s="323"/>
      <c r="BV314" s="323"/>
      <c r="BW314" s="323"/>
      <c r="BX314" s="323"/>
      <c r="BY314" s="323"/>
      <c r="BZ314" s="323"/>
    </row>
    <row r="315" spans="1:78" s="523" customFormat="1">
      <c r="A315" s="522"/>
      <c r="B315" s="526" t="s">
        <v>610</v>
      </c>
      <c r="X315" s="665"/>
      <c r="Y315" s="665"/>
      <c r="Z315" s="665"/>
      <c r="AB315" s="665"/>
      <c r="AC315" s="665"/>
      <c r="AD315" s="665"/>
      <c r="AF315" s="665"/>
      <c r="AG315" s="665"/>
      <c r="AH315" s="665"/>
      <c r="AJ315" s="665"/>
      <c r="AK315" s="665"/>
      <c r="AL315" s="665"/>
      <c r="AM315" s="232"/>
      <c r="AN315" s="665"/>
      <c r="AO315" s="665"/>
      <c r="AP315" s="665"/>
      <c r="AQ315" s="232"/>
      <c r="AR315" s="232">
        <f>CF!AR145</f>
        <v>-0.62500725000000001</v>
      </c>
      <c r="AS315" s="232">
        <f>CF!AS145</f>
        <v>-0.62075550000000002</v>
      </c>
      <c r="AT315" s="232">
        <f t="shared" ref="AT315" si="1796">AS315+AR315</f>
        <v>-1.2457627499999999</v>
      </c>
      <c r="AU315" s="232"/>
      <c r="AV315" s="232">
        <f>CF!AV145</f>
        <v>-0.63317060999999997</v>
      </c>
      <c r="AW315" s="232">
        <f>CF!AW145</f>
        <v>-0.63317060999999997</v>
      </c>
      <c r="AX315" s="232">
        <f t="shared" ref="AX315" si="1797">AW315+AV315</f>
        <v>-1.2663412199999999</v>
      </c>
      <c r="AY315" s="232"/>
      <c r="AZ315" s="232">
        <f>CF!AZ145</f>
        <v>-0.64583402219999997</v>
      </c>
      <c r="BA315" s="232">
        <f>CF!BA145</f>
        <v>-0.64583402219999997</v>
      </c>
      <c r="BB315" s="232">
        <f t="shared" ref="BB315" si="1798">BA315+AZ315</f>
        <v>-1.2916680443999999</v>
      </c>
      <c r="BC315" s="232"/>
      <c r="BD315" s="232">
        <f>CF!BD145</f>
        <v>-0.65875070264400004</v>
      </c>
      <c r="BE315" s="232">
        <f>CF!BE145</f>
        <v>-0.65875070264400004</v>
      </c>
      <c r="BF315" s="232">
        <f t="shared" ref="BF315" si="1799">BE315+BD315</f>
        <v>-1.3175014052880001</v>
      </c>
      <c r="BG315" s="232"/>
      <c r="BH315" s="232">
        <f>CF!BH145</f>
        <v>-0.67192571669687995</v>
      </c>
      <c r="BI315" s="232">
        <f>CF!BI145</f>
        <v>-0.67192571669687995</v>
      </c>
      <c r="BJ315" s="232">
        <f t="shared" ref="BJ315" si="1800">BI315+BH315</f>
        <v>-1.3438514333937599</v>
      </c>
      <c r="BK315" s="232"/>
      <c r="BL315" s="232">
        <f>CF!BL145</f>
        <v>-0.68536423103081756</v>
      </c>
      <c r="BM315" s="232">
        <f>CF!BM145</f>
        <v>-0.68536423103081756</v>
      </c>
      <c r="BN315" s="232">
        <f t="shared" ref="BN315" si="1801">BM315+BL315</f>
        <v>-1.3707284620616351</v>
      </c>
      <c r="BO315" s="232"/>
      <c r="BP315" s="232">
        <f>CF!BP145</f>
        <v>-0.69907151565143399</v>
      </c>
      <c r="BQ315" s="232">
        <f>CF!BQ145</f>
        <v>-0.69907151565143399</v>
      </c>
      <c r="BR315" s="232">
        <f t="shared" ref="BR315" si="1802">BQ315+BP315</f>
        <v>-1.398143031302868</v>
      </c>
      <c r="BS315" s="232"/>
      <c r="BT315" s="232">
        <f>CF!BT145</f>
        <v>-0.71305294596446267</v>
      </c>
      <c r="BU315" s="232">
        <f>CF!BU145</f>
        <v>-0.71305294596446267</v>
      </c>
      <c r="BV315" s="232">
        <f t="shared" ref="BV315" si="1803">BU315+BT315</f>
        <v>-1.4261058919289253</v>
      </c>
      <c r="BW315" s="232"/>
      <c r="BX315" s="232">
        <f>CF!BX145</f>
        <v>-0.72731400488375197</v>
      </c>
      <c r="BY315" s="232">
        <f>CF!BY145</f>
        <v>-0.72731400488375197</v>
      </c>
      <c r="BZ315" s="232">
        <f t="shared" ref="BZ315" si="1804">BY315+BX315</f>
        <v>-1.4546280097675039</v>
      </c>
    </row>
    <row r="316" spans="1:78" s="135" customFormat="1">
      <c r="A316" s="134"/>
      <c r="B316" s="314" t="s">
        <v>502</v>
      </c>
      <c r="D316" s="232"/>
      <c r="E316" s="232"/>
      <c r="F316" s="232"/>
      <c r="G316" s="133"/>
      <c r="H316" s="232"/>
      <c r="I316" s="232"/>
      <c r="J316" s="232"/>
      <c r="K316" s="133"/>
      <c r="L316" s="232"/>
      <c r="M316" s="232"/>
      <c r="N316" s="232"/>
      <c r="O316" s="133"/>
      <c r="P316" s="232"/>
      <c r="Q316" s="232"/>
      <c r="R316" s="232"/>
      <c r="S316" s="133"/>
      <c r="T316" s="232"/>
      <c r="U316" s="232"/>
      <c r="V316" s="232"/>
      <c r="W316" s="133"/>
      <c r="X316" s="315"/>
      <c r="Y316" s="315"/>
      <c r="Z316" s="315"/>
      <c r="AA316" s="133"/>
      <c r="AB316" s="315"/>
      <c r="AC316" s="315"/>
      <c r="AD316" s="315"/>
      <c r="AE316" s="133"/>
      <c r="AF316" s="374"/>
      <c r="AG316" s="315"/>
      <c r="AH316" s="315"/>
      <c r="AI316" s="133"/>
      <c r="AJ316" s="374"/>
      <c r="AK316" s="315"/>
      <c r="AL316" s="315"/>
      <c r="AM316" s="133"/>
      <c r="AN316" s="374"/>
      <c r="AO316" s="315"/>
      <c r="AP316" s="315"/>
      <c r="AQ316" s="133"/>
      <c r="AR316" s="315">
        <f t="shared" ref="AR316" si="1805">+AR315/AO310</f>
        <v>-1.1489103860294116E-2</v>
      </c>
      <c r="AS316" s="315">
        <f t="shared" ref="AS316" si="1806">+AS315/AR310</f>
        <v>-1.3191915201059024E-2</v>
      </c>
      <c r="AT316" s="315">
        <f t="shared" ref="AT316" si="1807">+AT315/AP310</f>
        <v>-1.2777053846153845E-2</v>
      </c>
      <c r="AU316" s="133"/>
      <c r="AV316" s="315">
        <f t="shared" ref="AV316" si="1808">+AV315/AS310</f>
        <v>-1.0944081745507192E-2</v>
      </c>
      <c r="AW316" s="315">
        <f t="shared" ref="AW316" si="1809">+AW315/AV310</f>
        <v>-1.2650980725317396E-2</v>
      </c>
      <c r="AX316" s="315">
        <f t="shared" ref="AX316" si="1810">+AX315/AT310</f>
        <v>-1.2070644313342038E-2</v>
      </c>
      <c r="AY316" s="133"/>
      <c r="AZ316" s="315">
        <f t="shared" ref="AZ316" si="1811">+AZ315/AW310</f>
        <v>-1.0516841456127399E-2</v>
      </c>
      <c r="BA316" s="315">
        <f t="shared" ref="BA316" si="1812">+BA315/AZ310</f>
        <v>-1.2264254466571612E-2</v>
      </c>
      <c r="BB316" s="315">
        <f t="shared" ref="BB316" si="1813">+BB315/AX310</f>
        <v>-1.1588765844206421E-2</v>
      </c>
      <c r="BC316" s="133"/>
      <c r="BD316" s="315">
        <f t="shared" ref="BD316" si="1814">+BD315/BA310</f>
        <v>-1.0166006077608617E-2</v>
      </c>
      <c r="BE316" s="315">
        <f t="shared" ref="BE316" si="1815">+BE315/BD310</f>
        <v>-1.223296058625434E-2</v>
      </c>
      <c r="BF316" s="315">
        <f t="shared" ref="BF316" si="1816">+BF315/BB310</f>
        <v>-1.1216669905878792E-2</v>
      </c>
      <c r="BG316" s="133"/>
      <c r="BH316" s="315">
        <f t="shared" ref="BH316" si="1817">+BH315/BE310</f>
        <v>-1.0102647393637539E-2</v>
      </c>
      <c r="BI316" s="315">
        <f t="shared" ref="BI316" si="1818">+BI315/BH310</f>
        <v>-1.2200078229780137E-2</v>
      </c>
      <c r="BJ316" s="315">
        <f t="shared" ref="BJ316" si="1819">+BJ315/BF310</f>
        <v>-1.1165234854054896E-2</v>
      </c>
      <c r="BK316" s="133"/>
      <c r="BL316" s="315">
        <f t="shared" ref="BL316" si="1820">+BL315/BI310</f>
        <v>-1.0038199432649648E-2</v>
      </c>
      <c r="BM316" s="315">
        <f t="shared" ref="BM316" si="1821">+BM315/BL310</f>
        <v>-1.2165622391643545E-2</v>
      </c>
      <c r="BN316" s="315">
        <f t="shared" ref="BN316" si="1822">+BN315/BJ310</f>
        <v>-1.1112410220543023E-2</v>
      </c>
      <c r="BO316" s="133"/>
      <c r="BP316" s="315">
        <f t="shared" ref="BP316" si="1823">+BP315/BM310</f>
        <v>-9.9726951716426326E-3</v>
      </c>
      <c r="BQ316" s="315">
        <f t="shared" ref="BQ316" si="1824">+BQ315/BP310</f>
        <v>-1.2129608722268934E-2</v>
      </c>
      <c r="BR316" s="315">
        <f t="shared" ref="BR316" si="1825">+BR315/BN310</f>
        <v>-1.1058222702939515E-2</v>
      </c>
      <c r="BS316" s="133"/>
      <c r="BT316" s="315">
        <f t="shared" ref="BT316" si="1826">+BT315/BQ310</f>
        <v>-9.9061678361973358E-3</v>
      </c>
      <c r="BU316" s="315">
        <f t="shared" ref="BU316" si="1827">+BU315/BT310</f>
        <v>-1.2092053517277875E-2</v>
      </c>
      <c r="BV316" s="315">
        <f t="shared" ref="BV316" si="1828">+BV315/BR310</f>
        <v>-1.1002699529337143E-2</v>
      </c>
      <c r="BW316" s="133"/>
      <c r="BX316" s="315">
        <f t="shared" ref="BX316" si="1829">+BX315/BU310</f>
        <v>-9.8386508697027239E-3</v>
      </c>
      <c r="BY316" s="315">
        <f t="shared" ref="BY316" si="1830">+BY315/BX310</f>
        <v>-1.205297370632364E-2</v>
      </c>
      <c r="BZ316" s="315">
        <f t="shared" ref="BZ316" si="1831">+BZ315/BV310</f>
        <v>-1.094586843399592E-2</v>
      </c>
    </row>
    <row r="317" spans="1:78" s="135" customFormat="1">
      <c r="A317" s="134"/>
      <c r="B317" s="151"/>
      <c r="D317" s="232"/>
      <c r="E317" s="232"/>
      <c r="F317" s="232"/>
      <c r="G317" s="133"/>
      <c r="H317" s="232"/>
      <c r="I317" s="232"/>
      <c r="J317" s="232"/>
      <c r="K317" s="133"/>
      <c r="L317" s="232"/>
      <c r="M317" s="232"/>
      <c r="N317" s="232"/>
      <c r="O317" s="133"/>
      <c r="P317" s="232"/>
      <c r="Q317" s="232"/>
      <c r="R317" s="232"/>
      <c r="S317" s="133"/>
      <c r="T317" s="232"/>
      <c r="U317" s="232"/>
      <c r="V317" s="232"/>
      <c r="W317" s="133"/>
      <c r="X317" s="232"/>
      <c r="Y317" s="232"/>
      <c r="Z317" s="232"/>
      <c r="AA317" s="133"/>
      <c r="AB317" s="232"/>
      <c r="AC317" s="232"/>
      <c r="AD317" s="232"/>
      <c r="AE317" s="133"/>
      <c r="AF317" s="323"/>
      <c r="AG317" s="232"/>
      <c r="AH317" s="232"/>
      <c r="AI317" s="133"/>
      <c r="AJ317" s="323"/>
      <c r="AK317" s="232"/>
      <c r="AL317" s="323"/>
      <c r="AM317" s="133"/>
      <c r="AN317" s="232"/>
      <c r="AO317" s="232"/>
      <c r="AP317" s="323"/>
      <c r="AQ317" s="133"/>
      <c r="AR317" s="232"/>
      <c r="AS317" s="232"/>
      <c r="AT317" s="232"/>
      <c r="AU317" s="133"/>
      <c r="AV317" s="232"/>
      <c r="AW317" s="232"/>
      <c r="AX317" s="232"/>
      <c r="AY317" s="133"/>
      <c r="AZ317" s="232"/>
      <c r="BA317" s="232"/>
      <c r="BB317" s="232"/>
      <c r="BC317" s="133"/>
      <c r="BD317" s="232"/>
      <c r="BE317" s="232"/>
      <c r="BF317" s="232"/>
      <c r="BG317" s="133"/>
      <c r="BH317" s="232"/>
      <c r="BI317" s="232"/>
      <c r="BJ317" s="232"/>
      <c r="BK317" s="133"/>
      <c r="BL317" s="232"/>
      <c r="BM317" s="232"/>
      <c r="BN317" s="232"/>
      <c r="BO317" s="133"/>
      <c r="BP317" s="232"/>
      <c r="BQ317" s="232"/>
      <c r="BR317" s="232"/>
      <c r="BS317" s="133"/>
      <c r="BT317" s="232"/>
      <c r="BU317" s="232"/>
      <c r="BV317" s="232"/>
      <c r="BW317" s="133"/>
      <c r="BX317" s="232"/>
      <c r="BY317" s="232"/>
      <c r="BZ317" s="232"/>
    </row>
    <row r="318" spans="1:78" s="135" customFormat="1">
      <c r="A318" s="134"/>
      <c r="B318" s="150" t="s">
        <v>262</v>
      </c>
      <c r="D318" s="136">
        <f>-(D310-D319)</f>
        <v>3.5527136788005009E-15</v>
      </c>
      <c r="E318" s="136">
        <f>-(E310-E319)</f>
        <v>-1.4230000000000018</v>
      </c>
      <c r="F318" s="136">
        <f>+D318+E318</f>
        <v>-1.4229999999999983</v>
      </c>
      <c r="G318" s="133"/>
      <c r="H318" s="136">
        <f>-(H310-H319)</f>
        <v>-0.71599999999999842</v>
      </c>
      <c r="I318" s="136">
        <f>-(I310-I319)</f>
        <v>-0.75699999999999434</v>
      </c>
      <c r="J318" s="136">
        <f>+H318+I318</f>
        <v>-1.4729999999999928</v>
      </c>
      <c r="K318" s="133"/>
      <c r="L318" s="136">
        <f>-(L310-L319)</f>
        <v>-0.81199999999999672</v>
      </c>
      <c r="M318" s="136">
        <f>-(M310-M319)</f>
        <v>-0.88800000000000168</v>
      </c>
      <c r="N318" s="136">
        <f>+L318+M318</f>
        <v>-1.6999999999999984</v>
      </c>
      <c r="O318" s="133"/>
      <c r="P318" s="136">
        <f>-(P310-P319)</f>
        <v>-0.89999999999999414</v>
      </c>
      <c r="Q318" s="136">
        <f>-(Q310-Q319)</f>
        <v>-0.90000000000000213</v>
      </c>
      <c r="R318" s="136">
        <f>+P318+Q318</f>
        <v>-1.7999999999999963</v>
      </c>
      <c r="S318" s="133"/>
      <c r="T318" s="136">
        <f>-(T310-T319)</f>
        <v>-0.99999999999999467</v>
      </c>
      <c r="U318" s="136">
        <f>-(U310-U319)</f>
        <v>-0.80000000000000249</v>
      </c>
      <c r="V318" s="136">
        <f>+T318+U318</f>
        <v>-1.7999999999999972</v>
      </c>
      <c r="W318" s="133"/>
      <c r="X318" s="136">
        <f>-(X310-X319)</f>
        <v>-0.90000000000000036</v>
      </c>
      <c r="Y318" s="136">
        <f>-(Y310-Y319)</f>
        <v>-0.40000000000000036</v>
      </c>
      <c r="Z318" s="136">
        <f>+X318+Y318</f>
        <v>-1.3000000000000007</v>
      </c>
      <c r="AA318" s="133"/>
      <c r="AB318" s="136">
        <f>-(AB310-AB319)</f>
        <v>1.7763568394002505E-15</v>
      </c>
      <c r="AC318" s="136">
        <f>-(AC310-AC319)</f>
        <v>4.9999999999990052E-2</v>
      </c>
      <c r="AD318" s="136">
        <f>+AB318+AC318</f>
        <v>4.9999999999991829E-2</v>
      </c>
      <c r="AE318" s="133"/>
      <c r="AF318" s="262">
        <f>-(AF310-AF319)</f>
        <v>0</v>
      </c>
      <c r="AG318" s="136">
        <f>-(AG310-AG319)</f>
        <v>-7.1054273576010019E-15</v>
      </c>
      <c r="AH318" s="136">
        <f>+AF318+AG318</f>
        <v>-7.1054273576010019E-15</v>
      </c>
      <c r="AI318" s="133"/>
      <c r="AJ318" s="262">
        <f>-(AJ310-AJ319)</f>
        <v>-0.10000000000000853</v>
      </c>
      <c r="AK318" s="136">
        <f>-(AK310-AK319)</f>
        <v>2.9999999999859028E-3</v>
      </c>
      <c r="AL318" s="262">
        <f>+AJ318+AK318</f>
        <v>-9.7000000000022624E-2</v>
      </c>
      <c r="AM318" s="133"/>
      <c r="AN318" s="136">
        <f>-(AN310-AN319)</f>
        <v>-9.9999999999994316E-2</v>
      </c>
      <c r="AO318" s="136">
        <f>-(AO310-AO319)</f>
        <v>-0.10000000000000853</v>
      </c>
      <c r="AP318" s="262">
        <f>+AN318+AO318</f>
        <v>-0.20000000000000284</v>
      </c>
      <c r="AQ318" s="133"/>
      <c r="AR318" s="321">
        <f>+AO318*AR$465/AO$465</f>
        <v>-0.10000000000000853</v>
      </c>
      <c r="AS318" s="321">
        <f>+AR318*AS$465/AR$465</f>
        <v>-0.10000000000000853</v>
      </c>
      <c r="AT318" s="136">
        <f t="shared" ref="AT318" si="1832">+AR318+AS318</f>
        <v>-0.20000000000001705</v>
      </c>
      <c r="AU318" s="133"/>
      <c r="AV318" s="321">
        <f>+AS318*AV$465/AS$465</f>
        <v>-9.8000000000008358E-2</v>
      </c>
      <c r="AW318" s="321">
        <f>+AV318*AW$465/AV$465</f>
        <v>-9.8000000000008358E-2</v>
      </c>
      <c r="AX318" s="136">
        <f t="shared" ref="AX318" si="1833">+AV318+AW318</f>
        <v>-0.19600000000001672</v>
      </c>
      <c r="AY318" s="133"/>
      <c r="AZ318" s="321">
        <f>+AW318*AZ$465/AW$465</f>
        <v>-9.6040000000008188E-2</v>
      </c>
      <c r="BA318" s="321">
        <f>+AZ318*BA$465/AZ$465</f>
        <v>-9.6040000000008174E-2</v>
      </c>
      <c r="BB318" s="136">
        <f t="shared" ref="BB318" si="1834">+AZ318+BA318</f>
        <v>-0.19208000000001635</v>
      </c>
      <c r="BC318" s="133"/>
      <c r="BD318" s="321">
        <f>+BA318*BD$465/BA$465</f>
        <v>-9.6040000000008174E-2</v>
      </c>
      <c r="BE318" s="321">
        <f>+BD318*BE$465/BD$465</f>
        <v>-9.6040000000008174E-2</v>
      </c>
      <c r="BF318" s="136">
        <f t="shared" ref="BF318" si="1835">+BD318+BE318</f>
        <v>-0.19208000000001635</v>
      </c>
      <c r="BG318" s="133"/>
      <c r="BH318" s="321">
        <f>+BE318*BH$465/BE$465</f>
        <v>-9.6040000000008174E-2</v>
      </c>
      <c r="BI318" s="321">
        <f>+BH318*BI$465/BH$465</f>
        <v>-9.6040000000008174E-2</v>
      </c>
      <c r="BJ318" s="136">
        <f t="shared" ref="BJ318" si="1836">+BH318+BI318</f>
        <v>-0.19208000000001635</v>
      </c>
      <c r="BK318" s="133"/>
      <c r="BL318" s="321">
        <f>+BI318*BL$465/BI$465</f>
        <v>-9.6040000000008174E-2</v>
      </c>
      <c r="BM318" s="321">
        <f>+BL318*BM$465/BL$465</f>
        <v>-9.6040000000008174E-2</v>
      </c>
      <c r="BN318" s="136">
        <f t="shared" ref="BN318" si="1837">+BL318+BM318</f>
        <v>-0.19208000000001635</v>
      </c>
      <c r="BO318" s="133"/>
      <c r="BP318" s="321">
        <f>+BM318*BP$465/BM$465</f>
        <v>-9.6040000000008174E-2</v>
      </c>
      <c r="BQ318" s="321">
        <f>+BP318*BQ$465/BP$465</f>
        <v>-9.6040000000008174E-2</v>
      </c>
      <c r="BR318" s="136">
        <f t="shared" ref="BR318" si="1838">+BP318+BQ318</f>
        <v>-0.19208000000001635</v>
      </c>
      <c r="BS318" s="133"/>
      <c r="BT318" s="321">
        <f>+BQ318*BT$465/BQ$465</f>
        <v>-9.6040000000008174E-2</v>
      </c>
      <c r="BU318" s="321">
        <f>+BT318*BU$465/BT$465</f>
        <v>-9.6040000000008174E-2</v>
      </c>
      <c r="BV318" s="136">
        <f t="shared" ref="BV318" si="1839">+BT318+BU318</f>
        <v>-0.19208000000001635</v>
      </c>
      <c r="BW318" s="133"/>
      <c r="BX318" s="321">
        <f>+BU318*BX$465/BU$465</f>
        <v>-9.6040000000008174E-2</v>
      </c>
      <c r="BY318" s="321">
        <f>+BX318*BY$465/BX$465</f>
        <v>-9.6040000000008174E-2</v>
      </c>
      <c r="BZ318" s="136">
        <f t="shared" ref="BZ318" si="1840">+BX318+BY318</f>
        <v>-0.19208000000001635</v>
      </c>
    </row>
    <row r="319" spans="1:78" s="135" customFormat="1">
      <c r="A319" s="134"/>
      <c r="B319" s="151" t="s">
        <v>181</v>
      </c>
      <c r="D319" s="313">
        <v>4.75</v>
      </c>
      <c r="E319" s="232">
        <f>F319-D319</f>
        <v>8.8079999999999998</v>
      </c>
      <c r="F319" s="313">
        <v>13.558</v>
      </c>
      <c r="H319" s="313">
        <v>6.524</v>
      </c>
      <c r="I319" s="232">
        <f>J319-H319</f>
        <v>11.622</v>
      </c>
      <c r="J319" s="313">
        <v>18.146000000000001</v>
      </c>
      <c r="L319" s="313">
        <v>6.1360000000000001</v>
      </c>
      <c r="M319" s="232">
        <f>N319-L319</f>
        <v>11.864000000000001</v>
      </c>
      <c r="N319" s="313">
        <v>18</v>
      </c>
      <c r="P319" s="313">
        <v>7.2</v>
      </c>
      <c r="Q319" s="232">
        <f>R319-P319</f>
        <v>11.7</v>
      </c>
      <c r="R319" s="313">
        <v>18.899999999999999</v>
      </c>
      <c r="T319" s="313">
        <v>7.1</v>
      </c>
      <c r="U319" s="232">
        <f>V319-T319</f>
        <v>9.4</v>
      </c>
      <c r="V319" s="313">
        <v>16.5</v>
      </c>
      <c r="X319" s="313">
        <v>7.1</v>
      </c>
      <c r="Y319" s="232">
        <f>Z319-X319</f>
        <v>15.000000000000002</v>
      </c>
      <c r="Z319" s="313">
        <v>22.1</v>
      </c>
      <c r="AB319" s="313">
        <v>15.1</v>
      </c>
      <c r="AC319" s="232">
        <f>AD319-AB319</f>
        <v>23.299999999999997</v>
      </c>
      <c r="AD319" s="313">
        <v>38.4</v>
      </c>
      <c r="AF319" s="343">
        <v>18.399999999999999</v>
      </c>
      <c r="AG319" s="232">
        <f>AH319-AF319</f>
        <v>35.1</v>
      </c>
      <c r="AH319" s="343">
        <v>53.5</v>
      </c>
      <c r="AJ319" s="343">
        <v>34</v>
      </c>
      <c r="AK319" s="232">
        <f>AL319-AJ319</f>
        <v>41.045000000000002</v>
      </c>
      <c r="AL319" s="343">
        <v>75.045000000000002</v>
      </c>
      <c r="AN319" s="313">
        <v>43</v>
      </c>
      <c r="AO319" s="232">
        <f>AP319-AN319</f>
        <v>54.3</v>
      </c>
      <c r="AP319" s="913">
        <v>97.3</v>
      </c>
      <c r="AR319" s="232">
        <f t="shared" ref="AR319:AT319" si="1841">+AR313+AR318</f>
        <v>46.955752749999995</v>
      </c>
      <c r="AS319" s="232">
        <f t="shared" si="1841"/>
        <v>57.755069499999998</v>
      </c>
      <c r="AT319" s="232">
        <f t="shared" si="1841"/>
        <v>104.71082224999999</v>
      </c>
      <c r="AV319" s="232">
        <f t="shared" ref="AV319:AX319" si="1842">+AV313+AV318</f>
        <v>49.951132454441748</v>
      </c>
      <c r="AW319" s="232">
        <f t="shared" si="1842"/>
        <v>61.311504449999994</v>
      </c>
      <c r="AX319" s="232">
        <f t="shared" si="1842"/>
        <v>111.26263690444175</v>
      </c>
      <c r="AZ319" s="232">
        <f t="shared" ref="AZ319:BB319" si="1843">+AZ313+AZ318</f>
        <v>52.563828071095095</v>
      </c>
      <c r="BA319" s="232">
        <f t="shared" si="1843"/>
        <v>64.703321481294736</v>
      </c>
      <c r="BB319" s="232">
        <f t="shared" si="1843"/>
        <v>117.26714955238982</v>
      </c>
      <c r="BD319" s="232">
        <f t="shared" ref="BD319:BF319" si="1844">+BD313+BD318</f>
        <v>53.754432091294909</v>
      </c>
      <c r="BE319" s="232">
        <f t="shared" si="1844"/>
        <v>66.413825237902529</v>
      </c>
      <c r="BF319" s="232">
        <f t="shared" si="1844"/>
        <v>120.16825732919743</v>
      </c>
      <c r="BH319" s="232">
        <f t="shared" ref="BH319:BJ319" si="1845">+BH313+BH318</f>
        <v>54.979485258249831</v>
      </c>
      <c r="BI319" s="232">
        <f t="shared" si="1845"/>
        <v>68.179574130721761</v>
      </c>
      <c r="BJ319" s="232">
        <f t="shared" si="1845"/>
        <v>123.15905938897158</v>
      </c>
      <c r="BL319" s="232">
        <f t="shared" ref="BL319:BN319" si="1846">+BL313+BL318</f>
        <v>56.240102037549008</v>
      </c>
      <c r="BM319" s="232">
        <f t="shared" si="1846"/>
        <v>70.002514464919813</v>
      </c>
      <c r="BN319" s="232">
        <f t="shared" si="1846"/>
        <v>126.24261650246881</v>
      </c>
      <c r="BP319" s="232">
        <f t="shared" ref="BP319:BR319" si="1847">+BP313+BP318</f>
        <v>57.537436203399523</v>
      </c>
      <c r="BQ319" s="232">
        <f t="shared" si="1847"/>
        <v>71.884665127865176</v>
      </c>
      <c r="BR319" s="232">
        <f t="shared" si="1847"/>
        <v>129.42210133126471</v>
      </c>
      <c r="BT319" s="232">
        <f t="shared" ref="BT319:BV319" si="1848">+BT313+BT318</f>
        <v>58.87268230557104</v>
      </c>
      <c r="BU319" s="232">
        <f t="shared" si="1848"/>
        <v>73.828120387015318</v>
      </c>
      <c r="BV319" s="232">
        <f t="shared" si="1848"/>
        <v>132.70080269258636</v>
      </c>
      <c r="BX319" s="232">
        <f t="shared" ref="BX319:BZ319" si="1849">+BX313+BX318</f>
        <v>60.24707719291014</v>
      </c>
      <c r="BY319" s="232">
        <f t="shared" si="1849"/>
        <v>75.835052797612192</v>
      </c>
      <c r="BZ319" s="232">
        <f t="shared" si="1849"/>
        <v>136.08212999052233</v>
      </c>
    </row>
    <row r="320" spans="1:78" s="135" customFormat="1">
      <c r="A320" s="134"/>
      <c r="B320" s="151"/>
      <c r="D320" s="313"/>
      <c r="E320" s="232"/>
      <c r="F320" s="313"/>
      <c r="H320" s="313"/>
      <c r="I320" s="232"/>
      <c r="J320" s="313"/>
      <c r="L320" s="313"/>
      <c r="M320" s="232"/>
      <c r="N320" s="313"/>
      <c r="P320" s="313"/>
      <c r="Q320" s="232"/>
      <c r="R320" s="313"/>
      <c r="T320" s="313"/>
      <c r="U320" s="232"/>
      <c r="V320" s="313"/>
      <c r="X320" s="313"/>
      <c r="Y320" s="232"/>
      <c r="Z320" s="313"/>
      <c r="AB320" s="313"/>
      <c r="AC320" s="232"/>
      <c r="AD320" s="313"/>
      <c r="AF320" s="343"/>
      <c r="AG320" s="232"/>
      <c r="AH320" s="313"/>
      <c r="AJ320" s="343"/>
      <c r="AK320" s="232"/>
      <c r="AL320" s="343"/>
      <c r="AN320" s="313"/>
      <c r="AO320" s="232"/>
      <c r="AP320" s="343"/>
      <c r="AR320" s="232"/>
      <c r="AS320" s="232"/>
      <c r="AT320" s="232"/>
      <c r="AV320" s="232"/>
      <c r="AW320" s="232"/>
      <c r="AX320" s="232"/>
      <c r="AZ320" s="232"/>
      <c r="BA320" s="232"/>
      <c r="BB320" s="232"/>
      <c r="BD320" s="232"/>
      <c r="BE320" s="232"/>
      <c r="BF320" s="232"/>
      <c r="BH320" s="232"/>
      <c r="BI320" s="232"/>
      <c r="BJ320" s="232"/>
      <c r="BL320" s="232"/>
      <c r="BM320" s="232"/>
      <c r="BN320" s="232"/>
      <c r="BP320" s="232"/>
      <c r="BQ320" s="232"/>
      <c r="BR320" s="232"/>
      <c r="BT320" s="232"/>
      <c r="BU320" s="232"/>
      <c r="BV320" s="232"/>
      <c r="BX320" s="232"/>
      <c r="BY320" s="232"/>
      <c r="BZ320" s="232"/>
    </row>
    <row r="321" spans="1:78" s="135" customFormat="1">
      <c r="A321" s="134"/>
      <c r="B321" s="150" t="s">
        <v>163</v>
      </c>
      <c r="D321" s="136">
        <f>+D322-D319</f>
        <v>-1.1600000000000001</v>
      </c>
      <c r="E321" s="136">
        <f>+E322-E319</f>
        <v>-2.0510000000000002</v>
      </c>
      <c r="F321" s="136">
        <f>+F322-F319</f>
        <v>-3.2110000000000003</v>
      </c>
      <c r="G321" s="133"/>
      <c r="H321" s="136">
        <f>+H322-H319</f>
        <v>-2.1859999999999999</v>
      </c>
      <c r="I321" s="136">
        <f>+I322-I319</f>
        <v>-3.4310000000000009</v>
      </c>
      <c r="J321" s="136">
        <f>+J322-J319</f>
        <v>-5.6170000000000009</v>
      </c>
      <c r="K321" s="133"/>
      <c r="L321" s="136">
        <f>+L322-L319</f>
        <v>-1.5680000000000005</v>
      </c>
      <c r="M321" s="136">
        <f>+M322-M319</f>
        <v>-2.532</v>
      </c>
      <c r="N321" s="136">
        <f>+N322-N319</f>
        <v>-4.0999999999999996</v>
      </c>
      <c r="O321" s="133"/>
      <c r="P321" s="136">
        <f>+P322-P319</f>
        <v>-2.1000000000000005</v>
      </c>
      <c r="Q321" s="136">
        <f>+Q322-Q319</f>
        <v>-1.2999999999999989</v>
      </c>
      <c r="R321" s="136">
        <f>+R322-R319</f>
        <v>-3.3999999999999986</v>
      </c>
      <c r="S321" s="133"/>
      <c r="T321" s="136">
        <f>+T322-T319</f>
        <v>-1.5999999999999996</v>
      </c>
      <c r="U321" s="136">
        <f>+U322-U319</f>
        <v>-1.9000000000000004</v>
      </c>
      <c r="V321" s="136">
        <f>+V322-V319</f>
        <v>-3.5</v>
      </c>
      <c r="W321" s="133"/>
      <c r="X321" s="136">
        <f>+X322-X319</f>
        <v>-2.1999999999999993</v>
      </c>
      <c r="Y321" s="136">
        <f>+Y322-Y319</f>
        <v>-5.1000000000000014</v>
      </c>
      <c r="Z321" s="136">
        <f>+Z322-Z319</f>
        <v>-7.3000000000000007</v>
      </c>
      <c r="AA321" s="133"/>
      <c r="AB321" s="136">
        <f>+AB322-AB319</f>
        <v>-6.1999999999999993</v>
      </c>
      <c r="AC321" s="136">
        <f>+AC322-AC319</f>
        <v>-9.3999999999999968</v>
      </c>
      <c r="AD321" s="136">
        <f>+AD322-AD319</f>
        <v>-15.599999999999998</v>
      </c>
      <c r="AE321" s="133"/>
      <c r="AF321" s="262">
        <f>+AF322-AF319</f>
        <v>-6.0999999999999979</v>
      </c>
      <c r="AG321" s="136">
        <f>+AG322-AG319</f>
        <v>-12.3</v>
      </c>
      <c r="AH321" s="136">
        <f>+AH322-AH319</f>
        <v>-18.399999999999999</v>
      </c>
      <c r="AI321" s="133"/>
      <c r="AJ321" s="262">
        <f>+AJ322-AJ319</f>
        <v>-9.1000000000000014</v>
      </c>
      <c r="AK321" s="136">
        <f>+AK322-AK319</f>
        <v>-10.594000000000001</v>
      </c>
      <c r="AL321" s="262">
        <f>+AL322-AL319</f>
        <v>-19.694000000000003</v>
      </c>
      <c r="AM321" s="133"/>
      <c r="AN321" s="136">
        <f>+AN322-AN319</f>
        <v>-10.100000000000001</v>
      </c>
      <c r="AO321" s="136">
        <f>+AO322-AO319</f>
        <v>-15.199999999999996</v>
      </c>
      <c r="AP321" s="262">
        <f>+AP322-AP319</f>
        <v>-25.299999999999997</v>
      </c>
      <c r="AQ321" s="133"/>
      <c r="AR321" s="136">
        <f t="shared" ref="AR321:AT321" si="1850">+AR322-AR319</f>
        <v>-11.034601896249995</v>
      </c>
      <c r="AS321" s="136">
        <f t="shared" si="1850"/>
        <v>-13.572441332499999</v>
      </c>
      <c r="AT321" s="136">
        <f t="shared" si="1850"/>
        <v>-24.607043228749987</v>
      </c>
      <c r="AU321" s="133"/>
      <c r="AV321" s="136">
        <f t="shared" ref="AV321:AX321" si="1851">+AV322-AV319</f>
        <v>-11.738516126793812</v>
      </c>
      <c r="AW321" s="136">
        <f t="shared" si="1851"/>
        <v>-14.408203545749998</v>
      </c>
      <c r="AX321" s="136">
        <f t="shared" si="1851"/>
        <v>-26.146719672543824</v>
      </c>
      <c r="AY321" s="133"/>
      <c r="AZ321" s="136">
        <f t="shared" ref="AZ321:BB321" si="1852">+AZ322-AZ319</f>
        <v>-12.352499596707347</v>
      </c>
      <c r="BA321" s="136">
        <f t="shared" si="1852"/>
        <v>-15.205280548104263</v>
      </c>
      <c r="BB321" s="136">
        <f t="shared" si="1852"/>
        <v>-27.557780144811602</v>
      </c>
      <c r="BC321" s="133"/>
      <c r="BD321" s="136">
        <f t="shared" ref="BD321:BF321" si="1853">+BD322-BD319</f>
        <v>-12.6322915414543</v>
      </c>
      <c r="BE321" s="136">
        <f t="shared" si="1853"/>
        <v>-15.60724893090709</v>
      </c>
      <c r="BF321" s="136">
        <f t="shared" si="1853"/>
        <v>-28.239540472361384</v>
      </c>
      <c r="BG321" s="133"/>
      <c r="BH321" s="136">
        <f t="shared" ref="BH321:BJ321" si="1854">+BH322-BH319</f>
        <v>-12.920179035688712</v>
      </c>
      <c r="BI321" s="136">
        <f t="shared" si="1854"/>
        <v>-16.022199920719615</v>
      </c>
      <c r="BJ321" s="136">
        <f t="shared" si="1854"/>
        <v>-28.942378956408319</v>
      </c>
      <c r="BK321" s="133"/>
      <c r="BL321" s="136">
        <f t="shared" ref="BL321:BN321" si="1855">+BL322-BL319</f>
        <v>-13.216423978824018</v>
      </c>
      <c r="BM321" s="136">
        <f t="shared" si="1855"/>
        <v>-16.450590899256156</v>
      </c>
      <c r="BN321" s="136">
        <f t="shared" si="1855"/>
        <v>-29.667014878080167</v>
      </c>
      <c r="BO321" s="133"/>
      <c r="BP321" s="136">
        <f t="shared" ref="BP321:BR321" si="1856">+BP322-BP319</f>
        <v>-13.521297507798884</v>
      </c>
      <c r="BQ321" s="136">
        <f t="shared" si="1856"/>
        <v>-16.892896305048318</v>
      </c>
      <c r="BR321" s="136">
        <f t="shared" si="1856"/>
        <v>-30.414193812847216</v>
      </c>
      <c r="BS321" s="133"/>
      <c r="BT321" s="136">
        <f t="shared" ref="BT321:BV321" si="1857">+BT322-BT319</f>
        <v>-13.835080341809196</v>
      </c>
      <c r="BU321" s="136">
        <f t="shared" si="1857"/>
        <v>-17.349608290948602</v>
      </c>
      <c r="BV321" s="136">
        <f t="shared" si="1857"/>
        <v>-31.184688632757798</v>
      </c>
      <c r="BW321" s="133"/>
      <c r="BX321" s="136">
        <f t="shared" ref="BX321:BZ321" si="1858">+BX322-BX319</f>
        <v>-14.15806314033388</v>
      </c>
      <c r="BY321" s="136">
        <f t="shared" si="1858"/>
        <v>-17.821237407438865</v>
      </c>
      <c r="BZ321" s="136">
        <f t="shared" si="1858"/>
        <v>-31.979300547772738</v>
      </c>
    </row>
    <row r="322" spans="1:78" s="135" customFormat="1" ht="14.4" thickBot="1">
      <c r="A322" s="134"/>
      <c r="B322" s="151" t="s">
        <v>182</v>
      </c>
      <c r="D322" s="313">
        <v>3.59</v>
      </c>
      <c r="E322" s="232">
        <f>F322-D322</f>
        <v>6.7569999999999997</v>
      </c>
      <c r="F322" s="313">
        <v>10.347</v>
      </c>
      <c r="H322" s="313">
        <v>4.3380000000000001</v>
      </c>
      <c r="I322" s="232">
        <f>J322-H322</f>
        <v>8.1909999999999989</v>
      </c>
      <c r="J322" s="313">
        <v>12.529</v>
      </c>
      <c r="L322" s="313">
        <v>4.5679999999999996</v>
      </c>
      <c r="M322" s="232">
        <f>N322-L322</f>
        <v>9.3320000000000007</v>
      </c>
      <c r="N322" s="313">
        <v>13.9</v>
      </c>
      <c r="P322" s="313">
        <v>5.0999999999999996</v>
      </c>
      <c r="Q322" s="232">
        <f>R322-P322</f>
        <v>10.4</v>
      </c>
      <c r="R322" s="313">
        <v>15.5</v>
      </c>
      <c r="T322" s="313">
        <v>5.5</v>
      </c>
      <c r="U322" s="232">
        <f>V322-T322</f>
        <v>7.5</v>
      </c>
      <c r="V322" s="313">
        <v>13</v>
      </c>
      <c r="X322" s="313">
        <v>4.9000000000000004</v>
      </c>
      <c r="Y322" s="232">
        <f>Z322-X322</f>
        <v>9.9</v>
      </c>
      <c r="Z322" s="313">
        <v>14.8</v>
      </c>
      <c r="AB322" s="313">
        <v>8.9</v>
      </c>
      <c r="AC322" s="232">
        <f>AD322-AB322</f>
        <v>13.9</v>
      </c>
      <c r="AD322" s="313">
        <v>22.8</v>
      </c>
      <c r="AF322" s="343">
        <v>12.3</v>
      </c>
      <c r="AG322" s="232">
        <f>AH322-AF322</f>
        <v>22.8</v>
      </c>
      <c r="AH322" s="343">
        <v>35.1</v>
      </c>
      <c r="AJ322" s="343">
        <v>24.9</v>
      </c>
      <c r="AK322" s="232">
        <f>AL322-AJ322</f>
        <v>30.451000000000001</v>
      </c>
      <c r="AL322" s="343">
        <v>55.350999999999999</v>
      </c>
      <c r="AN322" s="313">
        <v>32.9</v>
      </c>
      <c r="AO322" s="232">
        <f>AP322-AN322</f>
        <v>39.1</v>
      </c>
      <c r="AP322" s="913">
        <v>72</v>
      </c>
      <c r="AR322" s="232">
        <f t="shared" ref="AR322:AS322" si="1859">+AR323*AR319</f>
        <v>35.921150853749999</v>
      </c>
      <c r="AS322" s="232">
        <f t="shared" si="1859"/>
        <v>44.182628167499999</v>
      </c>
      <c r="AT322" s="232">
        <f t="shared" ref="AT322" si="1860">+AR322+AS322</f>
        <v>80.103779021250006</v>
      </c>
      <c r="AV322" s="232">
        <f t="shared" ref="AV322:AW322" si="1861">+AV323*AV319</f>
        <v>38.212616327647936</v>
      </c>
      <c r="AW322" s="232">
        <f t="shared" si="1861"/>
        <v>46.903300904249996</v>
      </c>
      <c r="AX322" s="232">
        <f t="shared" ref="AX322" si="1862">+AV322+AW322</f>
        <v>85.115917231897924</v>
      </c>
      <c r="AZ322" s="232">
        <f t="shared" ref="AZ322:BA322" si="1863">+AZ323*AZ319</f>
        <v>40.211328474387749</v>
      </c>
      <c r="BA322" s="232">
        <f t="shared" si="1863"/>
        <v>49.498040933190474</v>
      </c>
      <c r="BB322" s="232">
        <f t="shared" ref="BB322" si="1864">+AZ322+BA322</f>
        <v>89.709369407578222</v>
      </c>
      <c r="BD322" s="232">
        <f t="shared" ref="BD322:BE322" si="1865">+BD323*BD319</f>
        <v>41.122140549840609</v>
      </c>
      <c r="BE322" s="232">
        <f t="shared" si="1865"/>
        <v>50.806576306995439</v>
      </c>
      <c r="BF322" s="232">
        <f t="shared" ref="BF322" si="1866">+BD322+BE322</f>
        <v>91.928716856836047</v>
      </c>
      <c r="BH322" s="232">
        <f t="shared" ref="BH322:BI322" si="1867">+BH323*BH319</f>
        <v>42.059306222561119</v>
      </c>
      <c r="BI322" s="232">
        <f t="shared" si="1867"/>
        <v>52.157374210002146</v>
      </c>
      <c r="BJ322" s="232">
        <f t="shared" ref="BJ322" si="1868">+BH322+BI322</f>
        <v>94.216680432563265</v>
      </c>
      <c r="BL322" s="232">
        <f t="shared" ref="BL322:BM322" si="1869">+BL323*BL319</f>
        <v>43.02367805872499</v>
      </c>
      <c r="BM322" s="232">
        <f t="shared" si="1869"/>
        <v>53.551923565663657</v>
      </c>
      <c r="BN322" s="232">
        <f t="shared" ref="BN322" si="1870">+BL322+BM322</f>
        <v>96.575601624388639</v>
      </c>
      <c r="BP322" s="232">
        <f t="shared" ref="BP322:BQ322" si="1871">+BP323*BP319</f>
        <v>44.016138695600638</v>
      </c>
      <c r="BQ322" s="232">
        <f t="shared" si="1871"/>
        <v>54.991768822816859</v>
      </c>
      <c r="BR322" s="232">
        <f t="shared" ref="BR322" si="1872">+BP322+BQ322</f>
        <v>99.007907518417497</v>
      </c>
      <c r="BT322" s="232">
        <f t="shared" ref="BT322:BU322" si="1873">+BT323*BT319</f>
        <v>45.037601963761844</v>
      </c>
      <c r="BU322" s="232">
        <f t="shared" si="1873"/>
        <v>56.478512096066716</v>
      </c>
      <c r="BV322" s="232">
        <f t="shared" ref="BV322" si="1874">+BT322+BU322</f>
        <v>101.51611405982857</v>
      </c>
      <c r="BX322" s="232">
        <f t="shared" ref="BX322:BY322" si="1875">+BX323*BX319</f>
        <v>46.08901405257626</v>
      </c>
      <c r="BY322" s="232">
        <f t="shared" si="1875"/>
        <v>58.013815390173328</v>
      </c>
      <c r="BZ322" s="232">
        <f t="shared" ref="BZ322" si="1876">+BX322+BY322</f>
        <v>104.1028294427496</v>
      </c>
    </row>
    <row r="323" spans="1:78" s="220" customFormat="1" ht="14.4" thickBot="1">
      <c r="A323" s="660"/>
      <c r="B323" s="661" t="s">
        <v>260</v>
      </c>
      <c r="D323" s="387">
        <f>+D322/D319</f>
        <v>0.75578947368421046</v>
      </c>
      <c r="E323" s="387">
        <f>+E322/E319</f>
        <v>0.76714350590372382</v>
      </c>
      <c r="F323" s="387">
        <f>+F322/F319</f>
        <v>0.76316565865171848</v>
      </c>
      <c r="H323" s="387">
        <f>+H322/H319</f>
        <v>0.66492949110974864</v>
      </c>
      <c r="I323" s="387">
        <f>+I322/I319</f>
        <v>0.7047840302873859</v>
      </c>
      <c r="J323" s="387">
        <f>+J322/J319</f>
        <v>0.69045519673757294</v>
      </c>
      <c r="L323" s="387">
        <f>+L322/L319</f>
        <v>0.7444589308996088</v>
      </c>
      <c r="M323" s="387">
        <f>+M322/M319</f>
        <v>0.78658125421443026</v>
      </c>
      <c r="N323" s="387">
        <f>+N322/N319</f>
        <v>0.77222222222222225</v>
      </c>
      <c r="P323" s="387">
        <f>+P322/P319</f>
        <v>0.70833333333333326</v>
      </c>
      <c r="Q323" s="387">
        <f>+Q322/Q319</f>
        <v>0.88888888888888895</v>
      </c>
      <c r="R323" s="387">
        <f>+R322/R319</f>
        <v>0.82010582010582012</v>
      </c>
      <c r="T323" s="387">
        <f>+T322/T319</f>
        <v>0.77464788732394374</v>
      </c>
      <c r="U323" s="387">
        <f>+U322/U319</f>
        <v>0.7978723404255319</v>
      </c>
      <c r="V323" s="387">
        <f>+V322/V319</f>
        <v>0.78787878787878785</v>
      </c>
      <c r="X323" s="387">
        <f>+X322/X319</f>
        <v>0.69014084507042261</v>
      </c>
      <c r="Y323" s="387">
        <f>+Y322/Y319</f>
        <v>0.65999999999999992</v>
      </c>
      <c r="Z323" s="387">
        <f>+Z322/Z319</f>
        <v>0.66968325791855199</v>
      </c>
      <c r="AB323" s="387">
        <f>+AB322/AB319</f>
        <v>0.58940397350993379</v>
      </c>
      <c r="AC323" s="387">
        <f>+AC322/AC319</f>
        <v>0.59656652360515028</v>
      </c>
      <c r="AD323" s="387">
        <f>+AD322/AD319</f>
        <v>0.59375</v>
      </c>
      <c r="AF323" s="388">
        <f>+AF322/AF319</f>
        <v>0.6684782608695653</v>
      </c>
      <c r="AG323" s="387">
        <f>+AG322/AG319</f>
        <v>0.6495726495726496</v>
      </c>
      <c r="AH323" s="387">
        <f>+AH322/AH319</f>
        <v>0.65607476635514017</v>
      </c>
      <c r="AJ323" s="388">
        <f>+AJ322/AJ319</f>
        <v>0.73235294117647054</v>
      </c>
      <c r="AK323" s="387">
        <f>+AK322/AK319</f>
        <v>0.74189304421975877</v>
      </c>
      <c r="AL323" s="388">
        <f>+AL322/AL319</f>
        <v>0.73757079085881805</v>
      </c>
      <c r="AN323" s="388">
        <f>+AN322/AN319</f>
        <v>0.76511627906976742</v>
      </c>
      <c r="AO323" s="387">
        <f>+AO322/AO319</f>
        <v>0.72007366482504609</v>
      </c>
      <c r="AP323" s="388">
        <f>+AP322/AP319</f>
        <v>0.73997944501541624</v>
      </c>
      <c r="AR323" s="662">
        <f>+Scenarios!AF23</f>
        <v>0.76500000000000001</v>
      </c>
      <c r="AS323" s="662">
        <f>+Scenarios!AG23</f>
        <v>0.76500000000000001</v>
      </c>
      <c r="AT323" s="387">
        <f t="shared" ref="AT323" si="1877">+AT322/AT319</f>
        <v>0.76500000000000012</v>
      </c>
      <c r="AV323" s="662">
        <f>+Scenarios!AJ23</f>
        <v>0.76500000000000001</v>
      </c>
      <c r="AW323" s="662">
        <f>+Scenarios!AK23</f>
        <v>0.76500000000000001</v>
      </c>
      <c r="AX323" s="387">
        <f t="shared" ref="AX323" si="1878">+AX322/AX319</f>
        <v>0.7649999999999999</v>
      </c>
      <c r="AZ323" s="662">
        <f>+Scenarios!AN23</f>
        <v>0.76500000000000001</v>
      </c>
      <c r="BA323" s="662">
        <f>+Scenarios!AO23</f>
        <v>0.76500000000000001</v>
      </c>
      <c r="BB323" s="387">
        <f t="shared" ref="BB323" si="1879">+BB322/BB319</f>
        <v>0.76500000000000001</v>
      </c>
      <c r="BD323" s="662">
        <f>+Scenarios!AR23</f>
        <v>0.76500000000000001</v>
      </c>
      <c r="BE323" s="662">
        <f>+Scenarios!AS23</f>
        <v>0.76500000000000001</v>
      </c>
      <c r="BF323" s="387">
        <f t="shared" ref="BF323" si="1880">+BF322/BF319</f>
        <v>0.76500000000000012</v>
      </c>
      <c r="BH323" s="662">
        <f>+Scenarios!AV23</f>
        <v>0.76500000000000001</v>
      </c>
      <c r="BI323" s="662">
        <f>+Scenarios!AW23</f>
        <v>0.76500000000000001</v>
      </c>
      <c r="BJ323" s="387">
        <f t="shared" ref="BJ323" si="1881">+BJ322/BJ319</f>
        <v>0.76500000000000001</v>
      </c>
      <c r="BL323" s="662">
        <f>+Scenarios!AZ23</f>
        <v>0.76500000000000001</v>
      </c>
      <c r="BM323" s="662">
        <f>+Scenarios!BA23</f>
        <v>0.76500000000000001</v>
      </c>
      <c r="BN323" s="387">
        <f t="shared" ref="BN323" si="1882">+BN322/BN319</f>
        <v>0.76500000000000001</v>
      </c>
      <c r="BP323" s="662">
        <f>+Scenarios!BD23</f>
        <v>0.76500000000000001</v>
      </c>
      <c r="BQ323" s="662">
        <f>+Scenarios!BE23</f>
        <v>0.76500000000000001</v>
      </c>
      <c r="BR323" s="387">
        <f t="shared" ref="BR323" si="1883">+BR322/BR319</f>
        <v>0.7649999999999999</v>
      </c>
      <c r="BT323" s="662">
        <f>+Scenarios!BH23</f>
        <v>0.76500000000000001</v>
      </c>
      <c r="BU323" s="662">
        <f>+Scenarios!BI23</f>
        <v>0.76500000000000001</v>
      </c>
      <c r="BV323" s="387">
        <f t="shared" ref="BV323" si="1884">+BV322/BV319</f>
        <v>0.76500000000000001</v>
      </c>
      <c r="BX323" s="662">
        <f>+Scenarios!BL23</f>
        <v>0.76500000000000001</v>
      </c>
      <c r="BY323" s="662">
        <f>+Scenarios!BM23</f>
        <v>0.76500000000000001</v>
      </c>
      <c r="BZ323" s="387">
        <f t="shared" ref="BZ323" si="1885">+BZ322/BZ319</f>
        <v>0.76500000000000012</v>
      </c>
    </row>
    <row r="324" spans="1:78" s="161" customFormat="1">
      <c r="A324" s="146"/>
      <c r="B324" s="148"/>
      <c r="D324" s="230"/>
      <c r="F324" s="230"/>
      <c r="H324" s="230"/>
      <c r="J324" s="230"/>
      <c r="L324" s="230"/>
      <c r="N324" s="230"/>
      <c r="P324" s="230"/>
      <c r="R324" s="230"/>
      <c r="T324" s="230"/>
      <c r="V324" s="230"/>
      <c r="X324" s="230"/>
      <c r="Z324" s="230"/>
      <c r="AB324" s="230"/>
      <c r="AF324" s="256"/>
      <c r="AJ324" s="256"/>
      <c r="AL324" s="218"/>
      <c r="AN324" s="256"/>
      <c r="AP324" s="218"/>
      <c r="AR324" s="133"/>
      <c r="AV324" s="133"/>
      <c r="AZ324" s="133"/>
      <c r="BD324" s="133"/>
      <c r="BH324" s="133"/>
      <c r="BL324" s="133"/>
      <c r="BP324" s="133"/>
      <c r="BT324" s="133"/>
      <c r="BX324" s="133"/>
    </row>
    <row r="325" spans="1:78" s="135" customFormat="1" ht="15.6">
      <c r="A325" s="134"/>
      <c r="B325" s="717" t="s">
        <v>631</v>
      </c>
      <c r="D325" s="315"/>
      <c r="E325" s="315"/>
      <c r="F325" s="315"/>
      <c r="G325" s="133"/>
      <c r="H325" s="315"/>
      <c r="I325" s="315"/>
      <c r="J325" s="315"/>
      <c r="K325" s="133"/>
      <c r="L325" s="315"/>
      <c r="M325" s="315"/>
      <c r="N325" s="315"/>
      <c r="O325" s="133"/>
      <c r="P325" s="315"/>
      <c r="Q325" s="315"/>
      <c r="R325" s="315"/>
      <c r="S325" s="133"/>
      <c r="T325" s="315"/>
      <c r="U325" s="315"/>
      <c r="V325" s="315"/>
      <c r="W325" s="133"/>
      <c r="X325" s="315"/>
      <c r="Y325" s="315"/>
      <c r="Z325" s="315"/>
      <c r="AA325" s="133"/>
      <c r="AB325" s="315"/>
      <c r="AC325" s="315"/>
      <c r="AD325" s="315"/>
      <c r="AE325" s="133"/>
      <c r="AF325" s="374"/>
      <c r="AG325" s="315"/>
      <c r="AH325" s="315"/>
      <c r="AI325" s="133"/>
      <c r="AJ325" s="374"/>
      <c r="AK325" s="315"/>
      <c r="AL325" s="374"/>
      <c r="AM325" s="133"/>
      <c r="AN325" s="374"/>
      <c r="AO325" s="315"/>
      <c r="AP325" s="374"/>
      <c r="AQ325" s="133"/>
      <c r="AR325" s="315"/>
      <c r="AS325" s="315"/>
      <c r="AT325" s="315"/>
      <c r="AU325" s="133"/>
      <c r="AV325" s="315"/>
      <c r="AW325" s="315"/>
      <c r="AX325" s="315"/>
      <c r="AY325" s="133"/>
      <c r="AZ325" s="315"/>
      <c r="BA325" s="315"/>
      <c r="BB325" s="315"/>
      <c r="BC325" s="133"/>
      <c r="BD325" s="315"/>
      <c r="BE325" s="315"/>
      <c r="BF325" s="315"/>
      <c r="BG325" s="133"/>
      <c r="BH325" s="315"/>
      <c r="BI325" s="315"/>
      <c r="BJ325" s="315"/>
      <c r="BK325" s="133"/>
      <c r="BL325" s="315"/>
      <c r="BM325" s="315"/>
      <c r="BN325" s="315"/>
      <c r="BO325" s="133"/>
      <c r="BP325" s="315"/>
      <c r="BQ325" s="315"/>
      <c r="BR325" s="315"/>
      <c r="BS325" s="133"/>
      <c r="BT325" s="315"/>
      <c r="BU325" s="315"/>
      <c r="BV325" s="315"/>
      <c r="BW325" s="133"/>
      <c r="BX325" s="315"/>
      <c r="BY325" s="315"/>
      <c r="BZ325" s="315"/>
    </row>
    <row r="326" spans="1:78" s="135" customFormat="1">
      <c r="A326" s="134"/>
      <c r="B326" s="385" t="s">
        <v>370</v>
      </c>
      <c r="D326" s="313">
        <v>0</v>
      </c>
      <c r="E326" s="313">
        <v>0</v>
      </c>
      <c r="F326" s="313">
        <v>0</v>
      </c>
      <c r="G326" s="133"/>
      <c r="H326" s="313">
        <v>0</v>
      </c>
      <c r="I326" s="323">
        <f>+J326-H326</f>
        <v>0</v>
      </c>
      <c r="J326" s="313">
        <v>0</v>
      </c>
      <c r="K326" s="133"/>
      <c r="L326" s="313">
        <v>0</v>
      </c>
      <c r="M326" s="323">
        <f>+N326-L326</f>
        <v>0</v>
      </c>
      <c r="N326" s="313">
        <v>0</v>
      </c>
      <c r="O326" s="133"/>
      <c r="P326" s="313">
        <v>0</v>
      </c>
      <c r="Q326" s="323">
        <f>+R326-P326</f>
        <v>0</v>
      </c>
      <c r="R326" s="313">
        <v>0</v>
      </c>
      <c r="S326" s="133"/>
      <c r="T326" s="313">
        <v>0</v>
      </c>
      <c r="U326" s="323">
        <f>+V326-T326</f>
        <v>0</v>
      </c>
      <c r="V326" s="313">
        <v>0</v>
      </c>
      <c r="W326" s="133"/>
      <c r="X326" s="313">
        <v>0</v>
      </c>
      <c r="Y326" s="323">
        <f>+Z326-X326</f>
        <v>0</v>
      </c>
      <c r="Z326" s="313">
        <v>0</v>
      </c>
      <c r="AA326" s="133"/>
      <c r="AB326" s="313">
        <v>0</v>
      </c>
      <c r="AC326" s="323">
        <f>+AD326-AB326</f>
        <v>0</v>
      </c>
      <c r="AD326" s="313">
        <v>0</v>
      </c>
      <c r="AE326" s="133"/>
      <c r="AF326" s="313">
        <v>0</v>
      </c>
      <c r="AG326" s="323">
        <f>+AH326-AF326</f>
        <v>0</v>
      </c>
      <c r="AH326" s="343">
        <v>0</v>
      </c>
      <c r="AI326" s="133"/>
      <c r="AJ326" s="343">
        <v>0</v>
      </c>
      <c r="AK326" s="323">
        <f>+AL326-AJ326</f>
        <v>0</v>
      </c>
      <c r="AL326" s="343">
        <v>0</v>
      </c>
      <c r="AM326" s="133"/>
      <c r="AN326" s="313">
        <v>0</v>
      </c>
      <c r="AO326" s="323">
        <f>+AP326-AN326</f>
        <v>0</v>
      </c>
      <c r="AP326" s="313">
        <v>0</v>
      </c>
      <c r="AQ326" s="133"/>
      <c r="AR326" s="313">
        <v>0</v>
      </c>
      <c r="AS326" s="323">
        <f t="shared" ref="AS326" si="1886">+AT326-AR326</f>
        <v>0</v>
      </c>
      <c r="AT326" s="313">
        <v>0</v>
      </c>
      <c r="AU326" s="133"/>
      <c r="AV326" s="313">
        <v>0</v>
      </c>
      <c r="AW326" s="323">
        <f t="shared" ref="AW326" si="1887">+AX326-AV326</f>
        <v>0</v>
      </c>
      <c r="AX326" s="313">
        <v>0</v>
      </c>
      <c r="AY326" s="133"/>
      <c r="AZ326" s="313">
        <v>0</v>
      </c>
      <c r="BA326" s="323">
        <f t="shared" ref="BA326" si="1888">+BB326-AZ326</f>
        <v>0</v>
      </c>
      <c r="BB326" s="313">
        <v>0</v>
      </c>
      <c r="BC326" s="133"/>
      <c r="BD326" s="313">
        <v>0</v>
      </c>
      <c r="BE326" s="323">
        <f t="shared" ref="BE326" si="1889">+BF326-BD326</f>
        <v>0</v>
      </c>
      <c r="BF326" s="313">
        <v>0</v>
      </c>
      <c r="BG326" s="133"/>
      <c r="BH326" s="313">
        <v>0</v>
      </c>
      <c r="BI326" s="323">
        <f t="shared" ref="BI326" si="1890">+BJ326-BH326</f>
        <v>0</v>
      </c>
      <c r="BJ326" s="313">
        <v>0</v>
      </c>
      <c r="BK326" s="133"/>
      <c r="BL326" s="313">
        <v>0</v>
      </c>
      <c r="BM326" s="323">
        <f t="shared" ref="BM326" si="1891">+BN326-BL326</f>
        <v>0</v>
      </c>
      <c r="BN326" s="313">
        <v>0</v>
      </c>
      <c r="BO326" s="133"/>
      <c r="BP326" s="313">
        <v>0</v>
      </c>
      <c r="BQ326" s="323">
        <f t="shared" ref="BQ326" si="1892">+BR326-BP326</f>
        <v>0</v>
      </c>
      <c r="BR326" s="313">
        <v>0</v>
      </c>
      <c r="BS326" s="133"/>
      <c r="BT326" s="313">
        <v>0</v>
      </c>
      <c r="BU326" s="323">
        <f t="shared" ref="BU326" si="1893">+BV326-BT326</f>
        <v>0</v>
      </c>
      <c r="BV326" s="313">
        <v>0</v>
      </c>
      <c r="BW326" s="133"/>
      <c r="BX326" s="313">
        <v>0</v>
      </c>
      <c r="BY326" s="323">
        <f t="shared" ref="BY326" si="1894">+BZ326-BX326</f>
        <v>0</v>
      </c>
      <c r="BZ326" s="313">
        <v>0</v>
      </c>
    </row>
    <row r="327" spans="1:78" s="135" customFormat="1">
      <c r="A327" s="134"/>
      <c r="B327" s="386" t="s">
        <v>364</v>
      </c>
      <c r="D327" s="323">
        <f>+D326+D322</f>
        <v>3.59</v>
      </c>
      <c r="E327" s="323">
        <f>+E326+E322</f>
        <v>6.7569999999999997</v>
      </c>
      <c r="F327" s="323">
        <f>+F326+F322</f>
        <v>10.347</v>
      </c>
      <c r="H327" s="323">
        <f>+H326+H322</f>
        <v>4.3380000000000001</v>
      </c>
      <c r="I327" s="323">
        <f>+I326+I322</f>
        <v>8.1909999999999989</v>
      </c>
      <c r="J327" s="323">
        <f>+J326+J322</f>
        <v>12.529</v>
      </c>
      <c r="L327" s="323">
        <f>+L326+L322</f>
        <v>4.5679999999999996</v>
      </c>
      <c r="M327" s="323">
        <f>+M326+M322</f>
        <v>9.3320000000000007</v>
      </c>
      <c r="N327" s="323">
        <f>+N326+N322</f>
        <v>13.9</v>
      </c>
      <c r="P327" s="323">
        <f>+P326+P322</f>
        <v>5.0999999999999996</v>
      </c>
      <c r="Q327" s="323">
        <f>+Q326+Q322</f>
        <v>10.4</v>
      </c>
      <c r="R327" s="323">
        <f>+R326+R322</f>
        <v>15.5</v>
      </c>
      <c r="T327" s="323">
        <f>+T326+T322</f>
        <v>5.5</v>
      </c>
      <c r="U327" s="323">
        <f>+U326+U322</f>
        <v>7.5</v>
      </c>
      <c r="V327" s="323">
        <f>+V326+V322</f>
        <v>13</v>
      </c>
      <c r="X327" s="323">
        <f>+X326+X322</f>
        <v>4.9000000000000004</v>
      </c>
      <c r="Y327" s="323">
        <f>+Y326+Y322</f>
        <v>9.9</v>
      </c>
      <c r="Z327" s="323">
        <f>+Z326+Z322</f>
        <v>14.8</v>
      </c>
      <c r="AB327" s="323">
        <f>+AB326+AB322</f>
        <v>8.9</v>
      </c>
      <c r="AC327" s="323">
        <f>+AC326+AC322</f>
        <v>13.9</v>
      </c>
      <c r="AD327" s="323">
        <f>+AD326+AD322</f>
        <v>22.8</v>
      </c>
      <c r="AF327" s="323">
        <f>+AF326+AF322</f>
        <v>12.3</v>
      </c>
      <c r="AG327" s="323">
        <f>+AG326+AG322</f>
        <v>22.8</v>
      </c>
      <c r="AH327" s="323">
        <f>+AH326+AH322</f>
        <v>35.1</v>
      </c>
      <c r="AJ327" s="323">
        <f>+AJ326+AJ322</f>
        <v>24.9</v>
      </c>
      <c r="AK327" s="323">
        <f>+AK326+AK322</f>
        <v>30.451000000000001</v>
      </c>
      <c r="AL327" s="323">
        <f>+AL326+AL322</f>
        <v>55.350999999999999</v>
      </c>
      <c r="AN327" s="323">
        <f>+AN326+AN322</f>
        <v>32.9</v>
      </c>
      <c r="AO327" s="323">
        <f>+AO326+AO322</f>
        <v>39.1</v>
      </c>
      <c r="AP327" s="323">
        <f>+AP326+AP322</f>
        <v>72</v>
      </c>
      <c r="AR327" s="323">
        <f t="shared" ref="AR327:AT327" si="1895">+AR326+AR322</f>
        <v>35.921150853749999</v>
      </c>
      <c r="AS327" s="323">
        <f t="shared" si="1895"/>
        <v>44.182628167499999</v>
      </c>
      <c r="AT327" s="323">
        <f t="shared" si="1895"/>
        <v>80.103779021250006</v>
      </c>
      <c r="AV327" s="323">
        <f t="shared" ref="AV327:AX327" si="1896">+AV326+AV322</f>
        <v>38.212616327647936</v>
      </c>
      <c r="AW327" s="323">
        <f t="shared" si="1896"/>
        <v>46.903300904249996</v>
      </c>
      <c r="AX327" s="323">
        <f t="shared" si="1896"/>
        <v>85.115917231897924</v>
      </c>
      <c r="AZ327" s="323">
        <f t="shared" ref="AZ327:BB327" si="1897">+AZ326+AZ322</f>
        <v>40.211328474387749</v>
      </c>
      <c r="BA327" s="323">
        <f t="shared" si="1897"/>
        <v>49.498040933190474</v>
      </c>
      <c r="BB327" s="323">
        <f t="shared" si="1897"/>
        <v>89.709369407578222</v>
      </c>
      <c r="BD327" s="323">
        <f t="shared" ref="BD327:BF327" si="1898">+BD326+BD322</f>
        <v>41.122140549840609</v>
      </c>
      <c r="BE327" s="323">
        <f t="shared" si="1898"/>
        <v>50.806576306995439</v>
      </c>
      <c r="BF327" s="323">
        <f t="shared" si="1898"/>
        <v>91.928716856836047</v>
      </c>
      <c r="BH327" s="323">
        <f t="shared" ref="BH327:BJ327" si="1899">+BH326+BH322</f>
        <v>42.059306222561119</v>
      </c>
      <c r="BI327" s="323">
        <f t="shared" si="1899"/>
        <v>52.157374210002146</v>
      </c>
      <c r="BJ327" s="323">
        <f t="shared" si="1899"/>
        <v>94.216680432563265</v>
      </c>
      <c r="BL327" s="323">
        <f t="shared" ref="BL327:BN327" si="1900">+BL326+BL322</f>
        <v>43.02367805872499</v>
      </c>
      <c r="BM327" s="323">
        <f t="shared" si="1900"/>
        <v>53.551923565663657</v>
      </c>
      <c r="BN327" s="323">
        <f t="shared" si="1900"/>
        <v>96.575601624388639</v>
      </c>
      <c r="BP327" s="323">
        <f t="shared" ref="BP327:BR327" si="1901">+BP326+BP322</f>
        <v>44.016138695600638</v>
      </c>
      <c r="BQ327" s="323">
        <f t="shared" si="1901"/>
        <v>54.991768822816859</v>
      </c>
      <c r="BR327" s="323">
        <f t="shared" si="1901"/>
        <v>99.007907518417497</v>
      </c>
      <c r="BT327" s="323">
        <f t="shared" ref="BT327:BV327" si="1902">+BT326+BT322</f>
        <v>45.037601963761844</v>
      </c>
      <c r="BU327" s="323">
        <f t="shared" si="1902"/>
        <v>56.478512096066716</v>
      </c>
      <c r="BV327" s="323">
        <f t="shared" si="1902"/>
        <v>101.51611405982857</v>
      </c>
      <c r="BX327" s="323">
        <f t="shared" ref="BX327:BZ327" si="1903">+BX326+BX322</f>
        <v>46.08901405257626</v>
      </c>
      <c r="BY327" s="323">
        <f t="shared" si="1903"/>
        <v>58.013815390173328</v>
      </c>
      <c r="BZ327" s="323">
        <f t="shared" si="1903"/>
        <v>104.1028294427496</v>
      </c>
    </row>
    <row r="328" spans="1:78" s="135" customFormat="1">
      <c r="A328" s="134"/>
      <c r="B328" s="386"/>
      <c r="D328" s="387"/>
      <c r="E328" s="387"/>
      <c r="F328" s="387"/>
      <c r="H328" s="387"/>
      <c r="I328" s="387"/>
      <c r="J328" s="387"/>
      <c r="L328" s="387"/>
      <c r="M328" s="387"/>
      <c r="N328" s="387"/>
      <c r="P328" s="387"/>
      <c r="Q328" s="387"/>
      <c r="R328" s="387"/>
      <c r="T328" s="387"/>
      <c r="U328" s="387"/>
      <c r="V328" s="387"/>
      <c r="X328" s="323"/>
      <c r="Y328" s="387"/>
      <c r="Z328" s="387"/>
      <c r="AB328" s="313"/>
      <c r="AC328" s="323"/>
      <c r="AD328" s="313"/>
      <c r="AF328" s="388"/>
      <c r="AG328" s="323"/>
      <c r="AH328" s="313"/>
      <c r="AJ328" s="388"/>
      <c r="AK328" s="323"/>
      <c r="AL328" s="343"/>
      <c r="AN328" s="388"/>
      <c r="AO328" s="323"/>
      <c r="AP328" s="343"/>
      <c r="AR328" s="387"/>
      <c r="AS328" s="387"/>
      <c r="AT328" s="387"/>
      <c r="AV328" s="387"/>
      <c r="AW328" s="387"/>
      <c r="AX328" s="387"/>
      <c r="AZ328" s="387"/>
      <c r="BA328" s="387"/>
      <c r="BB328" s="387"/>
      <c r="BD328" s="387"/>
      <c r="BE328" s="387"/>
      <c r="BF328" s="387"/>
      <c r="BH328" s="387"/>
      <c r="BI328" s="387"/>
      <c r="BJ328" s="387"/>
      <c r="BL328" s="387"/>
      <c r="BM328" s="387"/>
      <c r="BN328" s="387"/>
      <c r="BP328" s="387"/>
      <c r="BQ328" s="387"/>
      <c r="BR328" s="387"/>
      <c r="BT328" s="387"/>
      <c r="BU328" s="387"/>
      <c r="BV328" s="387"/>
      <c r="BX328" s="387"/>
      <c r="BY328" s="387"/>
      <c r="BZ328" s="387"/>
    </row>
    <row r="329" spans="1:78" s="135" customFormat="1">
      <c r="A329" s="278"/>
      <c r="B329" s="386" t="s">
        <v>361</v>
      </c>
      <c r="D329" s="313"/>
      <c r="E329" s="323"/>
      <c r="F329" s="313">
        <f>+F330*13.162</f>
        <v>-1.961138</v>
      </c>
      <c r="H329" s="323">
        <f>+H330*D327</f>
        <v>1.0052000000000001</v>
      </c>
      <c r="I329" s="323">
        <f>+J329-H329</f>
        <v>1.0641999999999998</v>
      </c>
      <c r="J329" s="323">
        <f>+J330*F327</f>
        <v>2.0693999999999999</v>
      </c>
      <c r="L329" s="323">
        <f>+L330*H327</f>
        <v>0.82422000000000006</v>
      </c>
      <c r="M329" s="323">
        <f>+N329-L329</f>
        <v>2.8091899999999996</v>
      </c>
      <c r="N329" s="323">
        <f>+N330*J327</f>
        <v>3.6334099999999996</v>
      </c>
      <c r="P329" s="323">
        <f>+P330*L327</f>
        <v>0.82223999999999986</v>
      </c>
      <c r="Q329" s="323">
        <f>+R329-P329</f>
        <v>0.47776000000000018</v>
      </c>
      <c r="R329" s="313">
        <v>1.3</v>
      </c>
      <c r="T329" s="313">
        <v>0.5</v>
      </c>
      <c r="U329" s="323">
        <f>+V329-T329</f>
        <v>-2.6</v>
      </c>
      <c r="V329" s="313">
        <v>-2.1</v>
      </c>
      <c r="X329" s="313">
        <v>-0.1</v>
      </c>
      <c r="Y329" s="323">
        <f>+Z329-X329</f>
        <v>2.4</v>
      </c>
      <c r="Z329" s="313">
        <v>2.2999999999999998</v>
      </c>
      <c r="AB329" s="313">
        <v>1.7</v>
      </c>
      <c r="AC329" s="323">
        <f>+AD329-AB329</f>
        <v>3.74</v>
      </c>
      <c r="AD329" s="313">
        <v>5.44</v>
      </c>
      <c r="AF329" s="313">
        <v>0.1</v>
      </c>
      <c r="AG329" s="323">
        <f>+AH329-AF329</f>
        <v>3.1999999999999997</v>
      </c>
      <c r="AH329" s="343">
        <v>3.3</v>
      </c>
      <c r="AJ329" s="343">
        <v>5.9</v>
      </c>
      <c r="AK329" s="323">
        <f>+AL329-AJ329</f>
        <v>4.4000000000000004</v>
      </c>
      <c r="AL329" s="343">
        <v>10.3</v>
      </c>
      <c r="AN329" s="313">
        <v>3.7</v>
      </c>
      <c r="AO329" s="323">
        <f>+AP329-AN329</f>
        <v>1.8999999999999995</v>
      </c>
      <c r="AP329" s="913">
        <v>5.6</v>
      </c>
      <c r="AR329" s="420">
        <f t="shared" ref="AR329:AS329" si="1904">+AR322-AN322-AR331</f>
        <v>3.4982653062849769</v>
      </c>
      <c r="AS329" s="420">
        <f t="shared" si="1904"/>
        <v>5.5566853188690848</v>
      </c>
      <c r="AT329" s="323">
        <f t="shared" ref="AT329" si="1905">+AS329+AR329</f>
        <v>9.0549506251540617</v>
      </c>
      <c r="AV329" s="420">
        <f t="shared" ref="AV329:AW329" si="1906">+AV322-AR322-AV331</f>
        <v>2.7748925465229592</v>
      </c>
      <c r="AW329" s="420">
        <f t="shared" si="1906"/>
        <v>3.2042752655529712</v>
      </c>
      <c r="AX329" s="323">
        <f t="shared" ref="AX329" si="1907">+AW329+AV329</f>
        <v>5.9791678120759304</v>
      </c>
      <c r="AZ329" s="420">
        <f t="shared" ref="AZ329:BA329" si="1908">+AZ322-AV322-AZ331</f>
        <v>2.4918741115886007</v>
      </c>
      <c r="BA329" s="420">
        <f t="shared" si="1908"/>
        <v>3.0880707985057079</v>
      </c>
      <c r="BB329" s="323">
        <f t="shared" ref="BB329" si="1909">+BA329+AZ329</f>
        <v>5.5799449100943086</v>
      </c>
      <c r="BD329" s="420">
        <f t="shared" ref="BD329:BE329" si="1910">+BD322-AZ322-BD331</f>
        <v>1.4138576000214715</v>
      </c>
      <c r="BE329" s="420">
        <f t="shared" si="1910"/>
        <v>1.8117519676358611</v>
      </c>
      <c r="BF329" s="323">
        <f t="shared" ref="BF329" si="1911">+BE329+BD329</f>
        <v>3.2256095676573326</v>
      </c>
      <c r="BH329" s="420">
        <f t="shared" ref="BH329:BI329" si="1912">+BH322-BD322-BH331</f>
        <v>1.4502924989260348</v>
      </c>
      <c r="BI329" s="420">
        <f t="shared" si="1912"/>
        <v>1.864098024774687</v>
      </c>
      <c r="BJ329" s="323">
        <f t="shared" ref="BJ329" si="1913">+BI329+BH329</f>
        <v>3.3143905237007218</v>
      </c>
      <c r="BL329" s="420">
        <f t="shared" ref="BL329:BM329" si="1914">+BL322-BH322-BL331</f>
        <v>1.4877816573259584</v>
      </c>
      <c r="BM329" s="420">
        <f t="shared" si="1914"/>
        <v>1.9181346591668724</v>
      </c>
      <c r="BN329" s="323">
        <f t="shared" ref="BN329" si="1915">+BM329+BL329</f>
        <v>3.4059163164928306</v>
      </c>
      <c r="BP329" s="420">
        <f t="shared" ref="BP329:BQ329" si="1916">+BP322-BL322-BP331</f>
        <v>1.5263591767184053</v>
      </c>
      <c r="BQ329" s="420">
        <f t="shared" si="1916"/>
        <v>1.9739214253573074</v>
      </c>
      <c r="BR329" s="323">
        <f t="shared" ref="BR329" si="1917">+BQ329+BP329</f>
        <v>3.5002806020757129</v>
      </c>
      <c r="BT329" s="420">
        <f t="shared" ref="BT329" si="1918">+BT322-BP322-BT331</f>
        <v>1.5660603613968731</v>
      </c>
      <c r="BU329" s="420">
        <f t="shared" ref="BU329" si="1919">+BU322-BQ322-BU331</f>
        <v>2.0315200988905264</v>
      </c>
      <c r="BV329" s="323">
        <f t="shared" ref="BV329" si="1920">+BU329+BT329</f>
        <v>3.5975804602873995</v>
      </c>
      <c r="BX329" s="420">
        <f t="shared" ref="BX329" si="1921">+BX322-BT322-BX331</f>
        <v>1.6069217633404986</v>
      </c>
      <c r="BY329" s="420">
        <f t="shared" ref="BY329" si="1922">+BY322-BU322-BY331</f>
        <v>2.0909947619283482</v>
      </c>
      <c r="BZ329" s="323">
        <f t="shared" ref="BZ329" si="1923">+BY329+BX329</f>
        <v>3.6979165252688468</v>
      </c>
    </row>
    <row r="330" spans="1:78" s="139" customFormat="1">
      <c r="A330" s="284"/>
      <c r="B330" s="314" t="s">
        <v>366</v>
      </c>
      <c r="D330" s="315"/>
      <c r="E330" s="315"/>
      <c r="F330" s="393">
        <v>-0.14899999999999999</v>
      </c>
      <c r="G330" s="390"/>
      <c r="H330" s="393">
        <v>0.28000000000000003</v>
      </c>
      <c r="I330" s="315">
        <f>+I329/E327</f>
        <v>0.1574959301465147</v>
      </c>
      <c r="J330" s="393">
        <v>0.2</v>
      </c>
      <c r="K330" s="390"/>
      <c r="L330" s="393">
        <v>0.19</v>
      </c>
      <c r="M330" s="315">
        <f>+M329/I327</f>
        <v>0.34296056647539985</v>
      </c>
      <c r="N330" s="393">
        <v>0.28999999999999998</v>
      </c>
      <c r="O330" s="390"/>
      <c r="P330" s="393">
        <v>0.18</v>
      </c>
      <c r="Q330" s="315">
        <f>+Q329/M327</f>
        <v>5.1195885126446648E-2</v>
      </c>
      <c r="R330" s="315">
        <f>+R329/N327</f>
        <v>9.3525179856115109E-2</v>
      </c>
      <c r="S330" s="390"/>
      <c r="T330" s="315">
        <f>+T329/P327</f>
        <v>9.8039215686274522E-2</v>
      </c>
      <c r="U330" s="315">
        <f>+U329/Q327</f>
        <v>-0.25</v>
      </c>
      <c r="V330" s="315">
        <f>+V329/R327</f>
        <v>-0.13548387096774195</v>
      </c>
      <c r="W330" s="390"/>
      <c r="X330" s="315">
        <f>+X329/T327</f>
        <v>-1.8181818181818184E-2</v>
      </c>
      <c r="Y330" s="315">
        <f>+Y329/U327</f>
        <v>0.32</v>
      </c>
      <c r="Z330" s="315">
        <f>+Z329/V327</f>
        <v>0.17692307692307691</v>
      </c>
      <c r="AA330" s="390"/>
      <c r="AB330" s="315">
        <f>+AB329/X327</f>
        <v>0.34693877551020402</v>
      </c>
      <c r="AC330" s="315">
        <f>+AC329/Y327</f>
        <v>0.37777777777777777</v>
      </c>
      <c r="AD330" s="315">
        <f>+AD329/Z327</f>
        <v>0.36756756756756759</v>
      </c>
      <c r="AE330" s="390"/>
      <c r="AF330" s="315">
        <f>+AF329/AB327</f>
        <v>1.1235955056179775E-2</v>
      </c>
      <c r="AG330" s="315">
        <f>+AG329/AC327</f>
        <v>0.23021582733812948</v>
      </c>
      <c r="AH330" s="374">
        <f>+AH329/AD327</f>
        <v>0.14473684210526314</v>
      </c>
      <c r="AI330" s="390"/>
      <c r="AJ330" s="384">
        <v>0.503</v>
      </c>
      <c r="AK330" s="315">
        <f>+AK329/AG327</f>
        <v>0.19298245614035089</v>
      </c>
      <c r="AL330" s="374">
        <f>+AL329/AH327</f>
        <v>0.29344729344729348</v>
      </c>
      <c r="AM330" s="390"/>
      <c r="AN330" s="393">
        <v>0.184</v>
      </c>
      <c r="AO330" s="315">
        <f>+AO329/AK327</f>
        <v>6.2395323634691781E-2</v>
      </c>
      <c r="AP330" s="374">
        <f>+AP329/AL327</f>
        <v>0.10117251720836118</v>
      </c>
      <c r="AQ330" s="390"/>
      <c r="AR330" s="315">
        <f t="shared" ref="AR330:AT330" si="1924">+AR329/AN327</f>
        <v>0.10633025247066799</v>
      </c>
      <c r="AS330" s="315">
        <f t="shared" si="1924"/>
        <v>0.1421147140375725</v>
      </c>
      <c r="AT330" s="315">
        <f t="shared" si="1924"/>
        <v>0.12576320312713973</v>
      </c>
      <c r="AU330" s="390"/>
      <c r="AV330" s="315">
        <f t="shared" ref="AV330:AX330" si="1925">+AV329/AR327</f>
        <v>7.7249544643508361E-2</v>
      </c>
      <c r="AW330" s="315">
        <f t="shared" si="1925"/>
        <v>7.2523419236295739E-2</v>
      </c>
      <c r="AX330" s="315">
        <f t="shared" si="1925"/>
        <v>7.4642768233066398E-2</v>
      </c>
      <c r="AY330" s="390"/>
      <c r="AZ330" s="315">
        <f t="shared" ref="AZ330:BB330" si="1926">+AZ329/AV327</f>
        <v>6.5210769401980395E-2</v>
      </c>
      <c r="BA330" s="315">
        <f t="shared" si="1926"/>
        <v>6.5839093176188204E-2</v>
      </c>
      <c r="BB330" s="315">
        <f t="shared" si="1926"/>
        <v>6.555700850748955E-2</v>
      </c>
      <c r="BC330" s="390"/>
      <c r="BD330" s="315">
        <f t="shared" ref="BD330:BF330" si="1927">+BD329/AZ327</f>
        <v>3.5160678685908518E-2</v>
      </c>
      <c r="BE330" s="315">
        <f t="shared" si="1927"/>
        <v>3.6602498472237656E-2</v>
      </c>
      <c r="BF330" s="315">
        <f t="shared" si="1927"/>
        <v>3.5956217159462595E-2</v>
      </c>
      <c r="BG330" s="390"/>
      <c r="BH330" s="315">
        <f t="shared" ref="BH330:BJ330" si="1928">+BH329/BD327</f>
        <v>3.5267923302004671E-2</v>
      </c>
      <c r="BI330" s="315">
        <f t="shared" si="1928"/>
        <v>3.6690093296407059E-2</v>
      </c>
      <c r="BJ330" s="315">
        <f t="shared" si="1928"/>
        <v>3.6053919134565356E-2</v>
      </c>
      <c r="BK330" s="390"/>
      <c r="BL330" s="315">
        <f t="shared" ref="BL330:BN330" si="1929">+BL329/BH327</f>
        <v>3.5373423647389941E-2</v>
      </c>
      <c r="BM330" s="315">
        <f t="shared" si="1929"/>
        <v>3.6775905386721604E-2</v>
      </c>
      <c r="BN330" s="315">
        <f t="shared" si="1929"/>
        <v>3.6149822949139633E-2</v>
      </c>
      <c r="BO330" s="390"/>
      <c r="BP330" s="315">
        <f t="shared" ref="BP330:BR330" si="1930">+BP329/BL327</f>
        <v>3.5477189435896388E-2</v>
      </c>
      <c r="BQ330" s="315">
        <f t="shared" si="1930"/>
        <v>3.6859953740726946E-2</v>
      </c>
      <c r="BR330" s="315">
        <f t="shared" si="1930"/>
        <v>3.624394301667775E-2</v>
      </c>
      <c r="BS330" s="390"/>
      <c r="BT330" s="315">
        <f t="shared" ref="BT330" si="1931">+BT329/BP327</f>
        <v>3.557923088681559E-2</v>
      </c>
      <c r="BU330" s="315">
        <f t="shared" ref="BU330" si="1932">+BU329/BQ327</f>
        <v>3.6942257766540872E-2</v>
      </c>
      <c r="BV330" s="315">
        <f t="shared" ref="BV330" si="1933">+BV329/BR327</f>
        <v>3.6336294246176001E-2</v>
      </c>
      <c r="BW330" s="390"/>
      <c r="BX330" s="315">
        <f t="shared" ref="BX330" si="1934">+BX329/BT327</f>
        <v>3.5679558708153689E-2</v>
      </c>
      <c r="BY330" s="315">
        <f t="shared" ref="BY330" si="1935">+BY329/BU327</f>
        <v>3.7022837258383963E-2</v>
      </c>
      <c r="BZ330" s="315">
        <f t="shared" ref="BZ330" si="1936">+BZ329/BV327</f>
        <v>3.642689202119654E-2</v>
      </c>
    </row>
    <row r="331" spans="1:78" s="135" customFormat="1">
      <c r="A331" s="134"/>
      <c r="B331" s="386" t="s">
        <v>362</v>
      </c>
      <c r="D331" s="313"/>
      <c r="E331" s="323"/>
      <c r="F331" s="313">
        <f>+(10.347-13.162)-F329</f>
        <v>-0.85386200000000123</v>
      </c>
      <c r="H331" s="323">
        <f>+H327-D327-H329</f>
        <v>-0.25719999999999987</v>
      </c>
      <c r="I331" s="323">
        <f>+J331-H331</f>
        <v>0.36980000000000035</v>
      </c>
      <c r="J331" s="323">
        <f>+J327-F327-J329</f>
        <v>0.11260000000000048</v>
      </c>
      <c r="L331" s="323">
        <f>+L327-H327-L329</f>
        <v>-0.59422000000000053</v>
      </c>
      <c r="M331" s="323">
        <f>+N331-L331</f>
        <v>-1.6681899999999987</v>
      </c>
      <c r="N331" s="323">
        <f>+N327-J327-N329</f>
        <v>-2.2624099999999991</v>
      </c>
      <c r="P331" s="323">
        <f>+P327-L327-P329</f>
        <v>-0.29023999999999983</v>
      </c>
      <c r="Q331" s="323">
        <f>+R331-P331</f>
        <v>0.59023999999999943</v>
      </c>
      <c r="R331" s="323">
        <f>+R327-N327-R329</f>
        <v>0.2999999999999996</v>
      </c>
      <c r="T331" s="313">
        <v>0.3</v>
      </c>
      <c r="U331" s="323">
        <f>+V331-T331</f>
        <v>-9.9999999999999978E-2</v>
      </c>
      <c r="V331" s="313">
        <v>0.2</v>
      </c>
      <c r="X331" s="313">
        <v>-0.1</v>
      </c>
      <c r="Y331" s="323">
        <f>+Z331-X331</f>
        <v>0.79999999999999993</v>
      </c>
      <c r="Z331" s="313">
        <v>0.7</v>
      </c>
      <c r="AB331" s="313">
        <v>2.2999999999999998</v>
      </c>
      <c r="AC331" s="323">
        <f>+AD331-AB331</f>
        <v>0.24000000000000021</v>
      </c>
      <c r="AD331" s="313">
        <v>2.54</v>
      </c>
      <c r="AF331" s="313">
        <v>3.3</v>
      </c>
      <c r="AG331" s="323">
        <f>+AH331-AF331</f>
        <v>5.7</v>
      </c>
      <c r="AH331" s="343">
        <v>9</v>
      </c>
      <c r="AJ331" s="343">
        <v>2.5</v>
      </c>
      <c r="AK331" s="323">
        <f>+AL331-AJ331</f>
        <v>3</v>
      </c>
      <c r="AL331" s="343">
        <v>5.5</v>
      </c>
      <c r="AN331" s="313">
        <v>6.9</v>
      </c>
      <c r="AO331" s="323">
        <f>+AP331-AN331</f>
        <v>7.1999999999999993</v>
      </c>
      <c r="AP331" s="913">
        <v>14.1</v>
      </c>
      <c r="AR331" s="420">
        <f t="shared" ref="AR331:AS331" si="1937">+AR315 + (AR318+AR321) *AR315/AR310</f>
        <v>-0.47711445253497592</v>
      </c>
      <c r="AS331" s="420">
        <f t="shared" si="1937"/>
        <v>-0.47405715136908688</v>
      </c>
      <c r="AT331" s="323">
        <f t="shared" ref="AT331" si="1938">+AS331+AR331</f>
        <v>-0.95117160390406275</v>
      </c>
      <c r="AV331" s="420">
        <f t="shared" ref="AV331:AW331" si="1939">+AV315 + (AV318+AV321) *AV315/AV310</f>
        <v>-0.48342707262502282</v>
      </c>
      <c r="AW331" s="420">
        <f t="shared" si="1939"/>
        <v>-0.4836025288029745</v>
      </c>
      <c r="AX331" s="323">
        <f t="shared" ref="AX331" si="1940">+AW331+AV331</f>
        <v>-0.96702960142799732</v>
      </c>
      <c r="AZ331" s="420">
        <f t="shared" ref="AZ331:BA331" si="1941">+AZ315 + (AZ318+AZ321) *AZ315/AZ310</f>
        <v>-0.49316196484878827</v>
      </c>
      <c r="BA331" s="420">
        <f t="shared" si="1941"/>
        <v>-0.49333076956522975</v>
      </c>
      <c r="BB331" s="323">
        <f t="shared" ref="BB331" si="1942">+BA331+AZ331</f>
        <v>-0.98649273441401797</v>
      </c>
      <c r="BD331" s="420">
        <f t="shared" ref="BD331:BE331" si="1943">+BD315 + (BD318+BD321) *BD315/BD310</f>
        <v>-0.50304552456861162</v>
      </c>
      <c r="BE331" s="420">
        <f t="shared" si="1943"/>
        <v>-0.50321659383089634</v>
      </c>
      <c r="BF331" s="323">
        <f t="shared" ref="BF331" si="1944">+BE331+BD331</f>
        <v>-1.006262118399508</v>
      </c>
      <c r="BH331" s="420">
        <f t="shared" ref="BH331:BI331" si="1945">+BH315 + (BH318+BH321) *BH315/BH310</f>
        <v>-0.51312682620552419</v>
      </c>
      <c r="BI331" s="420">
        <f t="shared" si="1945"/>
        <v>-0.51330012176797934</v>
      </c>
      <c r="BJ331" s="323">
        <f t="shared" ref="BJ331" si="1946">+BI331+BH331</f>
        <v>-1.0264269479735035</v>
      </c>
      <c r="BL331" s="420">
        <f t="shared" ref="BL331:BM331" si="1947">+BL315 + (BL318+BL321) *BL315/BL310</f>
        <v>-0.5234098211620879</v>
      </c>
      <c r="BM331" s="420">
        <f t="shared" si="1947"/>
        <v>-0.52358530350536192</v>
      </c>
      <c r="BN331" s="323">
        <f t="shared" ref="BN331" si="1948">+BM331+BL331</f>
        <v>-1.0469951246674498</v>
      </c>
      <c r="BP331" s="420">
        <f t="shared" ref="BP331:BQ331" si="1949">+BP315 + (BP318+BP321) *BP315/BP310</f>
        <v>-0.5338985398427567</v>
      </c>
      <c r="BQ331" s="420">
        <f t="shared" si="1949"/>
        <v>-0.53407616820410564</v>
      </c>
      <c r="BR331" s="323">
        <f t="shared" ref="BR331" si="1950">+BQ331+BP331</f>
        <v>-1.0679747080468625</v>
      </c>
      <c r="BT331" s="420">
        <f t="shared" ref="BT331:BU331" si="1951">+BT315 + (BT318+BT321) *BT315/BT310</f>
        <v>-0.5445970932356673</v>
      </c>
      <c r="BU331" s="420">
        <f t="shared" si="1951"/>
        <v>-0.54477682564066909</v>
      </c>
      <c r="BV331" s="323">
        <f t="shared" ref="BV331" si="1952">+BU331+BT331</f>
        <v>-1.0893739188763365</v>
      </c>
      <c r="BX331" s="420">
        <f t="shared" ref="BX331:BY331" si="1953">+BX315 + (BX318+BX321) *BX315/BX310</f>
        <v>-0.55550967452608235</v>
      </c>
      <c r="BY331" s="420">
        <f t="shared" si="1953"/>
        <v>-0.55569146782173651</v>
      </c>
      <c r="BZ331" s="323">
        <f t="shared" ref="BZ331" si="1954">+BY331+BX331</f>
        <v>-1.1112011423478187</v>
      </c>
    </row>
    <row r="332" spans="1:78" s="135" customFormat="1">
      <c r="A332" s="134"/>
      <c r="B332" s="314" t="s">
        <v>367</v>
      </c>
      <c r="D332" s="315"/>
      <c r="E332" s="315"/>
      <c r="F332" s="315">
        <f>+F331/50.146</f>
        <v>-1.7027519642643506E-2</v>
      </c>
      <c r="G332" s="133"/>
      <c r="H332" s="315">
        <f>+H331/D327</f>
        <v>-7.1643454038997176E-2</v>
      </c>
      <c r="I332" s="315">
        <f>+I331/E327</f>
        <v>5.4728429776528101E-2</v>
      </c>
      <c r="J332" s="315">
        <f>+J331/F327</f>
        <v>1.0882381366579732E-2</v>
      </c>
      <c r="K332" s="133"/>
      <c r="L332" s="315">
        <f>+L331/H327</f>
        <v>-0.13698017519594294</v>
      </c>
      <c r="M332" s="315">
        <f>+M331/I327</f>
        <v>-0.20366133561225722</v>
      </c>
      <c r="N332" s="315">
        <f>+N331/J327</f>
        <v>-0.18057386862479041</v>
      </c>
      <c r="O332" s="133"/>
      <c r="P332" s="315">
        <f>+P331/L327</f>
        <v>-6.3537653239929923E-2</v>
      </c>
      <c r="Q332" s="315">
        <f>+Q331/M327</f>
        <v>6.3249035576510862E-2</v>
      </c>
      <c r="R332" s="315">
        <f>+R331/N327</f>
        <v>2.158273381294961E-2</v>
      </c>
      <c r="S332" s="133"/>
      <c r="T332" s="315">
        <f>+T331/P327</f>
        <v>5.8823529411764705E-2</v>
      </c>
      <c r="U332" s="315">
        <f>+U331/Q327</f>
        <v>-9.6153846153846124E-3</v>
      </c>
      <c r="V332" s="315">
        <f>+V331/R327</f>
        <v>1.2903225806451613E-2</v>
      </c>
      <c r="W332" s="133"/>
      <c r="X332" s="315">
        <f>+X331/T327</f>
        <v>-1.8181818181818184E-2</v>
      </c>
      <c r="Y332" s="315">
        <f>+Y331/U327</f>
        <v>0.10666666666666666</v>
      </c>
      <c r="Z332" s="315">
        <f>+Z331/V327</f>
        <v>5.3846153846153842E-2</v>
      </c>
      <c r="AA332" s="133"/>
      <c r="AB332" s="315">
        <f>+AB331/X327</f>
        <v>0.46938775510204073</v>
      </c>
      <c r="AC332" s="315">
        <f>+AC331/Y327</f>
        <v>2.4242424242424263E-2</v>
      </c>
      <c r="AD332" s="315">
        <f>+AD331/Z327</f>
        <v>0.17162162162162162</v>
      </c>
      <c r="AE332" s="133"/>
      <c r="AF332" s="315">
        <f>+AF331/AB327</f>
        <v>0.37078651685393255</v>
      </c>
      <c r="AG332" s="315">
        <f>+AG331/AC327</f>
        <v>0.41007194244604317</v>
      </c>
      <c r="AH332" s="315">
        <f>+AH331/AD327</f>
        <v>0.39473684210526316</v>
      </c>
      <c r="AI332" s="133"/>
      <c r="AJ332" s="384">
        <v>0.21199999999999999</v>
      </c>
      <c r="AK332" s="315">
        <f>+AK331/AG327</f>
        <v>0.13157894736842105</v>
      </c>
      <c r="AL332" s="374">
        <f>+AL331/AH327</f>
        <v>0.15669515669515668</v>
      </c>
      <c r="AM332" s="133"/>
      <c r="AN332" s="393">
        <v>0.34200000000000003</v>
      </c>
      <c r="AO332" s="315">
        <f>+AO331/AK327</f>
        <v>0.23644543693146364</v>
      </c>
      <c r="AP332" s="374">
        <f>+AP331/AL327</f>
        <v>0.2547379451139094</v>
      </c>
      <c r="AQ332" s="133"/>
      <c r="AR332" s="315">
        <f t="shared" ref="AR332:AT332" si="1955">+AR331/AN327</f>
        <v>-1.4501959043616289E-2</v>
      </c>
      <c r="AS332" s="315">
        <f t="shared" si="1955"/>
        <v>-1.2124223820181249E-2</v>
      </c>
      <c r="AT332" s="315">
        <f t="shared" si="1955"/>
        <v>-1.321071672088976E-2</v>
      </c>
      <c r="AU332" s="133"/>
      <c r="AV332" s="315">
        <f t="shared" ref="AV332:AX332" si="1956">+AV331/AR327</f>
        <v>-1.345800624799735E-2</v>
      </c>
      <c r="AW332" s="315">
        <f t="shared" si="1956"/>
        <v>-1.0945535584021785E-2</v>
      </c>
      <c r="AX332" s="315">
        <f t="shared" si="1956"/>
        <v>-1.2072209491782688E-2</v>
      </c>
      <c r="AY332" s="133"/>
      <c r="AZ332" s="315">
        <f t="shared" ref="AZ332:BB332" si="1957">+AZ331/AV327</f>
        <v>-1.2905736697541206E-2</v>
      </c>
      <c r="BA332" s="315">
        <f t="shared" si="1957"/>
        <v>-1.0518039456803522E-2</v>
      </c>
      <c r="BB332" s="315">
        <f t="shared" si="1957"/>
        <v>-1.1589991231914039E-2</v>
      </c>
      <c r="BC332" s="133"/>
      <c r="BD332" s="315">
        <f t="shared" ref="BD332:BF332" si="1958">+BD331/AZ327</f>
        <v>-1.2510044896651997E-2</v>
      </c>
      <c r="BE332" s="315">
        <f t="shared" si="1958"/>
        <v>-1.0166394151035358E-2</v>
      </c>
      <c r="BF332" s="315">
        <f t="shared" si="1958"/>
        <v>-1.1216912180351406E-2</v>
      </c>
      <c r="BG332" s="133"/>
      <c r="BH332" s="315">
        <f t="shared" ref="BH332:BJ332" si="1959">+BH331/BD327</f>
        <v>-1.2478115665783674E-2</v>
      </c>
      <c r="BI332" s="315">
        <f t="shared" si="1959"/>
        <v>-1.0103025219932095E-2</v>
      </c>
      <c r="BJ332" s="315">
        <f t="shared" si="1959"/>
        <v>-1.1165465842104549E-2</v>
      </c>
      <c r="BK332" s="133"/>
      <c r="BL332" s="315">
        <f t="shared" ref="BL332:BN332" si="1960">+BL331/BH327</f>
        <v>-1.2444566213061416E-2</v>
      </c>
      <c r="BM332" s="315">
        <f t="shared" si="1960"/>
        <v>-1.0038567152503522E-2</v>
      </c>
      <c r="BN332" s="315">
        <f t="shared" si="1960"/>
        <v>-1.1112630161246759E-2</v>
      </c>
      <c r="BO332" s="133"/>
      <c r="BP332" s="315">
        <f t="shared" ref="BP332:BR332" si="1961">+BP331/BL327</f>
        <v>-1.2409411838616264E-2</v>
      </c>
      <c r="BQ332" s="315">
        <f t="shared" si="1961"/>
        <v>-9.9730529296345165E-3</v>
      </c>
      <c r="BR332" s="315">
        <f t="shared" si="1961"/>
        <v>-1.1058431840792823E-2</v>
      </c>
      <c r="BS332" s="133"/>
      <c r="BT332" s="315">
        <f t="shared" ref="BT332" si="1962">+BT331/BP327</f>
        <v>-1.2372668511472569E-2</v>
      </c>
      <c r="BU332" s="315">
        <f t="shared" ref="BU332" si="1963">+BU331/BQ327</f>
        <v>-9.906515780496835E-3</v>
      </c>
      <c r="BV332" s="315">
        <f t="shared" ref="BV332" si="1964">+BV331/BR327</f>
        <v>-1.1002898113705622E-2</v>
      </c>
      <c r="BW332" s="133"/>
      <c r="BX332" s="315">
        <f t="shared" ref="BX332" si="1965">+BX331/BT327</f>
        <v>-1.2334352858597058E-2</v>
      </c>
      <c r="BY332" s="315">
        <f t="shared" ref="BY332" si="1966">+BY331/BU327</f>
        <v>-9.8389891517775309E-3</v>
      </c>
      <c r="BZ332" s="315">
        <f t="shared" ref="BZ332" si="1967">+BZ331/BV327</f>
        <v>-1.0946056718571122E-2</v>
      </c>
    </row>
    <row r="333" spans="1:78" s="135" customFormat="1">
      <c r="A333" s="134"/>
      <c r="B333" s="386" t="s">
        <v>363</v>
      </c>
      <c r="D333" s="323"/>
      <c r="E333" s="323"/>
      <c r="F333" s="313">
        <f>F329+F331+13.162</f>
        <v>10.347</v>
      </c>
      <c r="G333" s="133"/>
      <c r="H333" s="323">
        <f>+D327+H329+H331</f>
        <v>4.3380000000000001</v>
      </c>
      <c r="I333" s="323">
        <f>+J333-H333</f>
        <v>8.1909999999999989</v>
      </c>
      <c r="J333" s="323">
        <f>+F327+J329+J331</f>
        <v>12.529</v>
      </c>
      <c r="K333" s="133"/>
      <c r="L333" s="323">
        <f>+H327+L329+L331</f>
        <v>4.5679999999999996</v>
      </c>
      <c r="M333" s="323">
        <f>+N333-L333</f>
        <v>9.3320000000000025</v>
      </c>
      <c r="N333" s="323">
        <f>+J327+N329+N331</f>
        <v>13.900000000000002</v>
      </c>
      <c r="O333" s="133"/>
      <c r="P333" s="323">
        <f>+L327+P329+P331</f>
        <v>5.0999999999999996</v>
      </c>
      <c r="Q333" s="323">
        <f>+R333-P333</f>
        <v>10.4</v>
      </c>
      <c r="R333" s="323">
        <f>+N327+R329+R331</f>
        <v>15.5</v>
      </c>
      <c r="S333" s="133"/>
      <c r="T333" s="323">
        <f>+P327+T329+T331</f>
        <v>5.8999999999999995</v>
      </c>
      <c r="U333" s="323">
        <f>+V333-T333</f>
        <v>7.7</v>
      </c>
      <c r="V333" s="323">
        <f>+R327+V329+V331</f>
        <v>13.6</v>
      </c>
      <c r="W333" s="133"/>
      <c r="X333" s="323">
        <f>+T327+X329+X331</f>
        <v>5.3000000000000007</v>
      </c>
      <c r="Y333" s="323">
        <f>+Z333-X333</f>
        <v>10.7</v>
      </c>
      <c r="Z333" s="323">
        <f>+V327+Z329+Z331</f>
        <v>16</v>
      </c>
      <c r="AA333" s="133"/>
      <c r="AB333" s="323">
        <f>+X327+AB329+AB331</f>
        <v>8.9</v>
      </c>
      <c r="AC333" s="323">
        <f>+AD333-AB333</f>
        <v>13.88</v>
      </c>
      <c r="AD333" s="323">
        <f>+Z327+AD329+AD331</f>
        <v>22.78</v>
      </c>
      <c r="AE333" s="133"/>
      <c r="AF333" s="323">
        <f>+AB327+AF329+AF331</f>
        <v>12.3</v>
      </c>
      <c r="AG333" s="323">
        <f>+AH333-AF333</f>
        <v>22.8</v>
      </c>
      <c r="AH333" s="323">
        <f>+AD327+AH329+AH331</f>
        <v>35.1</v>
      </c>
      <c r="AI333" s="133"/>
      <c r="AJ333" s="323">
        <f>+AF327+AJ329+AJ331</f>
        <v>20.700000000000003</v>
      </c>
      <c r="AK333" s="323">
        <f>+AL333-AJ333</f>
        <v>30.200000000000003</v>
      </c>
      <c r="AL333" s="323">
        <f>+AH327+AL329+AL331</f>
        <v>50.900000000000006</v>
      </c>
      <c r="AM333" s="133"/>
      <c r="AN333" s="232">
        <f>+AJ327+AN329+AN331</f>
        <v>35.5</v>
      </c>
      <c r="AO333" s="323">
        <f>+AP333-AN333</f>
        <v>39.551000000000002</v>
      </c>
      <c r="AP333" s="323">
        <f>+AL327+AP329+AP331</f>
        <v>75.051000000000002</v>
      </c>
      <c r="AQ333" s="133"/>
      <c r="AR333" s="323">
        <f t="shared" ref="AR333" si="1968">+AN327+AR329+AR331</f>
        <v>35.921150853749999</v>
      </c>
      <c r="AS333" s="323">
        <f t="shared" ref="AS333" si="1969">+AT333-AR333</f>
        <v>44.182628167500006</v>
      </c>
      <c r="AT333" s="323">
        <f t="shared" ref="AT333" si="1970">+AP327+AT329+AT331</f>
        <v>80.103779021250006</v>
      </c>
      <c r="AU333" s="133"/>
      <c r="AV333" s="323">
        <f t="shared" ref="AV333" si="1971">+AR327+AV329+AV331</f>
        <v>38.212616327647936</v>
      </c>
      <c r="AW333" s="323">
        <f t="shared" ref="AW333" si="1972">+AX333-AV333</f>
        <v>46.903300904250003</v>
      </c>
      <c r="AX333" s="323">
        <f t="shared" ref="AX333" si="1973">+AT327+AX329+AX331</f>
        <v>85.115917231897939</v>
      </c>
      <c r="AY333" s="133"/>
      <c r="AZ333" s="323">
        <f t="shared" ref="AZ333" si="1974">+AV327+AZ329+AZ331</f>
        <v>40.211328474387749</v>
      </c>
      <c r="BA333" s="323">
        <f t="shared" ref="BA333" si="1975">+BB333-AZ333</f>
        <v>49.498040933190474</v>
      </c>
      <c r="BB333" s="323">
        <f t="shared" ref="BB333" si="1976">+AX327+BB329+BB331</f>
        <v>89.709369407578222</v>
      </c>
      <c r="BC333" s="133"/>
      <c r="BD333" s="323">
        <f t="shared" ref="BD333" si="1977">+AZ327+BD329+BD331</f>
        <v>41.122140549840609</v>
      </c>
      <c r="BE333" s="323">
        <f t="shared" ref="BE333" si="1978">+BF333-BD333</f>
        <v>50.806576306995439</v>
      </c>
      <c r="BF333" s="323">
        <f t="shared" ref="BF333" si="1979">+BB327+BF329+BF331</f>
        <v>91.928716856836047</v>
      </c>
      <c r="BG333" s="133"/>
      <c r="BH333" s="323">
        <f t="shared" ref="BH333" si="1980">+BD327+BH329+BH331</f>
        <v>42.059306222561119</v>
      </c>
      <c r="BI333" s="323">
        <f t="shared" ref="BI333" si="1981">+BJ333-BH333</f>
        <v>52.157374210002146</v>
      </c>
      <c r="BJ333" s="323">
        <f t="shared" ref="BJ333" si="1982">+BF327+BJ329+BJ331</f>
        <v>94.216680432563265</v>
      </c>
      <c r="BK333" s="133"/>
      <c r="BL333" s="323">
        <f t="shared" ref="BL333" si="1983">+BH327+BL329+BL331</f>
        <v>43.02367805872499</v>
      </c>
      <c r="BM333" s="323">
        <f t="shared" ref="BM333" si="1984">+BN333-BL333</f>
        <v>53.551923565663664</v>
      </c>
      <c r="BN333" s="323">
        <f t="shared" ref="BN333" si="1985">+BJ327+BN329+BN331</f>
        <v>96.575601624388653</v>
      </c>
      <c r="BO333" s="133"/>
      <c r="BP333" s="323">
        <f t="shared" ref="BP333" si="1986">+BL327+BP329+BP331</f>
        <v>44.016138695600638</v>
      </c>
      <c r="BQ333" s="323">
        <f t="shared" ref="BQ333" si="1987">+BR333-BP333</f>
        <v>54.991768822816859</v>
      </c>
      <c r="BR333" s="323">
        <f t="shared" ref="BR333" si="1988">+BN327+BR329+BR331</f>
        <v>99.007907518417497</v>
      </c>
      <c r="BS333" s="133"/>
      <c r="BT333" s="323">
        <f t="shared" ref="BT333" si="1989">+BP327+BT329+BT331</f>
        <v>45.037601963761844</v>
      </c>
      <c r="BU333" s="323">
        <f t="shared" ref="BU333:BU335" si="1990">+BV333-BT333</f>
        <v>56.478512096066723</v>
      </c>
      <c r="BV333" s="323">
        <f t="shared" ref="BV333" si="1991">+BR327+BV329+BV331</f>
        <v>101.51611405982857</v>
      </c>
      <c r="BW333" s="133"/>
      <c r="BX333" s="323">
        <f t="shared" ref="BX333" si="1992">+BT327+BX329+BX331</f>
        <v>46.08901405257626</v>
      </c>
      <c r="BY333" s="323">
        <f t="shared" ref="BY333:BY335" si="1993">+BZ333-BX333</f>
        <v>58.013815390173335</v>
      </c>
      <c r="BZ333" s="323">
        <f t="shared" ref="BZ333" si="1994">+BV327+BZ329+BZ331</f>
        <v>104.1028294427496</v>
      </c>
    </row>
    <row r="334" spans="1:78" s="135" customFormat="1">
      <c r="A334" s="134"/>
      <c r="B334" s="385" t="s">
        <v>368</v>
      </c>
      <c r="D334" s="313"/>
      <c r="E334" s="323"/>
      <c r="F334" s="313">
        <v>0</v>
      </c>
      <c r="G334" s="133"/>
      <c r="H334" s="313">
        <v>0</v>
      </c>
      <c r="I334" s="323">
        <f>+J334-H334</f>
        <v>0</v>
      </c>
      <c r="J334" s="313">
        <v>0</v>
      </c>
      <c r="K334" s="133"/>
      <c r="L334" s="313">
        <v>0</v>
      </c>
      <c r="M334" s="323">
        <f>+N334-L334</f>
        <v>0</v>
      </c>
      <c r="N334" s="313">
        <v>0</v>
      </c>
      <c r="O334" s="133"/>
      <c r="P334" s="313">
        <v>0</v>
      </c>
      <c r="Q334" s="323">
        <f>+R334-P334</f>
        <v>0</v>
      </c>
      <c r="R334" s="313">
        <v>0</v>
      </c>
      <c r="S334" s="133"/>
      <c r="T334" s="313">
        <v>-0.4</v>
      </c>
      <c r="U334" s="323">
        <f>+V334-T334</f>
        <v>-0.19999999999999996</v>
      </c>
      <c r="V334" s="392">
        <v>-0.6</v>
      </c>
      <c r="W334" s="133"/>
      <c r="X334" s="392">
        <v>-0.4</v>
      </c>
      <c r="Y334" s="323">
        <f>+Z334-X334</f>
        <v>-0.80000000000000016</v>
      </c>
      <c r="Z334" s="313">
        <f>-0.4-0.8</f>
        <v>-1.2000000000000002</v>
      </c>
      <c r="AA334" s="133"/>
      <c r="AB334" s="313">
        <v>0</v>
      </c>
      <c r="AC334" s="323">
        <f>+AD334-AB334</f>
        <v>0</v>
      </c>
      <c r="AD334" s="313">
        <v>0</v>
      </c>
      <c r="AE334" s="133"/>
      <c r="AF334" s="313">
        <v>0</v>
      </c>
      <c r="AG334" s="323">
        <f>+AH334-AF334</f>
        <v>0</v>
      </c>
      <c r="AH334" s="343">
        <v>0</v>
      </c>
      <c r="AI334" s="133"/>
      <c r="AJ334" s="343">
        <f>-0.5+4.7</f>
        <v>4.2</v>
      </c>
      <c r="AK334" s="323">
        <f>+AL334-AJ334</f>
        <v>0.29999999999999982</v>
      </c>
      <c r="AL334" s="343">
        <f>6.5-2</f>
        <v>4.5</v>
      </c>
      <c r="AM334" s="133"/>
      <c r="AN334" s="313">
        <f>2.1-4.7</f>
        <v>-2.6</v>
      </c>
      <c r="AO334" s="323">
        <f>+AP334-AN334</f>
        <v>-0.5</v>
      </c>
      <c r="AP334" s="913">
        <f>3.4-6.5</f>
        <v>-3.1</v>
      </c>
      <c r="AQ334" s="133"/>
      <c r="AR334" s="313">
        <v>0</v>
      </c>
      <c r="AS334" s="323">
        <f t="shared" ref="AS334" si="1995">+AT334-AR334</f>
        <v>0</v>
      </c>
      <c r="AT334" s="313">
        <v>0</v>
      </c>
      <c r="AU334" s="133"/>
      <c r="AV334" s="313">
        <v>0</v>
      </c>
      <c r="AW334" s="323">
        <f t="shared" ref="AW334" si="1996">+AX334-AV334</f>
        <v>0</v>
      </c>
      <c r="AX334" s="313">
        <v>0</v>
      </c>
      <c r="AY334" s="133"/>
      <c r="AZ334" s="313">
        <v>0</v>
      </c>
      <c r="BA334" s="323">
        <f t="shared" ref="BA334" si="1997">+BB334-AZ334</f>
        <v>0</v>
      </c>
      <c r="BB334" s="313">
        <v>0</v>
      </c>
      <c r="BC334" s="133"/>
      <c r="BD334" s="313">
        <v>0</v>
      </c>
      <c r="BE334" s="323">
        <f t="shared" ref="BE334" si="1998">+BF334-BD334</f>
        <v>0</v>
      </c>
      <c r="BF334" s="313">
        <v>0</v>
      </c>
      <c r="BG334" s="133"/>
      <c r="BH334" s="313">
        <v>0</v>
      </c>
      <c r="BI334" s="323">
        <f t="shared" ref="BI334" si="1999">+BJ334-BH334</f>
        <v>0</v>
      </c>
      <c r="BJ334" s="313">
        <v>0</v>
      </c>
      <c r="BK334" s="133"/>
      <c r="BL334" s="313">
        <v>0</v>
      </c>
      <c r="BM334" s="323">
        <f t="shared" ref="BM334" si="2000">+BN334-BL334</f>
        <v>0</v>
      </c>
      <c r="BN334" s="313">
        <v>0</v>
      </c>
      <c r="BO334" s="133"/>
      <c r="BP334" s="313">
        <v>0</v>
      </c>
      <c r="BQ334" s="323">
        <f t="shared" ref="BQ334" si="2001">+BR334-BP334</f>
        <v>0</v>
      </c>
      <c r="BR334" s="313">
        <v>0</v>
      </c>
      <c r="BS334" s="133"/>
      <c r="BT334" s="313">
        <v>0</v>
      </c>
      <c r="BU334" s="323">
        <f t="shared" si="1990"/>
        <v>0</v>
      </c>
      <c r="BV334" s="313">
        <v>0</v>
      </c>
      <c r="BW334" s="133"/>
      <c r="BX334" s="313">
        <v>0</v>
      </c>
      <c r="BY334" s="323">
        <f t="shared" si="1993"/>
        <v>0</v>
      </c>
      <c r="BZ334" s="313">
        <v>0</v>
      </c>
    </row>
    <row r="335" spans="1:78" s="135" customFormat="1">
      <c r="A335" s="134"/>
      <c r="B335" s="386" t="s">
        <v>373</v>
      </c>
      <c r="D335" s="323"/>
      <c r="E335" s="323"/>
      <c r="F335" s="323">
        <f>+F333+F334</f>
        <v>10.347</v>
      </c>
      <c r="G335" s="133"/>
      <c r="H335" s="323">
        <f>+H333+H334</f>
        <v>4.3380000000000001</v>
      </c>
      <c r="I335" s="323">
        <f>+J335-H335</f>
        <v>8.1909999999999989</v>
      </c>
      <c r="J335" s="323">
        <f>+J333+J334</f>
        <v>12.529</v>
      </c>
      <c r="K335" s="489">
        <f>+J335-J327</f>
        <v>0</v>
      </c>
      <c r="L335" s="323">
        <f>+L333+L334</f>
        <v>4.5679999999999996</v>
      </c>
      <c r="M335" s="323">
        <f>+N335-L335</f>
        <v>9.3320000000000025</v>
      </c>
      <c r="N335" s="323">
        <f>+N333+N334</f>
        <v>13.900000000000002</v>
      </c>
      <c r="O335" s="489">
        <f>+N335-N327</f>
        <v>0</v>
      </c>
      <c r="P335" s="323">
        <f>+P333+P334</f>
        <v>5.0999999999999996</v>
      </c>
      <c r="Q335" s="323">
        <f>+R335-P335</f>
        <v>10.4</v>
      </c>
      <c r="R335" s="323">
        <f>+R333+R334</f>
        <v>15.5</v>
      </c>
      <c r="S335" s="489">
        <f>+R335-R327</f>
        <v>0</v>
      </c>
      <c r="T335" s="323">
        <f>+T333+T334</f>
        <v>5.4999999999999991</v>
      </c>
      <c r="U335" s="323">
        <f>+V335-T335</f>
        <v>7.5000000000000009</v>
      </c>
      <c r="V335" s="323">
        <f>+V333+V334</f>
        <v>13</v>
      </c>
      <c r="W335" s="489">
        <f>+V335-V327</f>
        <v>0</v>
      </c>
      <c r="X335" s="323">
        <f>+X333+X334</f>
        <v>4.9000000000000004</v>
      </c>
      <c r="Y335" s="323">
        <f>+Z335-X335</f>
        <v>9.9</v>
      </c>
      <c r="Z335" s="323">
        <f>+Z333+Z334</f>
        <v>14.8</v>
      </c>
      <c r="AA335" s="489">
        <f>+Z335-Z327</f>
        <v>0</v>
      </c>
      <c r="AB335" s="323">
        <f>+AB333+AB334</f>
        <v>8.9</v>
      </c>
      <c r="AC335" s="323">
        <f>+AD335-AB335</f>
        <v>13.88</v>
      </c>
      <c r="AD335" s="323">
        <f>+AD333+AD334</f>
        <v>22.78</v>
      </c>
      <c r="AE335" s="489">
        <f>+AD335-AD327</f>
        <v>-1.9999999999999574E-2</v>
      </c>
      <c r="AF335" s="323">
        <f>+AF333+AF334</f>
        <v>12.3</v>
      </c>
      <c r="AG335" s="323">
        <f>+AH335-AF335</f>
        <v>22.8</v>
      </c>
      <c r="AH335" s="323">
        <f>+AH333+AH334</f>
        <v>35.1</v>
      </c>
      <c r="AI335" s="489">
        <f>+AH335-AH327</f>
        <v>0</v>
      </c>
      <c r="AJ335" s="323">
        <f>+AJ333+AJ334</f>
        <v>24.900000000000002</v>
      </c>
      <c r="AK335" s="323">
        <f>+AL335-AJ335</f>
        <v>30.500000000000004</v>
      </c>
      <c r="AL335" s="323">
        <f>+AL333+AL334</f>
        <v>55.400000000000006</v>
      </c>
      <c r="AM335" s="489">
        <f>+AL335-AL327</f>
        <v>4.9000000000006594E-2</v>
      </c>
      <c r="AN335" s="232">
        <f>+AN333+AN334</f>
        <v>32.9</v>
      </c>
      <c r="AO335" s="323">
        <f>+AP335-AN335</f>
        <v>39.051000000000009</v>
      </c>
      <c r="AP335" s="323">
        <f>+AP333+AP334</f>
        <v>71.951000000000008</v>
      </c>
      <c r="AQ335" s="489">
        <f t="shared" ref="AQ335" si="2002">+AP335-AP327</f>
        <v>-4.8999999999992383E-2</v>
      </c>
      <c r="AR335" s="323">
        <f t="shared" ref="AR335" si="2003">+AR333+AR334</f>
        <v>35.921150853749999</v>
      </c>
      <c r="AS335" s="323">
        <f t="shared" ref="AS335" si="2004">+AT335-AR335</f>
        <v>44.182628167500006</v>
      </c>
      <c r="AT335" s="323">
        <f t="shared" ref="AT335" si="2005">+AT333+AT334</f>
        <v>80.103779021250006</v>
      </c>
      <c r="AU335" s="489">
        <f t="shared" ref="AU335" si="2006">+AT335-AT327</f>
        <v>0</v>
      </c>
      <c r="AV335" s="323">
        <f t="shared" ref="AV335" si="2007">+AV333+AV334</f>
        <v>38.212616327647936</v>
      </c>
      <c r="AW335" s="323">
        <f t="shared" ref="AW335" si="2008">+AX335-AV335</f>
        <v>46.903300904250003</v>
      </c>
      <c r="AX335" s="323">
        <f t="shared" ref="AX335" si="2009">+AX333+AX334</f>
        <v>85.115917231897939</v>
      </c>
      <c r="AY335" s="489">
        <f t="shared" ref="AY335" si="2010">+AX335-AX327</f>
        <v>0</v>
      </c>
      <c r="AZ335" s="323">
        <f t="shared" ref="AZ335" si="2011">+AZ333+AZ334</f>
        <v>40.211328474387749</v>
      </c>
      <c r="BA335" s="323">
        <f t="shared" ref="BA335" si="2012">+BB335-AZ335</f>
        <v>49.498040933190474</v>
      </c>
      <c r="BB335" s="323">
        <f t="shared" ref="BB335" si="2013">+BB333+BB334</f>
        <v>89.709369407578222</v>
      </c>
      <c r="BC335" s="489">
        <f t="shared" ref="BC335" si="2014">+BB335-BB327</f>
        <v>0</v>
      </c>
      <c r="BD335" s="323">
        <f t="shared" ref="BD335" si="2015">+BD333+BD334</f>
        <v>41.122140549840609</v>
      </c>
      <c r="BE335" s="323">
        <f t="shared" ref="BE335" si="2016">+BF335-BD335</f>
        <v>50.806576306995439</v>
      </c>
      <c r="BF335" s="323">
        <f t="shared" ref="BF335" si="2017">+BF333+BF334</f>
        <v>91.928716856836047</v>
      </c>
      <c r="BG335" s="489">
        <f t="shared" ref="BG335" si="2018">+BF335-BF327</f>
        <v>0</v>
      </c>
      <c r="BH335" s="323">
        <f t="shared" ref="BH335" si="2019">+BH333+BH334</f>
        <v>42.059306222561119</v>
      </c>
      <c r="BI335" s="323">
        <f t="shared" ref="BI335" si="2020">+BJ335-BH335</f>
        <v>52.157374210002146</v>
      </c>
      <c r="BJ335" s="323">
        <f t="shared" ref="BJ335" si="2021">+BJ333+BJ334</f>
        <v>94.216680432563265</v>
      </c>
      <c r="BK335" s="489">
        <f t="shared" ref="BK335" si="2022">+BJ335-BJ327</f>
        <v>0</v>
      </c>
      <c r="BL335" s="323">
        <f t="shared" ref="BL335" si="2023">+BL333+BL334</f>
        <v>43.02367805872499</v>
      </c>
      <c r="BM335" s="323">
        <f t="shared" ref="BM335" si="2024">+BN335-BL335</f>
        <v>53.551923565663664</v>
      </c>
      <c r="BN335" s="323">
        <f t="shared" ref="BN335" si="2025">+BN333+BN334</f>
        <v>96.575601624388653</v>
      </c>
      <c r="BO335" s="489">
        <f t="shared" ref="BO335" si="2026">+BN335-BN327</f>
        <v>0</v>
      </c>
      <c r="BP335" s="323">
        <f t="shared" ref="BP335" si="2027">+BP333+BP334</f>
        <v>44.016138695600638</v>
      </c>
      <c r="BQ335" s="323">
        <f t="shared" ref="BQ335" si="2028">+BR335-BP335</f>
        <v>54.991768822816859</v>
      </c>
      <c r="BR335" s="323">
        <f t="shared" ref="BR335" si="2029">+BR333+BR334</f>
        <v>99.007907518417497</v>
      </c>
      <c r="BS335" s="489">
        <f t="shared" ref="BS335" si="2030">+BR335-BR327</f>
        <v>0</v>
      </c>
      <c r="BT335" s="323">
        <f t="shared" ref="BT335" si="2031">+BT333+BT334</f>
        <v>45.037601963761844</v>
      </c>
      <c r="BU335" s="323">
        <f t="shared" si="1990"/>
        <v>56.478512096066723</v>
      </c>
      <c r="BV335" s="323">
        <f t="shared" ref="BV335" si="2032">+BV333+BV334</f>
        <v>101.51611405982857</v>
      </c>
      <c r="BW335" s="489">
        <f t="shared" ref="BW335" si="2033">+BV335-BV327</f>
        <v>0</v>
      </c>
      <c r="BX335" s="323">
        <f t="shared" ref="BX335" si="2034">+BX333+BX334</f>
        <v>46.08901405257626</v>
      </c>
      <c r="BY335" s="323">
        <f t="shared" si="1993"/>
        <v>58.013815390173335</v>
      </c>
      <c r="BZ335" s="323">
        <f t="shared" ref="BZ335" si="2035">+BZ333+BZ334</f>
        <v>104.1028294427496</v>
      </c>
    </row>
    <row r="336" spans="1:78" s="346" customFormat="1">
      <c r="B336" s="345" t="s">
        <v>107</v>
      </c>
      <c r="D336" s="347"/>
      <c r="E336" s="347"/>
      <c r="F336" s="347">
        <f>+F335-F322</f>
        <v>0</v>
      </c>
      <c r="H336" s="347">
        <f>+H335-H322</f>
        <v>0</v>
      </c>
      <c r="I336" s="347">
        <f>+I335-I322</f>
        <v>0</v>
      </c>
      <c r="J336" s="347">
        <f>+J335-J322</f>
        <v>0</v>
      </c>
      <c r="L336" s="347">
        <f>+L335-L322</f>
        <v>0</v>
      </c>
      <c r="M336" s="347">
        <f>+M335-M322</f>
        <v>0</v>
      </c>
      <c r="N336" s="347">
        <f>+N335-N322</f>
        <v>0</v>
      </c>
      <c r="P336" s="347">
        <f>+P335-P322</f>
        <v>0</v>
      </c>
      <c r="Q336" s="347">
        <f>+Q335-Q322</f>
        <v>0</v>
      </c>
      <c r="R336" s="347">
        <f>+R335-R322</f>
        <v>0</v>
      </c>
      <c r="T336" s="347">
        <f>+T335-T322</f>
        <v>0</v>
      </c>
      <c r="U336" s="347">
        <f>+U335-U322</f>
        <v>0</v>
      </c>
      <c r="V336" s="347">
        <f>+V335-V322</f>
        <v>0</v>
      </c>
      <c r="X336" s="347">
        <f>+X335-X322</f>
        <v>0</v>
      </c>
      <c r="Y336" s="347">
        <f>+Y335-Y322</f>
        <v>0</v>
      </c>
      <c r="Z336" s="347">
        <f>+Z335-Z322</f>
        <v>0</v>
      </c>
      <c r="AB336" s="347">
        <f>+AB335-AB322</f>
        <v>0</v>
      </c>
      <c r="AC336" s="347">
        <f>+AC335-AC322</f>
        <v>-1.9999999999999574E-2</v>
      </c>
      <c r="AD336" s="347">
        <f>+AD335-AD322</f>
        <v>-1.9999999999999574E-2</v>
      </c>
      <c r="AF336" s="347">
        <f>+AF335-AF322</f>
        <v>0</v>
      </c>
      <c r="AG336" s="347">
        <f>+AG335-AG322</f>
        <v>0</v>
      </c>
      <c r="AH336" s="347">
        <f>+AH335-AH322</f>
        <v>0</v>
      </c>
      <c r="AJ336" s="347">
        <f>+AJ335-AJ322</f>
        <v>0</v>
      </c>
      <c r="AK336" s="347">
        <f>+AK335-AK322</f>
        <v>4.9000000000003041E-2</v>
      </c>
      <c r="AL336" s="347">
        <f>+AL335-AL322</f>
        <v>4.9000000000006594E-2</v>
      </c>
      <c r="AN336" s="347">
        <f>+AN335-AN322</f>
        <v>0</v>
      </c>
      <c r="AO336" s="347">
        <f>+AO335-AO322</f>
        <v>-4.8999999999992383E-2</v>
      </c>
      <c r="AP336" s="347">
        <f>+AP335-AP322</f>
        <v>-4.8999999999992383E-2</v>
      </c>
      <c r="AR336" s="345"/>
      <c r="AS336" s="345"/>
      <c r="AT336" s="345"/>
      <c r="AV336" s="345"/>
      <c r="AW336" s="345"/>
      <c r="AX336" s="345"/>
      <c r="AZ336" s="345"/>
      <c r="BA336" s="345"/>
      <c r="BB336" s="345"/>
      <c r="BD336" s="345"/>
      <c r="BE336" s="345"/>
      <c r="BF336" s="345"/>
      <c r="BH336" s="345"/>
      <c r="BI336" s="345"/>
      <c r="BJ336" s="345"/>
      <c r="BL336" s="345"/>
      <c r="BM336" s="345"/>
      <c r="BN336" s="345"/>
      <c r="BP336" s="345"/>
      <c r="BQ336" s="345"/>
      <c r="BR336" s="345"/>
      <c r="BT336" s="345"/>
      <c r="BU336" s="345"/>
      <c r="BV336" s="345"/>
      <c r="BX336" s="345"/>
      <c r="BY336" s="345"/>
      <c r="BZ336" s="345"/>
    </row>
    <row r="337" spans="1:78" s="232" customFormat="1"/>
    <row r="338" spans="1:78" s="135" customFormat="1">
      <c r="A338" s="134"/>
      <c r="B338" s="150"/>
      <c r="D338" s="315"/>
      <c r="E338" s="315"/>
      <c r="F338" s="315"/>
      <c r="G338" s="133"/>
      <c r="H338" s="315"/>
      <c r="I338" s="315"/>
      <c r="J338" s="315"/>
      <c r="K338" s="133"/>
      <c r="L338" s="315"/>
      <c r="M338" s="315"/>
      <c r="N338" s="315"/>
      <c r="O338" s="133"/>
      <c r="P338" s="315"/>
      <c r="Q338" s="315"/>
      <c r="R338" s="315"/>
      <c r="S338" s="133"/>
      <c r="T338" s="315"/>
      <c r="U338" s="315"/>
      <c r="V338" s="315"/>
      <c r="W338" s="133"/>
      <c r="X338" s="315"/>
      <c r="Y338" s="315"/>
      <c r="Z338" s="315"/>
      <c r="AA338" s="133"/>
      <c r="AB338" s="315"/>
      <c r="AC338" s="315"/>
      <c r="AD338" s="384"/>
      <c r="AE338" s="133"/>
      <c r="AF338" s="384"/>
      <c r="AG338" s="315"/>
      <c r="AH338" s="384"/>
      <c r="AI338" s="133"/>
      <c r="AJ338" s="384"/>
      <c r="AK338" s="315"/>
      <c r="AL338" s="384"/>
      <c r="AM338" s="133"/>
      <c r="AN338" s="384"/>
      <c r="AO338" s="315"/>
      <c r="AP338" s="384"/>
      <c r="AQ338" s="133"/>
      <c r="AR338" s="232"/>
      <c r="AS338" s="232"/>
      <c r="AT338" s="232"/>
      <c r="AU338" s="133"/>
      <c r="AV338" s="232"/>
      <c r="AW338" s="232"/>
      <c r="AX338" s="232"/>
      <c r="AY338" s="133"/>
      <c r="AZ338" s="232"/>
      <c r="BA338" s="232"/>
      <c r="BB338" s="232"/>
      <c r="BC338" s="133"/>
      <c r="BD338" s="232"/>
      <c r="BE338" s="232"/>
      <c r="BF338" s="232"/>
      <c r="BG338" s="133"/>
      <c r="BH338" s="232"/>
      <c r="BI338" s="232"/>
      <c r="BJ338" s="232"/>
      <c r="BK338" s="133"/>
      <c r="BL338" s="232"/>
      <c r="BM338" s="232"/>
      <c r="BN338" s="232"/>
      <c r="BO338" s="133"/>
      <c r="BP338" s="232"/>
      <c r="BQ338" s="232"/>
      <c r="BR338" s="232"/>
      <c r="BS338" s="133"/>
      <c r="BT338" s="232"/>
      <c r="BU338" s="232"/>
      <c r="BV338" s="232"/>
      <c r="BW338" s="133"/>
      <c r="BX338" s="232"/>
      <c r="BY338" s="232"/>
      <c r="BZ338" s="232"/>
    </row>
    <row r="339" spans="1:78" s="685" customFormat="1">
      <c r="B339" s="686" t="s">
        <v>611</v>
      </c>
      <c r="D339" s="687">
        <f>+D302+D306+D318+D321-D322</f>
        <v>0</v>
      </c>
      <c r="E339" s="687">
        <f>+E302+E306+E318+E321-E322</f>
        <v>0</v>
      </c>
      <c r="F339" s="687">
        <f>+F302+F306+F318+F321-F322</f>
        <v>0</v>
      </c>
      <c r="H339" s="687">
        <f>+H302+H306+H318+H321-H322</f>
        <v>0</v>
      </c>
      <c r="I339" s="687">
        <f>+I302+I306+I318+I321-I322</f>
        <v>0</v>
      </c>
      <c r="J339" s="687">
        <f>+J302+J306+J318+J321-J322</f>
        <v>0</v>
      </c>
      <c r="L339" s="687">
        <f>+L302+L306+L318+L321-L322</f>
        <v>0</v>
      </c>
      <c r="M339" s="687">
        <f>+M302+M306+M318+M321-M322</f>
        <v>0</v>
      </c>
      <c r="N339" s="687">
        <f>+N302+N306+N318+N321-N322</f>
        <v>0</v>
      </c>
      <c r="P339" s="687">
        <f>+P302+P306+P318+P321-P322</f>
        <v>0</v>
      </c>
      <c r="Q339" s="687">
        <f>+Q302+Q306+Q318+Q321-Q322</f>
        <v>0</v>
      </c>
      <c r="R339" s="687">
        <f>+R302+R306+R318+R321-R322</f>
        <v>0</v>
      </c>
      <c r="T339" s="687">
        <f>+T302+T306+T318+T321-T322</f>
        <v>0</v>
      </c>
      <c r="U339" s="687">
        <f>+U302+U306+U318+U321-U322</f>
        <v>0</v>
      </c>
      <c r="V339" s="687">
        <f>+V302+V306+V318+V321-V322</f>
        <v>0</v>
      </c>
      <c r="X339" s="687">
        <f>+X302+X306+X318+X321-X322</f>
        <v>0</v>
      </c>
      <c r="Y339" s="687">
        <f>+Y302+Y306+Y318+Y321-Y322</f>
        <v>0</v>
      </c>
      <c r="Z339" s="687">
        <f>+Z302+Z306+Z318+Z321-Z322</f>
        <v>0</v>
      </c>
      <c r="AB339" s="687">
        <f>+AB302+AB306+AB318+AB321-AB322</f>
        <v>0</v>
      </c>
      <c r="AC339" s="687">
        <f>+AC302+AC306+AC318+AC321-AC322</f>
        <v>0</v>
      </c>
      <c r="AD339" s="687">
        <f>+AD302+AD306+AD318+AD321-AD322</f>
        <v>0</v>
      </c>
      <c r="AF339" s="687">
        <f>+AF302+AF306+AF318+AF321-AF322</f>
        <v>0</v>
      </c>
      <c r="AG339" s="687">
        <f>+AG302+AG306+AG318+AG321-AG322</f>
        <v>0</v>
      </c>
      <c r="AH339" s="687">
        <f>+AH302+AH306+AH318+AH321-AH322</f>
        <v>0</v>
      </c>
      <c r="AJ339" s="687">
        <f>+AJ302+AJ306+AJ318+AJ321-AJ322</f>
        <v>0</v>
      </c>
      <c r="AK339" s="687">
        <f>+AK302+AK306+AK318+AK321-AK322</f>
        <v>0</v>
      </c>
      <c r="AL339" s="687">
        <f>+AL302+AL306+AL318+AL321-AL322</f>
        <v>0</v>
      </c>
      <c r="AN339" s="687">
        <f>+AN302+AN306+AN318+AN321-AN322</f>
        <v>0</v>
      </c>
      <c r="AO339" s="687">
        <f>+AO302+AO306+AO318+AO321-AO322</f>
        <v>0</v>
      </c>
      <c r="AP339" s="687">
        <f>+AP302+AP306+AP318+AP321-AP322</f>
        <v>0</v>
      </c>
      <c r="AR339" s="687">
        <f>+AR302+AR306+AR318+AR321-AR322</f>
        <v>0</v>
      </c>
      <c r="AS339" s="687">
        <f>+AS302+AS306+AS318+AS321-AS322</f>
        <v>0</v>
      </c>
      <c r="AT339" s="687">
        <f>+AT302+AT306+AT318+AT321-AT322</f>
        <v>0</v>
      </c>
      <c r="AV339" s="687">
        <f>+AV302+AV306+AV318+AV321-AV322</f>
        <v>0</v>
      </c>
      <c r="AW339" s="687">
        <f>+AW302+AW306+AW318+AW321-AW322</f>
        <v>0</v>
      </c>
      <c r="AX339" s="687">
        <f>+AX302+AX306+AX318+AX321-AX322</f>
        <v>0</v>
      </c>
      <c r="AZ339" s="687">
        <f>+AZ302+AZ306+AZ318+AZ321-AZ322</f>
        <v>0</v>
      </c>
      <c r="BA339" s="687">
        <f>+BA302+BA306+BA318+BA321-BA322</f>
        <v>0</v>
      </c>
      <c r="BB339" s="687">
        <f>+BB302+BB306+BB318+BB321-BB322</f>
        <v>0</v>
      </c>
      <c r="BD339" s="687">
        <f>+BD302+BD306+BD318+BD321-BD322</f>
        <v>0</v>
      </c>
      <c r="BE339" s="687">
        <f>+BE302+BE306+BE318+BE321-BE322</f>
        <v>0</v>
      </c>
      <c r="BF339" s="687">
        <f>+BF302+BF306+BF318+BF321-BF322</f>
        <v>0</v>
      </c>
      <c r="BH339" s="687">
        <f>+BH302+BH306+BH318+BH321-BH322</f>
        <v>0</v>
      </c>
      <c r="BI339" s="687">
        <f>+BI302+BI306+BI318+BI321-BI322</f>
        <v>0</v>
      </c>
      <c r="BJ339" s="687">
        <f>+BJ302+BJ306+BJ318+BJ321-BJ322</f>
        <v>0</v>
      </c>
      <c r="BL339" s="687">
        <f>+BL302+BL306+BL318+BL321-BL322</f>
        <v>0</v>
      </c>
      <c r="BM339" s="687">
        <f>+BM302+BM306+BM318+BM321-BM322</f>
        <v>0</v>
      </c>
      <c r="BN339" s="687">
        <f>+BN302+BN306+BN318+BN321-BN322</f>
        <v>0</v>
      </c>
      <c r="BP339" s="687">
        <f>+BP302+BP306+BP318+BP321-BP322</f>
        <v>0</v>
      </c>
      <c r="BQ339" s="687">
        <f>+BQ302+BQ306+BQ318+BQ321-BQ322</f>
        <v>0</v>
      </c>
      <c r="BR339" s="687">
        <f>+BR302+BR306+BR318+BR321-BR322</f>
        <v>0</v>
      </c>
      <c r="BT339" s="687">
        <f>+BT302+BT306+BT318+BT321-BT322</f>
        <v>0</v>
      </c>
      <c r="BU339" s="687">
        <f>+BU302+BU306+BU318+BU321-BU322</f>
        <v>0</v>
      </c>
      <c r="BV339" s="687">
        <f>+BV302+BV306+BV318+BV321-BV322</f>
        <v>0</v>
      </c>
      <c r="BX339" s="687">
        <f>+BX302+BX306+BX318+BX321-BX322</f>
        <v>0</v>
      </c>
      <c r="BY339" s="687">
        <f>+BY302+BY306+BY318+BY321-BY322</f>
        <v>0</v>
      </c>
      <c r="BZ339" s="687">
        <f>+BZ302+BZ306+BZ318+BZ321-BZ322</f>
        <v>0</v>
      </c>
    </row>
    <row r="340" spans="1:78">
      <c r="B340" s="141"/>
      <c r="C340" s="138"/>
      <c r="D340" s="138"/>
      <c r="E340" s="138"/>
      <c r="F340" s="138"/>
      <c r="G340" s="153"/>
      <c r="H340" s="138"/>
      <c r="I340" s="138"/>
      <c r="J340" s="138"/>
      <c r="K340" s="153"/>
      <c r="L340" s="138"/>
      <c r="M340" s="138"/>
      <c r="N340" s="138"/>
      <c r="O340" s="153"/>
      <c r="P340" s="138"/>
      <c r="Q340" s="138"/>
      <c r="R340" s="138"/>
      <c r="S340" s="153"/>
      <c r="T340" s="138"/>
      <c r="U340" s="138"/>
      <c r="V340" s="138"/>
      <c r="W340" s="153"/>
      <c r="X340" s="138"/>
      <c r="Y340" s="138"/>
      <c r="Z340" s="138"/>
      <c r="AA340" s="153"/>
      <c r="AB340" s="138"/>
      <c r="AC340" s="138"/>
      <c r="AD340" s="138"/>
      <c r="AE340" s="153"/>
      <c r="AF340" s="138"/>
      <c r="AG340" s="138"/>
      <c r="AH340" s="138"/>
      <c r="AI340" s="153"/>
      <c r="AJ340" s="138"/>
      <c r="AK340" s="138"/>
      <c r="AL340" s="138"/>
      <c r="AM340" s="153"/>
      <c r="AN340" s="138"/>
      <c r="AO340" s="138"/>
      <c r="AP340" s="138"/>
      <c r="AQ340" s="153"/>
      <c r="AR340" s="138"/>
      <c r="AS340" s="138"/>
      <c r="AT340" s="138"/>
      <c r="AU340" s="153"/>
      <c r="AV340" s="138"/>
      <c r="AW340" s="138"/>
      <c r="AX340" s="138"/>
      <c r="AY340" s="153"/>
      <c r="AZ340" s="138"/>
      <c r="BA340" s="138"/>
      <c r="BB340" s="138"/>
      <c r="BC340" s="153"/>
      <c r="BD340" s="138"/>
      <c r="BE340" s="138"/>
      <c r="BF340" s="138"/>
      <c r="BG340" s="153"/>
      <c r="BH340" s="138"/>
      <c r="BI340" s="138"/>
      <c r="BJ340" s="138"/>
      <c r="BK340" s="153"/>
      <c r="BL340" s="138"/>
      <c r="BM340" s="138"/>
      <c r="BN340" s="138"/>
      <c r="BO340" s="153"/>
      <c r="BP340" s="138"/>
      <c r="BQ340" s="138"/>
      <c r="BR340" s="138"/>
      <c r="BS340" s="153"/>
      <c r="BT340" s="138"/>
      <c r="BU340" s="138"/>
      <c r="BV340" s="138"/>
      <c r="BW340" s="153"/>
      <c r="BX340" s="138"/>
      <c r="BY340" s="138"/>
      <c r="BZ340" s="138"/>
    </row>
    <row r="341" spans="1:78" s="229" customFormat="1" ht="15.6">
      <c r="A341" s="228"/>
      <c r="B341" s="576" t="s">
        <v>188</v>
      </c>
    </row>
    <row r="342" spans="1:78">
      <c r="A342" s="133"/>
      <c r="B342" s="280"/>
    </row>
    <row r="343" spans="1:78">
      <c r="A343" s="133"/>
      <c r="B343" s="151" t="s">
        <v>371</v>
      </c>
      <c r="F343" s="393">
        <v>-0.06</v>
      </c>
      <c r="L343" s="393">
        <v>0.05</v>
      </c>
      <c r="M343" s="393">
        <v>0.05</v>
      </c>
      <c r="N343" s="393">
        <v>0.05</v>
      </c>
      <c r="P343" s="393">
        <v>0.05</v>
      </c>
      <c r="Q343" s="393">
        <v>0.05</v>
      </c>
      <c r="R343" s="393">
        <v>0.05</v>
      </c>
      <c r="AL343" s="256"/>
    </row>
    <row r="344" spans="1:78">
      <c r="A344" s="133"/>
      <c r="B344" s="151" t="s">
        <v>325</v>
      </c>
      <c r="C344" s="135"/>
      <c r="D344" s="135"/>
      <c r="E344" s="135"/>
      <c r="F344" s="313">
        <v>520</v>
      </c>
      <c r="G344" s="135"/>
      <c r="H344" s="135"/>
      <c r="I344" s="135"/>
      <c r="K344" s="135"/>
      <c r="L344" s="135"/>
      <c r="M344" s="313">
        <v>625</v>
      </c>
      <c r="N344" s="313">
        <v>625</v>
      </c>
      <c r="O344" s="135"/>
      <c r="P344" s="313">
        <v>675</v>
      </c>
      <c r="Q344" s="313">
        <f>+R344</f>
        <v>700</v>
      </c>
      <c r="R344" s="313">
        <v>700</v>
      </c>
      <c r="S344" s="135"/>
      <c r="T344" s="135"/>
      <c r="U344" s="135"/>
      <c r="V344" s="313">
        <v>770</v>
      </c>
      <c r="W344" s="135"/>
      <c r="X344" s="135"/>
      <c r="Y344" s="805">
        <f>+Z344</f>
        <v>831</v>
      </c>
      <c r="Z344" s="313">
        <v>831</v>
      </c>
      <c r="AA344" s="377"/>
      <c r="AB344" s="135"/>
      <c r="AC344" s="805">
        <f>+AD344</f>
        <v>900</v>
      </c>
      <c r="AD344" s="803">
        <v>900</v>
      </c>
      <c r="AE344" s="804"/>
      <c r="AF344" s="804"/>
      <c r="AG344" s="805">
        <f>+AH344</f>
        <v>1100</v>
      </c>
      <c r="AH344" s="383">
        <v>1100</v>
      </c>
      <c r="AI344" s="804"/>
      <c r="AJ344" s="804"/>
      <c r="AK344" s="805">
        <f>+AL344</f>
        <v>1300</v>
      </c>
      <c r="AL344" s="383">
        <v>1300</v>
      </c>
      <c r="AN344" s="804"/>
      <c r="AO344" s="805">
        <f>+AP344</f>
        <v>1400</v>
      </c>
      <c r="AP344" s="918">
        <v>1400</v>
      </c>
    </row>
    <row r="345" spans="1:78">
      <c r="A345" s="133"/>
      <c r="B345" s="280"/>
      <c r="AL345" s="256"/>
      <c r="AP345" s="256"/>
    </row>
    <row r="346" spans="1:78" ht="14.4" thickBot="1">
      <c r="B346" s="150" t="s">
        <v>177</v>
      </c>
      <c r="D346" s="168"/>
      <c r="E346" s="136"/>
      <c r="F346" s="168"/>
      <c r="H346" s="168"/>
      <c r="I346" s="136"/>
      <c r="J346" s="168"/>
      <c r="L346" s="168"/>
      <c r="M346" s="136">
        <f>N346-L346</f>
        <v>36.6</v>
      </c>
      <c r="N346" s="168">
        <v>36.6</v>
      </c>
      <c r="P346" s="168">
        <v>21.6</v>
      </c>
      <c r="Q346" s="136">
        <f>R346-P346</f>
        <v>24.199999999999996</v>
      </c>
      <c r="R346" s="168">
        <v>45.8</v>
      </c>
      <c r="T346" s="168">
        <v>24.8</v>
      </c>
      <c r="U346" s="136">
        <f>V346-T346</f>
        <v>28.599999999999998</v>
      </c>
      <c r="V346" s="168">
        <v>53.4</v>
      </c>
      <c r="X346" s="168">
        <v>25.1</v>
      </c>
      <c r="Y346" s="136">
        <f>Z346-X346</f>
        <v>28.699999999999996</v>
      </c>
      <c r="Z346" s="168">
        <v>53.8</v>
      </c>
      <c r="AB346" s="168">
        <v>26.1</v>
      </c>
      <c r="AC346" s="136">
        <f>AD346-AB346</f>
        <v>27.4</v>
      </c>
      <c r="AD346" s="168">
        <v>53.5</v>
      </c>
      <c r="AF346" s="264">
        <v>27.5</v>
      </c>
      <c r="AG346" s="136">
        <f>AH346-AF346</f>
        <v>37</v>
      </c>
      <c r="AH346" s="264">
        <v>64.5</v>
      </c>
      <c r="AJ346" s="264">
        <v>37</v>
      </c>
      <c r="AK346" s="136">
        <f>AL346-AJ346</f>
        <v>44.222000000000008</v>
      </c>
      <c r="AL346" s="264">
        <f>81.2+0.022</f>
        <v>81.222000000000008</v>
      </c>
      <c r="AN346" s="168">
        <v>43</v>
      </c>
      <c r="AO346" s="136">
        <f>AP346-AN346</f>
        <v>45.8</v>
      </c>
      <c r="AP346" s="912">
        <v>88.8</v>
      </c>
      <c r="AR346" s="136">
        <f t="shared" ref="AR346:AS346" si="2036">+(AN346+AN354)*(1+AR347)</f>
        <v>47.730000000000004</v>
      </c>
      <c r="AS346" s="136">
        <f t="shared" si="2036"/>
        <v>49.006</v>
      </c>
      <c r="AT346" s="136">
        <f t="shared" ref="AT346" si="2037">+AR346+AS346</f>
        <v>96.736000000000004</v>
      </c>
      <c r="AV346" s="136">
        <f t="shared" ref="AV346:AW346" si="2038">+(AR346+AR354)*(1+AV347)</f>
        <v>49.794805091911769</v>
      </c>
      <c r="AW346" s="136">
        <f t="shared" si="2038"/>
        <v>51.145922249999998</v>
      </c>
      <c r="AX346" s="136">
        <f t="shared" ref="AX346" si="2039">+AV346+AW346</f>
        <v>100.94072734191177</v>
      </c>
      <c r="AZ346" s="136">
        <f t="shared" ref="AZ346" si="2040">+(AV346+AV354)*(1+AZ347)</f>
        <v>51.967960041507361</v>
      </c>
      <c r="BA346" s="136">
        <f t="shared" ref="BA346" si="2041">+(AW346+AW354)*(1+BA347)</f>
        <v>53.395427093750001</v>
      </c>
      <c r="BB346" s="136">
        <f t="shared" ref="BB346" si="2042">+AZ346+BA346</f>
        <v>105.36338713525737</v>
      </c>
      <c r="BD346" s="136">
        <f t="shared" ref="BD346" si="2043">+(AZ346+AZ354)*(1+BD347)</f>
        <v>54.247989159399637</v>
      </c>
      <c r="BE346" s="136">
        <f t="shared" ref="BE346" si="2044">+(BA346+BA354)*(1+BE347)</f>
        <v>55.755551999437508</v>
      </c>
      <c r="BF346" s="136">
        <f t="shared" ref="BF346" si="2045">+BD346+BE346</f>
        <v>110.00354115883715</v>
      </c>
      <c r="BH346" s="136">
        <f t="shared" ref="BH346" si="2046">+(BD346+BD354)*(1+BH347)</f>
        <v>56.635652355502856</v>
      </c>
      <c r="BI346" s="136">
        <f t="shared" ref="BI346" si="2047">+(BE346+BE354)*(1+BI347)</f>
        <v>58.227490221429385</v>
      </c>
      <c r="BJ346" s="136">
        <f t="shared" ref="BJ346" si="2048">+BH346+BI346</f>
        <v>114.86314257693223</v>
      </c>
      <c r="BL346" s="136">
        <f t="shared" ref="BL346" si="2049">+(BH346+BH354)*(1+BL347)</f>
        <v>59.136203986173904</v>
      </c>
      <c r="BM346" s="136">
        <f t="shared" ref="BM346" si="2050">+(BI346+BI354)*(1+BM347)</f>
        <v>60.81670856696126</v>
      </c>
      <c r="BN346" s="136">
        <f t="shared" ref="BN346" si="2051">+BL346+BM346</f>
        <v>119.95291255313516</v>
      </c>
      <c r="BP346" s="136">
        <f t="shared" ref="BP346" si="2052">+(BL346+BL354)*(1+BP347)</f>
        <v>61.755158578636426</v>
      </c>
      <c r="BQ346" s="136">
        <f t="shared" ref="BQ346" si="2053">+(BM346+BM354)*(1+BQ347)</f>
        <v>63.528944706458937</v>
      </c>
      <c r="BR346" s="136">
        <f t="shared" ref="BR346" si="2054">+BP346+BQ346</f>
        <v>125.28410328509537</v>
      </c>
      <c r="BT346" s="136">
        <f t="shared" ref="BT346" si="2055">+(BP346+BP354)*(1+BT347)</f>
        <v>64.498303788585147</v>
      </c>
      <c r="BU346" s="136">
        <f t="shared" ref="BU346" si="2056">+(BQ346+BQ354)*(1+BU347)</f>
        <v>66.370220667154484</v>
      </c>
      <c r="BV346" s="136">
        <f t="shared" ref="BV346" si="2057">+BT346+BU346</f>
        <v>130.86852445573965</v>
      </c>
      <c r="BX346" s="136">
        <f t="shared" ref="BX346" si="2058">+(BT346+BT354)*(1+BX347)</f>
        <v>67.371714004651636</v>
      </c>
      <c r="BY346" s="136">
        <f t="shared" ref="BY346" si="2059">+(BU346+BU354)*(1+BY347)</f>
        <v>69.346857000392262</v>
      </c>
      <c r="BZ346" s="136">
        <f t="shared" ref="BZ346" si="2060">+BX346+BY346</f>
        <v>136.71857100504388</v>
      </c>
    </row>
    <row r="347" spans="1:78" s="220" customFormat="1" ht="14.4" thickBot="1">
      <c r="A347" s="660"/>
      <c r="B347" s="661" t="s">
        <v>602</v>
      </c>
      <c r="X347" s="387">
        <f>+X346/T346-1</f>
        <v>1.2096774193548487E-2</v>
      </c>
      <c r="Y347" s="387">
        <f>+Y346/U346-1</f>
        <v>3.4965034965033226E-3</v>
      </c>
      <c r="Z347" s="387">
        <f>+Z346/V346-1</f>
        <v>7.4906367041198685E-3</v>
      </c>
      <c r="AB347" s="387">
        <f>+AB346/X346-1</f>
        <v>3.9840637450199168E-2</v>
      </c>
      <c r="AC347" s="387">
        <f>+AC346/Y346-1</f>
        <v>-4.5296167247386721E-2</v>
      </c>
      <c r="AD347" s="387">
        <f>+AD346/Z346-1</f>
        <v>-5.5762081784386242E-3</v>
      </c>
      <c r="AF347" s="388">
        <f>+AF346/AB346-1</f>
        <v>5.3639846743295028E-2</v>
      </c>
      <c r="AG347" s="387">
        <f>+AG346/AC346-1</f>
        <v>0.35036496350364965</v>
      </c>
      <c r="AH347" s="387">
        <f>+AH346/AD346-1</f>
        <v>0.20560747663551404</v>
      </c>
      <c r="AJ347" s="388">
        <f>+AJ346/AF346-1</f>
        <v>0.34545454545454546</v>
      </c>
      <c r="AK347" s="387">
        <f>+AK346/AG346-1</f>
        <v>0.19518918918918948</v>
      </c>
      <c r="AL347" s="388">
        <f>+AL346/AH346-1</f>
        <v>0.2592558139534884</v>
      </c>
      <c r="AN347" s="387">
        <f>+AN346/AJ346-1</f>
        <v>0.16216216216216206</v>
      </c>
      <c r="AO347" s="387">
        <f>+AO346/AK346-1</f>
        <v>3.5683596399981754E-2</v>
      </c>
      <c r="AP347" s="388">
        <f>+AP346/AL346-1</f>
        <v>9.3299844869616511E-2</v>
      </c>
      <c r="AR347" s="662">
        <f>+Scenarios!AF26</f>
        <v>0.11</v>
      </c>
      <c r="AS347" s="662">
        <f>+Scenarios!AG26</f>
        <v>7.0000000000000007E-2</v>
      </c>
      <c r="AT347" s="220">
        <f>+AT346/(AP346+AP354)-1</f>
        <v>8.9369369369369345E-2</v>
      </c>
      <c r="AV347" s="662">
        <f>+Scenarios!AJ26</f>
        <v>0.05</v>
      </c>
      <c r="AW347" s="662">
        <f>+Scenarios!AK26</f>
        <v>0.05</v>
      </c>
      <c r="AX347" s="220">
        <f>+AX346/(AT346+AT354)-1</f>
        <v>5.0000000000000044E-2</v>
      </c>
      <c r="AZ347" s="662">
        <f>+Scenarios!AN26</f>
        <v>0.05</v>
      </c>
      <c r="BA347" s="662">
        <f>+Scenarios!AO26</f>
        <v>0.05</v>
      </c>
      <c r="BB347" s="220">
        <f t="shared" ref="BB347" si="2061">+BB346/(AX346+AX354)-1</f>
        <v>5.0000000000000266E-2</v>
      </c>
      <c r="BD347" s="662">
        <f>+Scenarios!AR26</f>
        <v>0.05</v>
      </c>
      <c r="BE347" s="662">
        <f>+Scenarios!AS26</f>
        <v>0.05</v>
      </c>
      <c r="BF347" s="220">
        <f t="shared" ref="BF347" si="2062">+BF346/(BB346+BB354)-1</f>
        <v>5.0000000000000044E-2</v>
      </c>
      <c r="BH347" s="662">
        <f>+Scenarios!AV26</f>
        <v>0.05</v>
      </c>
      <c r="BI347" s="662">
        <f>+Scenarios!AW26</f>
        <v>0.05</v>
      </c>
      <c r="BJ347" s="220">
        <f t="shared" ref="BJ347" si="2063">+BJ346/(BF346+BF354)-1</f>
        <v>4.9999999999999822E-2</v>
      </c>
      <c r="BL347" s="662">
        <f>+Scenarios!AZ26</f>
        <v>0.05</v>
      </c>
      <c r="BM347" s="662">
        <f>+Scenarios!BA26</f>
        <v>0.05</v>
      </c>
      <c r="BN347" s="220">
        <f t="shared" ref="BN347" si="2064">+BN346/(BJ346+BJ354)-1</f>
        <v>5.0000000000000044E-2</v>
      </c>
      <c r="BP347" s="662">
        <f>+Scenarios!BD26</f>
        <v>0.05</v>
      </c>
      <c r="BQ347" s="662">
        <f>+Scenarios!BE26</f>
        <v>0.05</v>
      </c>
      <c r="BR347" s="220">
        <f t="shared" ref="BR347" si="2065">+BR346/(BN346+BN354)-1</f>
        <v>5.0000000000000044E-2</v>
      </c>
      <c r="BT347" s="662">
        <f>+Scenarios!BH26</f>
        <v>0.05</v>
      </c>
      <c r="BU347" s="662">
        <f>+Scenarios!BI26</f>
        <v>0.05</v>
      </c>
      <c r="BV347" s="220">
        <f t="shared" ref="BV347" si="2066">+BV346/(BR346+BR354)-1</f>
        <v>5.0000000000000044E-2</v>
      </c>
      <c r="BX347" s="662">
        <f>+Scenarios!BL26</f>
        <v>0.05</v>
      </c>
      <c r="BY347" s="662">
        <f>+Scenarios!BM26</f>
        <v>0.05</v>
      </c>
      <c r="BZ347" s="220">
        <f t="shared" ref="BZ347" si="2067">+BZ346/(BV346+BV354)-1</f>
        <v>4.9999999999999822E-2</v>
      </c>
    </row>
    <row r="348" spans="1:78">
      <c r="B348" s="150" t="s">
        <v>178</v>
      </c>
      <c r="D348" s="168"/>
      <c r="E348" s="136"/>
      <c r="F348" s="168"/>
      <c r="H348" s="168"/>
      <c r="I348" s="136"/>
      <c r="J348" s="168"/>
      <c r="L348" s="168"/>
      <c r="M348" s="136">
        <f>N348-L348</f>
        <v>3.1</v>
      </c>
      <c r="N348" s="168">
        <v>3.1</v>
      </c>
      <c r="P348" s="168">
        <v>0.7</v>
      </c>
      <c r="Q348" s="136">
        <f>R348-P348</f>
        <v>2.7</v>
      </c>
      <c r="R348" s="168">
        <v>3.4</v>
      </c>
      <c r="T348" s="168">
        <v>2</v>
      </c>
      <c r="U348" s="136">
        <f>V348-T348</f>
        <v>1.7999999999999998</v>
      </c>
      <c r="V348" s="168">
        <v>3.8</v>
      </c>
      <c r="X348" s="168">
        <v>1.9</v>
      </c>
      <c r="Y348" s="136">
        <f>Z348-X348</f>
        <v>1.7000000000000002</v>
      </c>
      <c r="Z348" s="168">
        <v>3.6</v>
      </c>
      <c r="AB348" s="168">
        <v>1.9</v>
      </c>
      <c r="AC348" s="136">
        <f>AD348-AB348</f>
        <v>1.9</v>
      </c>
      <c r="AD348" s="168">
        <v>3.8</v>
      </c>
      <c r="AF348" s="264">
        <v>1.7</v>
      </c>
      <c r="AG348" s="136">
        <f>AH348-AF348</f>
        <v>2.0999999999999996</v>
      </c>
      <c r="AH348" s="264">
        <v>3.8</v>
      </c>
      <c r="AJ348" s="264">
        <v>2.1</v>
      </c>
      <c r="AK348" s="136">
        <f>AL348-AJ348</f>
        <v>1.7999999999999998</v>
      </c>
      <c r="AL348" s="264">
        <v>3.9</v>
      </c>
      <c r="AN348" s="168">
        <v>2.6</v>
      </c>
      <c r="AO348" s="136">
        <f>AP348-AN348</f>
        <v>2.1999999999999997</v>
      </c>
      <c r="AP348" s="912">
        <v>4.8</v>
      </c>
      <c r="AR348" s="321">
        <f t="shared" ref="AR348:AS350" si="2068">+AN348</f>
        <v>2.6</v>
      </c>
      <c r="AS348" s="321">
        <f t="shared" si="2068"/>
        <v>2.1999999999999997</v>
      </c>
      <c r="AT348" s="136">
        <f>+AR348+AS348</f>
        <v>4.8</v>
      </c>
      <c r="AV348" s="321">
        <f t="shared" ref="AV348" si="2069">+AR348</f>
        <v>2.6</v>
      </c>
      <c r="AW348" s="321">
        <f t="shared" ref="AW348" si="2070">+AS348</f>
        <v>2.1999999999999997</v>
      </c>
      <c r="AX348" s="136">
        <f t="shared" ref="AX348" si="2071">+AV348+AW348</f>
        <v>4.8</v>
      </c>
      <c r="AZ348" s="321">
        <f t="shared" ref="AZ348" si="2072">+AV348</f>
        <v>2.6</v>
      </c>
      <c r="BA348" s="321">
        <f t="shared" ref="BA348" si="2073">+AW348</f>
        <v>2.1999999999999997</v>
      </c>
      <c r="BB348" s="136">
        <f t="shared" ref="BB348" si="2074">+AZ348+BA348</f>
        <v>4.8</v>
      </c>
      <c r="BD348" s="321">
        <f t="shared" ref="BD348" si="2075">+AZ348</f>
        <v>2.6</v>
      </c>
      <c r="BE348" s="321">
        <f t="shared" ref="BE348" si="2076">+BA348</f>
        <v>2.1999999999999997</v>
      </c>
      <c r="BF348" s="136">
        <f t="shared" ref="BF348" si="2077">+BD348+BE348</f>
        <v>4.8</v>
      </c>
      <c r="BH348" s="321">
        <f t="shared" ref="BH348" si="2078">+BD348</f>
        <v>2.6</v>
      </c>
      <c r="BI348" s="321">
        <f t="shared" ref="BI348" si="2079">+BE348</f>
        <v>2.1999999999999997</v>
      </c>
      <c r="BJ348" s="136">
        <f t="shared" ref="BJ348" si="2080">+BH348+BI348</f>
        <v>4.8</v>
      </c>
      <c r="BL348" s="321">
        <f t="shared" ref="BL348" si="2081">+BH348</f>
        <v>2.6</v>
      </c>
      <c r="BM348" s="321">
        <f t="shared" ref="BM348" si="2082">+BI348</f>
        <v>2.1999999999999997</v>
      </c>
      <c r="BN348" s="136">
        <f t="shared" ref="BN348" si="2083">+BL348+BM348</f>
        <v>4.8</v>
      </c>
      <c r="BP348" s="321">
        <f t="shared" ref="BP348" si="2084">+BL348</f>
        <v>2.6</v>
      </c>
      <c r="BQ348" s="321">
        <f t="shared" ref="BQ348" si="2085">+BM348</f>
        <v>2.1999999999999997</v>
      </c>
      <c r="BR348" s="136">
        <f t="shared" ref="BR348" si="2086">+BP348+BQ348</f>
        <v>4.8</v>
      </c>
      <c r="BT348" s="321">
        <f t="shared" ref="BT348:BT350" si="2087">+BP348</f>
        <v>2.6</v>
      </c>
      <c r="BU348" s="321">
        <f t="shared" ref="BU348:BU350" si="2088">+BQ348</f>
        <v>2.1999999999999997</v>
      </c>
      <c r="BV348" s="136">
        <f t="shared" ref="BV348" si="2089">+BT348+BU348</f>
        <v>4.8</v>
      </c>
      <c r="BX348" s="321">
        <f t="shared" ref="BX348:BX350" si="2090">+BT348</f>
        <v>2.6</v>
      </c>
      <c r="BY348" s="321">
        <f t="shared" ref="BY348:BY350" si="2091">+BU348</f>
        <v>2.1999999999999997</v>
      </c>
      <c r="BZ348" s="136">
        <f t="shared" ref="BZ348" si="2092">+BX348+BY348</f>
        <v>4.8</v>
      </c>
    </row>
    <row r="349" spans="1:78">
      <c r="B349" s="150" t="s">
        <v>179</v>
      </c>
      <c r="D349" s="168"/>
      <c r="E349" s="136"/>
      <c r="F349" s="168"/>
      <c r="H349" s="168"/>
      <c r="I349" s="136"/>
      <c r="J349" s="168"/>
      <c r="L349" s="168"/>
      <c r="M349" s="136">
        <f>N349-L349</f>
        <v>0.6</v>
      </c>
      <c r="N349" s="168">
        <v>0.6</v>
      </c>
      <c r="P349" s="168">
        <v>0</v>
      </c>
      <c r="Q349" s="136">
        <f>R349-P349</f>
        <v>0.8</v>
      </c>
      <c r="R349" s="168">
        <v>0.8</v>
      </c>
      <c r="T349" s="168">
        <v>0.3</v>
      </c>
      <c r="U349" s="136">
        <f>V349-T349</f>
        <v>0.2</v>
      </c>
      <c r="V349" s="168">
        <v>0.5</v>
      </c>
      <c r="X349" s="168">
        <v>0.1</v>
      </c>
      <c r="Y349" s="136">
        <f>Z349-X349</f>
        <v>0.1</v>
      </c>
      <c r="Z349" s="168">
        <v>0.2</v>
      </c>
      <c r="AB349" s="168">
        <v>0.1</v>
      </c>
      <c r="AC349" s="136">
        <f>AD349-AB349</f>
        <v>0.1</v>
      </c>
      <c r="AD349" s="168">
        <v>0.2</v>
      </c>
      <c r="AF349" s="264">
        <v>0.5</v>
      </c>
      <c r="AG349" s="136">
        <f>AH349-AF349</f>
        <v>1.1000000000000001</v>
      </c>
      <c r="AH349" s="264">
        <v>1.6</v>
      </c>
      <c r="AJ349" s="264">
        <v>1.55</v>
      </c>
      <c r="AK349" s="136">
        <f>AL349-AJ349</f>
        <v>1.6500000000000001</v>
      </c>
      <c r="AL349" s="264">
        <v>3.2</v>
      </c>
      <c r="AN349" s="168">
        <v>1.8</v>
      </c>
      <c r="AO349" s="136">
        <f>AP349-AN349</f>
        <v>1.2</v>
      </c>
      <c r="AP349" s="912">
        <v>3</v>
      </c>
      <c r="AR349" s="321">
        <f t="shared" si="2068"/>
        <v>1.8</v>
      </c>
      <c r="AS349" s="321">
        <f t="shared" si="2068"/>
        <v>1.2</v>
      </c>
      <c r="AT349" s="136">
        <f>+AR349+AS349</f>
        <v>3</v>
      </c>
      <c r="AV349" s="321">
        <f t="shared" ref="AV349:AW350" si="2093">+AR349</f>
        <v>1.8</v>
      </c>
      <c r="AW349" s="321">
        <f t="shared" si="2093"/>
        <v>1.2</v>
      </c>
      <c r="AX349" s="136">
        <f>+AV349+AW349</f>
        <v>3</v>
      </c>
      <c r="AZ349" s="321">
        <f t="shared" ref="AZ349:BA350" si="2094">+AV349</f>
        <v>1.8</v>
      </c>
      <c r="BA349" s="321">
        <f t="shared" si="2094"/>
        <v>1.2</v>
      </c>
      <c r="BB349" s="136">
        <f>+AZ349+BA349</f>
        <v>3</v>
      </c>
      <c r="BD349" s="321">
        <f t="shared" ref="BD349:BE350" si="2095">+AZ349</f>
        <v>1.8</v>
      </c>
      <c r="BE349" s="321">
        <f t="shared" si="2095"/>
        <v>1.2</v>
      </c>
      <c r="BF349" s="136">
        <f>+BD349+BE349</f>
        <v>3</v>
      </c>
      <c r="BH349" s="321">
        <f t="shared" ref="BH349:BI350" si="2096">+BD349</f>
        <v>1.8</v>
      </c>
      <c r="BI349" s="321">
        <f t="shared" si="2096"/>
        <v>1.2</v>
      </c>
      <c r="BJ349" s="136">
        <f>+BH349+BI349</f>
        <v>3</v>
      </c>
      <c r="BL349" s="321">
        <f t="shared" ref="BL349:BM350" si="2097">+BH349</f>
        <v>1.8</v>
      </c>
      <c r="BM349" s="321">
        <f t="shared" si="2097"/>
        <v>1.2</v>
      </c>
      <c r="BN349" s="136">
        <f>+BL349+BM349</f>
        <v>3</v>
      </c>
      <c r="BP349" s="321">
        <f t="shared" ref="BP349:BQ350" si="2098">+BL349</f>
        <v>1.8</v>
      </c>
      <c r="BQ349" s="321">
        <f t="shared" si="2098"/>
        <v>1.2</v>
      </c>
      <c r="BR349" s="136">
        <f>+BP349+BQ349</f>
        <v>3</v>
      </c>
      <c r="BT349" s="321">
        <f t="shared" si="2087"/>
        <v>1.8</v>
      </c>
      <c r="BU349" s="321">
        <f t="shared" si="2088"/>
        <v>1.2</v>
      </c>
      <c r="BV349" s="136">
        <f>+BT349+BU349</f>
        <v>3</v>
      </c>
      <c r="BX349" s="321">
        <f t="shared" si="2090"/>
        <v>1.8</v>
      </c>
      <c r="BY349" s="321">
        <f t="shared" si="2091"/>
        <v>1.2</v>
      </c>
      <c r="BZ349" s="136">
        <f>+BX349+BY349</f>
        <v>3</v>
      </c>
    </row>
    <row r="350" spans="1:78">
      <c r="B350" s="150" t="s">
        <v>141</v>
      </c>
      <c r="D350" s="168"/>
      <c r="E350" s="136"/>
      <c r="F350" s="168"/>
      <c r="H350" s="168"/>
      <c r="I350" s="136"/>
      <c r="J350" s="168"/>
      <c r="L350" s="168"/>
      <c r="M350" s="136">
        <f>N350-L350</f>
        <v>2.1</v>
      </c>
      <c r="N350" s="168">
        <f>0.8+0.4+0.9</f>
        <v>2.1</v>
      </c>
      <c r="P350" s="168">
        <v>0</v>
      </c>
      <c r="Q350" s="136">
        <f>R350-P350</f>
        <v>0.7</v>
      </c>
      <c r="R350" s="168">
        <v>0.7</v>
      </c>
      <c r="T350" s="168">
        <v>0.3</v>
      </c>
      <c r="U350" s="136">
        <f>V350-T350</f>
        <v>0.5</v>
      </c>
      <c r="V350" s="168">
        <v>0.8</v>
      </c>
      <c r="X350" s="168">
        <v>0.2</v>
      </c>
      <c r="Y350" s="136">
        <f>Z350-X350</f>
        <v>0.8</v>
      </c>
      <c r="Z350" s="168">
        <v>1</v>
      </c>
      <c r="AB350" s="168">
        <v>0.6</v>
      </c>
      <c r="AC350" s="136">
        <f>AD350-AB350</f>
        <v>0.79999999999999993</v>
      </c>
      <c r="AD350" s="168">
        <v>1.4</v>
      </c>
      <c r="AF350" s="264">
        <v>0.1</v>
      </c>
      <c r="AG350" s="136">
        <f>AH350-AF350</f>
        <v>0.70000000000000007</v>
      </c>
      <c r="AH350" s="264">
        <v>0.8</v>
      </c>
      <c r="AJ350" s="264">
        <v>0.15</v>
      </c>
      <c r="AK350" s="136">
        <f>AL350-AJ350</f>
        <v>0.25</v>
      </c>
      <c r="AL350" s="264">
        <v>0.4</v>
      </c>
      <c r="AN350" s="168">
        <v>1</v>
      </c>
      <c r="AO350" s="136">
        <f>AP350-AN350</f>
        <v>0.30000000000000004</v>
      </c>
      <c r="AP350" s="912">
        <v>1.3</v>
      </c>
      <c r="AR350" s="321">
        <f t="shared" si="2068"/>
        <v>1</v>
      </c>
      <c r="AS350" s="321">
        <f t="shared" si="2068"/>
        <v>0.30000000000000004</v>
      </c>
      <c r="AT350" s="136">
        <f>+AR350+AS350</f>
        <v>1.3</v>
      </c>
      <c r="AV350" s="321">
        <f t="shared" si="2093"/>
        <v>1</v>
      </c>
      <c r="AW350" s="321">
        <f t="shared" si="2093"/>
        <v>0.30000000000000004</v>
      </c>
      <c r="AX350" s="136">
        <f>+AV350+AW350</f>
        <v>1.3</v>
      </c>
      <c r="AZ350" s="321">
        <f t="shared" si="2094"/>
        <v>1</v>
      </c>
      <c r="BA350" s="321">
        <f t="shared" si="2094"/>
        <v>0.30000000000000004</v>
      </c>
      <c r="BB350" s="136">
        <f>+AZ350+BA350</f>
        <v>1.3</v>
      </c>
      <c r="BD350" s="321">
        <f t="shared" si="2095"/>
        <v>1</v>
      </c>
      <c r="BE350" s="321">
        <f t="shared" si="2095"/>
        <v>0.30000000000000004</v>
      </c>
      <c r="BF350" s="136">
        <f>+BD350+BE350</f>
        <v>1.3</v>
      </c>
      <c r="BH350" s="321">
        <f t="shared" si="2096"/>
        <v>1</v>
      </c>
      <c r="BI350" s="321">
        <f t="shared" si="2096"/>
        <v>0.30000000000000004</v>
      </c>
      <c r="BJ350" s="136">
        <f>+BH350+BI350</f>
        <v>1.3</v>
      </c>
      <c r="BL350" s="321">
        <f t="shared" si="2097"/>
        <v>1</v>
      </c>
      <c r="BM350" s="321">
        <f t="shared" si="2097"/>
        <v>0.30000000000000004</v>
      </c>
      <c r="BN350" s="136">
        <f>+BL350+BM350</f>
        <v>1.3</v>
      </c>
      <c r="BP350" s="321">
        <f t="shared" si="2098"/>
        <v>1</v>
      </c>
      <c r="BQ350" s="321">
        <f t="shared" si="2098"/>
        <v>0.30000000000000004</v>
      </c>
      <c r="BR350" s="136">
        <f>+BP350+BQ350</f>
        <v>1.3</v>
      </c>
      <c r="BT350" s="321">
        <f t="shared" si="2087"/>
        <v>1</v>
      </c>
      <c r="BU350" s="321">
        <f t="shared" si="2088"/>
        <v>0.30000000000000004</v>
      </c>
      <c r="BV350" s="136">
        <f>+BT350+BU350</f>
        <v>1.3</v>
      </c>
      <c r="BX350" s="321">
        <f t="shared" si="2090"/>
        <v>1</v>
      </c>
      <c r="BY350" s="321">
        <f t="shared" si="2091"/>
        <v>0.30000000000000004</v>
      </c>
      <c r="BZ350" s="136">
        <f>+BX350+BY350</f>
        <v>1.3</v>
      </c>
    </row>
    <row r="351" spans="1:78" s="135" customFormat="1" ht="13.8" customHeight="1">
      <c r="A351" s="134"/>
      <c r="B351" s="151" t="s">
        <v>156</v>
      </c>
      <c r="D351" s="313">
        <v>7.6520000000000001</v>
      </c>
      <c r="E351" s="232">
        <f>F351-D351</f>
        <v>16.518999999999998</v>
      </c>
      <c r="F351" s="313">
        <v>24.170999999999999</v>
      </c>
      <c r="G351" s="133"/>
      <c r="H351" s="313">
        <v>17.963000000000001</v>
      </c>
      <c r="I351" s="232">
        <f>J351-H351</f>
        <v>20.448999999999998</v>
      </c>
      <c r="J351" s="313">
        <v>38.411999999999999</v>
      </c>
      <c r="K351" s="133"/>
      <c r="L351" s="313">
        <v>18.18</v>
      </c>
      <c r="M351" s="232">
        <f>N351-L351</f>
        <v>24.220000000000006</v>
      </c>
      <c r="N351" s="232">
        <f>+N346+N348+N349+N350</f>
        <v>42.400000000000006</v>
      </c>
      <c r="O351" s="133"/>
      <c r="P351" s="232">
        <f>+P346+P348+P349+P350</f>
        <v>22.3</v>
      </c>
      <c r="Q351" s="232">
        <f>+Q346+Q348+Q349+Q350</f>
        <v>28.399999999999995</v>
      </c>
      <c r="R351" s="232">
        <f>+R346+R348+R349+R350</f>
        <v>50.699999999999996</v>
      </c>
      <c r="S351" s="133"/>
      <c r="T351" s="232">
        <f>+T346+T348+T349+T350</f>
        <v>27.400000000000002</v>
      </c>
      <c r="U351" s="232">
        <f>+U346+U348+U349+U350</f>
        <v>31.099999999999998</v>
      </c>
      <c r="V351" s="232">
        <f>+V346+V348+V349+V350</f>
        <v>58.499999999999993</v>
      </c>
      <c r="W351" s="133"/>
      <c r="X351" s="232">
        <f>+X346+X348+X349+X350</f>
        <v>27.3</v>
      </c>
      <c r="Y351" s="232">
        <f>+Y346+Y348+Y349+Y350</f>
        <v>31.299999999999997</v>
      </c>
      <c r="Z351" s="232">
        <f>+Z346+Z348+Z349+Z350</f>
        <v>58.6</v>
      </c>
      <c r="AA351" s="133"/>
      <c r="AB351" s="232">
        <f>+AB346+AB348+AB349+AB350</f>
        <v>28.700000000000003</v>
      </c>
      <c r="AC351" s="232">
        <f>+AC346+AC348+AC349+AC350</f>
        <v>30.2</v>
      </c>
      <c r="AD351" s="232">
        <f>+AD346+AD348+AD349+AD350</f>
        <v>58.9</v>
      </c>
      <c r="AE351" s="133"/>
      <c r="AF351" s="323">
        <f>+AF346+AF348+AF349+AF350</f>
        <v>29.8</v>
      </c>
      <c r="AG351" s="232">
        <f>+AG346+AG348+AG349+AG350</f>
        <v>40.900000000000006</v>
      </c>
      <c r="AH351" s="232">
        <f>+AH346+AH348+AH349+AH350</f>
        <v>70.699999999999989</v>
      </c>
      <c r="AI351" s="133"/>
      <c r="AJ351" s="323">
        <f>+AJ346+AJ348+AJ349+AJ350</f>
        <v>40.799999999999997</v>
      </c>
      <c r="AK351" s="232">
        <f>+AK346+AK348+AK349+AK350</f>
        <v>47.922000000000004</v>
      </c>
      <c r="AL351" s="232">
        <f>+AL346+AL348+AL349+AL350</f>
        <v>88.722000000000023</v>
      </c>
      <c r="AM351" s="133"/>
      <c r="AN351" s="232">
        <f>+AN346+AN348+AN349+AN350+0.1</f>
        <v>48.5</v>
      </c>
      <c r="AO351" s="931">
        <f>+AO346+AO348+AO349+AO350-0.1</f>
        <v>49.4</v>
      </c>
      <c r="AP351" s="232">
        <f>+AP346+AP348+AP349+AP350</f>
        <v>97.899999999999991</v>
      </c>
      <c r="AQ351" s="136"/>
      <c r="AR351" s="232">
        <f>+AR346+AR348+AR349+AR350</f>
        <v>53.13</v>
      </c>
      <c r="AS351" s="232">
        <f>+AS346+AS348+AS349+AS350</f>
        <v>52.706000000000003</v>
      </c>
      <c r="AT351" s="232">
        <f>+AT346+AT348+AT349+AT350</f>
        <v>105.836</v>
      </c>
      <c r="AU351" s="133"/>
      <c r="AV351" s="232">
        <f>+AV346+AV348+AV349+AV350</f>
        <v>55.194805091911768</v>
      </c>
      <c r="AW351" s="232">
        <f>+AW346+AW348+AW349+AW350</f>
        <v>54.845922250000001</v>
      </c>
      <c r="AX351" s="232">
        <f>+AX346+AX348+AX349+AX350</f>
        <v>110.04072734191176</v>
      </c>
      <c r="AY351" s="133"/>
      <c r="AZ351" s="232">
        <f>+AZ346+AZ348+AZ349+AZ350</f>
        <v>57.367960041507359</v>
      </c>
      <c r="BA351" s="232">
        <f>+BA346+BA348+BA349+BA350</f>
        <v>57.095427093750004</v>
      </c>
      <c r="BB351" s="232">
        <f>+BB346+BB348+BB349+BB350</f>
        <v>114.46338713525736</v>
      </c>
      <c r="BC351" s="133"/>
      <c r="BD351" s="232">
        <f>+BD346+BD348+BD349+BD350</f>
        <v>59.647989159399636</v>
      </c>
      <c r="BE351" s="232">
        <f>+BE346+BE348+BE349+BE350</f>
        <v>59.45555199943751</v>
      </c>
      <c r="BF351" s="232">
        <f>+BF346+BF348+BF349+BF350</f>
        <v>119.10354115883715</v>
      </c>
      <c r="BG351" s="133"/>
      <c r="BH351" s="232">
        <f>+BH346+BH348+BH349+BH350</f>
        <v>62.035652355502855</v>
      </c>
      <c r="BI351" s="232">
        <f>+BI346+BI348+BI349+BI350</f>
        <v>61.927490221429387</v>
      </c>
      <c r="BJ351" s="232">
        <f>+BJ346+BJ348+BJ349+BJ350</f>
        <v>123.96314257693223</v>
      </c>
      <c r="BK351" s="133"/>
      <c r="BL351" s="232">
        <f>+BL346+BL348+BL349+BL350</f>
        <v>64.536203986173902</v>
      </c>
      <c r="BM351" s="232">
        <f>+BM346+BM348+BM349+BM350</f>
        <v>64.516708566961256</v>
      </c>
      <c r="BN351" s="232">
        <f>+BN346+BN348+BN349+BN350</f>
        <v>129.05291255313517</v>
      </c>
      <c r="BO351" s="133"/>
      <c r="BP351" s="232">
        <f>+BP346+BP348+BP349+BP350</f>
        <v>67.155158578636417</v>
      </c>
      <c r="BQ351" s="232">
        <f>+BQ346+BQ348+BQ349+BQ350</f>
        <v>67.228944706458933</v>
      </c>
      <c r="BR351" s="232">
        <f>+BR346+BR348+BR349+BR350</f>
        <v>134.38410328509539</v>
      </c>
      <c r="BS351" s="133"/>
      <c r="BT351" s="232">
        <f>+BT346+BT348+BT349+BT350</f>
        <v>69.898303788585139</v>
      </c>
      <c r="BU351" s="232">
        <f>+BU346+BU348+BU349+BU350</f>
        <v>70.070220667154487</v>
      </c>
      <c r="BV351" s="232">
        <f>+BV346+BV348+BV349+BV350</f>
        <v>139.96852445573967</v>
      </c>
      <c r="BW351" s="133"/>
      <c r="BX351" s="232">
        <f>+BX346+BX348+BX349+BX350</f>
        <v>72.771714004651628</v>
      </c>
      <c r="BY351" s="232">
        <f>+BY346+BY348+BY349+BY350</f>
        <v>73.046857000392265</v>
      </c>
      <c r="BZ351" s="232">
        <f>+BZ346+BZ348+BZ349+BZ350</f>
        <v>145.81857100504391</v>
      </c>
    </row>
    <row r="352" spans="1:78" s="140" customFormat="1">
      <c r="A352" s="149"/>
      <c r="B352" s="314" t="s">
        <v>249</v>
      </c>
      <c r="C352" s="171"/>
      <c r="D352" s="175"/>
      <c r="E352" s="232"/>
      <c r="F352" s="232"/>
      <c r="G352" s="171"/>
      <c r="H352" s="175"/>
      <c r="I352" s="232"/>
      <c r="J352" s="232"/>
      <c r="K352" s="171"/>
      <c r="L352" s="175"/>
      <c r="M352" s="232"/>
      <c r="N352" s="232"/>
      <c r="O352" s="171"/>
      <c r="P352" s="175"/>
      <c r="Q352" s="232"/>
      <c r="R352" s="232"/>
      <c r="S352" s="171"/>
      <c r="T352" s="175"/>
      <c r="U352" s="232"/>
      <c r="V352" s="232"/>
      <c r="W352" s="171"/>
      <c r="X352" s="315">
        <f>+X351/T351-1</f>
        <v>-3.6496350364964014E-3</v>
      </c>
      <c r="Y352" s="315">
        <f>+Y351/U351-1</f>
        <v>6.4308681672025081E-3</v>
      </c>
      <c r="Z352" s="315">
        <f>+Z351/V351-1</f>
        <v>1.7094017094019254E-3</v>
      </c>
      <c r="AA352" s="171"/>
      <c r="AB352" s="315">
        <f>+AB351/X351-1</f>
        <v>5.1282051282051322E-2</v>
      </c>
      <c r="AC352" s="315">
        <f>+AC351/Y351-1</f>
        <v>-3.514376996805102E-2</v>
      </c>
      <c r="AD352" s="315">
        <f>+AD351/Z351-1</f>
        <v>5.1194539249146409E-3</v>
      </c>
      <c r="AF352" s="374">
        <f>+AF351/AB351-1</f>
        <v>3.8327526132404088E-2</v>
      </c>
      <c r="AG352" s="315">
        <f>+AG351/AC351-1</f>
        <v>0.35430463576158955</v>
      </c>
      <c r="AH352" s="315">
        <f>+AH351/AD351-1</f>
        <v>0.20033955857385388</v>
      </c>
      <c r="AJ352" s="374">
        <f>+AJ351/AF351-1</f>
        <v>0.36912751677852329</v>
      </c>
      <c r="AK352" s="315">
        <f>+AK351/AG351-1</f>
        <v>0.1716870415647922</v>
      </c>
      <c r="AL352" s="315">
        <f>+AL351/AH351-1</f>
        <v>0.25490806223479545</v>
      </c>
      <c r="AN352" s="374">
        <f>+AN351/AJ351-1</f>
        <v>0.18872549019607843</v>
      </c>
      <c r="AO352" s="315">
        <f>+AO351/AK351-1</f>
        <v>3.0841784566587149E-2</v>
      </c>
      <c r="AP352" s="315">
        <f>+AP351/AL351-1</f>
        <v>0.10344672121908838</v>
      </c>
      <c r="AR352" s="315">
        <f>+AR351/AN351-1</f>
        <v>9.5463917525773212E-2</v>
      </c>
      <c r="AS352" s="315">
        <f>+AS351/AO351-1</f>
        <v>6.6923076923077085E-2</v>
      </c>
      <c r="AT352" s="315">
        <f>+AT351/AP351-1</f>
        <v>8.1062308478038858E-2</v>
      </c>
      <c r="AV352" s="315">
        <f>+AV351/AR351-1</f>
        <v>3.8863261658418358E-2</v>
      </c>
      <c r="AW352" s="315">
        <f>+AW351/AS351-1</f>
        <v>4.0601112776533999E-2</v>
      </c>
      <c r="AX352" s="315">
        <f>+AX351/AT351-1</f>
        <v>3.97287061294056E-2</v>
      </c>
      <c r="AZ352" s="315">
        <f>+AZ351/AV351-1</f>
        <v>3.9372454454305927E-2</v>
      </c>
      <c r="BA352" s="315">
        <f>+BA351/AW351-1</f>
        <v>4.1014988014902221E-2</v>
      </c>
      <c r="BB352" s="315">
        <f>+BB351/AX351-1</f>
        <v>4.0191117417861077E-2</v>
      </c>
      <c r="BD352" s="315">
        <f>+BD351/AZ351-1</f>
        <v>3.9743946206952652E-2</v>
      </c>
      <c r="BE352" s="315">
        <f>+BE351/BA351-1</f>
        <v>4.1336496210321982E-2</v>
      </c>
      <c r="BF352" s="315">
        <f>+BF351/BB351-1</f>
        <v>4.0538325308307366E-2</v>
      </c>
      <c r="BH352" s="315">
        <f>+BH351/BD351-1</f>
        <v>4.0029231995106773E-2</v>
      </c>
      <c r="BI352" s="315">
        <f>+BI351/BE351-1</f>
        <v>4.1576238700386847E-2</v>
      </c>
      <c r="BJ352" s="315">
        <f>+BJ351/BF351-1</f>
        <v>4.0801485588193298E-2</v>
      </c>
      <c r="BL352" s="315">
        <f>+BL351/BH351-1</f>
        <v>4.0308299110668466E-2</v>
      </c>
      <c r="BM352" s="315">
        <f>+BM351/BI351-1</f>
        <v>4.1810484104455092E-2</v>
      </c>
      <c r="BN352" s="315">
        <f>+BN351/BJ351-1</f>
        <v>4.1058736253352102E-2</v>
      </c>
      <c r="BP352" s="315">
        <f>+BP351/BL351-1</f>
        <v>4.0581168874196383E-2</v>
      </c>
      <c r="BQ352" s="315">
        <f>+BQ351/BM351-1</f>
        <v>4.2039282532255529E-2</v>
      </c>
      <c r="BR352" s="315">
        <f>+BR351/BN351-1</f>
        <v>4.1310115568024885E-2</v>
      </c>
      <c r="BT352" s="315">
        <f>+BT351/BP351-1</f>
        <v>4.084787033503301E-2</v>
      </c>
      <c r="BU352" s="315">
        <f>+BU351/BQ351-1</f>
        <v>4.2262688684187921E-2</v>
      </c>
      <c r="BV352" s="315">
        <f>+BV351/BR351-1</f>
        <v>4.1555667925966988E-2</v>
      </c>
      <c r="BX352" s="315">
        <f>+BX351/BT351-1</f>
        <v>4.110843983793111E-2</v>
      </c>
      <c r="BY352" s="315">
        <f>+BY351/BU351-1</f>
        <v>4.2480761511759946E-2</v>
      </c>
      <c r="BZ352" s="315">
        <f>+BZ351/BV351-1</f>
        <v>4.1795443454532677E-2</v>
      </c>
    </row>
    <row r="353" spans="1:78" s="135" customFormat="1">
      <c r="A353" s="134"/>
      <c r="B353" s="314"/>
      <c r="D353" s="232"/>
      <c r="E353" s="232"/>
      <c r="F353" s="232"/>
      <c r="G353" s="133"/>
      <c r="H353" s="232"/>
      <c r="I353" s="232"/>
      <c r="J353" s="232"/>
      <c r="K353" s="133"/>
      <c r="L353" s="232"/>
      <c r="M353" s="232"/>
      <c r="N353" s="232"/>
      <c r="O353" s="133"/>
      <c r="P353" s="232"/>
      <c r="Q353" s="232"/>
      <c r="R353" s="232"/>
      <c r="S353" s="133"/>
      <c r="T353" s="232"/>
      <c r="U353" s="232"/>
      <c r="V353" s="232"/>
      <c r="W353" s="133"/>
      <c r="X353" s="315"/>
      <c r="Y353" s="315"/>
      <c r="Z353" s="315"/>
      <c r="AA353" s="133"/>
      <c r="AB353" s="315"/>
      <c r="AC353" s="315"/>
      <c r="AD353" s="315"/>
      <c r="AE353" s="133"/>
      <c r="AF353" s="374"/>
      <c r="AG353" s="315"/>
      <c r="AH353" s="315"/>
      <c r="AI353" s="133"/>
      <c r="AJ353" s="374"/>
      <c r="AK353" s="315"/>
      <c r="AL353" s="315"/>
      <c r="AM353" s="133"/>
      <c r="AN353" s="374"/>
      <c r="AO353" s="315"/>
      <c r="AP353" s="315"/>
      <c r="AQ353" s="133"/>
      <c r="AR353" s="315"/>
      <c r="AS353" s="315"/>
      <c r="AT353" s="315"/>
      <c r="AU353" s="133"/>
      <c r="AV353" s="315"/>
      <c r="AW353" s="315"/>
      <c r="AX353" s="315"/>
      <c r="AY353" s="133"/>
      <c r="AZ353" s="315"/>
      <c r="BA353" s="315"/>
      <c r="BB353" s="315"/>
      <c r="BC353" s="133"/>
      <c r="BD353" s="315"/>
      <c r="BE353" s="315"/>
      <c r="BF353" s="315"/>
      <c r="BG353" s="133"/>
      <c r="BH353" s="315"/>
      <c r="BI353" s="315"/>
      <c r="BJ353" s="315"/>
      <c r="BK353" s="133"/>
      <c r="BL353" s="315"/>
      <c r="BM353" s="315"/>
      <c r="BN353" s="315"/>
      <c r="BO353" s="133"/>
      <c r="BP353" s="315"/>
      <c r="BQ353" s="315"/>
      <c r="BR353" s="315"/>
      <c r="BS353" s="133"/>
      <c r="BT353" s="315"/>
      <c r="BU353" s="315"/>
      <c r="BV353" s="315"/>
      <c r="BW353" s="133"/>
      <c r="BX353" s="315"/>
      <c r="BY353" s="315"/>
      <c r="BZ353" s="315"/>
    </row>
    <row r="354" spans="1:78" s="523" customFormat="1">
      <c r="A354" s="522"/>
      <c r="B354" s="526" t="s">
        <v>640</v>
      </c>
      <c r="X354" s="689">
        <v>0</v>
      </c>
      <c r="Y354" s="689">
        <v>0</v>
      </c>
      <c r="Z354" s="690">
        <f>+Y354+X354</f>
        <v>0</v>
      </c>
      <c r="AA354" s="688"/>
      <c r="AB354" s="689">
        <v>0</v>
      </c>
      <c r="AC354" s="689">
        <v>0</v>
      </c>
      <c r="AD354" s="690">
        <f>+AC354+AB354</f>
        <v>0</v>
      </c>
      <c r="AE354" s="688"/>
      <c r="AF354" s="689">
        <v>0</v>
      </c>
      <c r="AG354" s="689">
        <v>0</v>
      </c>
      <c r="AH354" s="690">
        <f>+AG354+AF354</f>
        <v>0</v>
      </c>
      <c r="AI354" s="688"/>
      <c r="AJ354" s="689">
        <v>0</v>
      </c>
      <c r="AK354" s="689">
        <v>0</v>
      </c>
      <c r="AL354" s="690">
        <f>+AK354+AJ354</f>
        <v>0</v>
      </c>
      <c r="AM354" s="232"/>
      <c r="AN354" s="689">
        <v>0</v>
      </c>
      <c r="AO354" s="689">
        <v>0</v>
      </c>
      <c r="AP354" s="690">
        <f>+AO354+AN354</f>
        <v>0</v>
      </c>
      <c r="AQ354" s="232"/>
      <c r="AR354" s="232">
        <f>CF!AR156</f>
        <v>-0.3063761029411764</v>
      </c>
      <c r="AS354" s="232">
        <f>CF!AS156</f>
        <v>-0.29559785714285708</v>
      </c>
      <c r="AT354" s="232">
        <f t="shared" ref="AT354" si="2099">AS354+AR354</f>
        <v>-0.60197396008403348</v>
      </c>
      <c r="AU354" s="232"/>
      <c r="AV354" s="232">
        <f>CF!AV156</f>
        <v>-0.30150981428571422</v>
      </c>
      <c r="AW354" s="232">
        <f>CF!AW156</f>
        <v>-0.29313454166666664</v>
      </c>
      <c r="AX354" s="232">
        <f t="shared" ref="AX354" si="2100">AW354+AV354</f>
        <v>-0.59464435595238085</v>
      </c>
      <c r="AY354" s="232"/>
      <c r="AZ354" s="232">
        <f>CF!AZ156</f>
        <v>-0.30320846112676048</v>
      </c>
      <c r="BA354" s="232">
        <f>CF!BA156</f>
        <v>-0.29490137999999994</v>
      </c>
      <c r="BB354" s="232">
        <f t="shared" ref="BB354" si="2101">BA354+AZ354</f>
        <v>-0.59810984112676047</v>
      </c>
      <c r="BC354" s="232"/>
      <c r="BD354" s="232">
        <f>CF!BD156</f>
        <v>-0.30927263034929575</v>
      </c>
      <c r="BE354" s="232">
        <f>CF!BE156</f>
        <v>-0.30079940759999996</v>
      </c>
      <c r="BF354" s="232">
        <f t="shared" ref="BF354" si="2102">BE354+BD354</f>
        <v>-0.61007203794929565</v>
      </c>
      <c r="BG354" s="232"/>
      <c r="BH354" s="232">
        <f>CF!BH156</f>
        <v>-0.31545808295628158</v>
      </c>
      <c r="BI354" s="232">
        <f>CF!BI156</f>
        <v>-0.3068153957519999</v>
      </c>
      <c r="BJ354" s="232">
        <f t="shared" ref="BJ354" si="2103">BI354+BH354</f>
        <v>-0.62227347870828154</v>
      </c>
      <c r="BK354" s="232"/>
      <c r="BL354" s="232">
        <f>CF!BL156</f>
        <v>-0.32176724461540729</v>
      </c>
      <c r="BM354" s="232">
        <f>CF!BM156</f>
        <v>-0.31295170366703995</v>
      </c>
      <c r="BN354" s="232">
        <f t="shared" ref="BN354" si="2104">BM354+BL354</f>
        <v>-0.63471894828244724</v>
      </c>
      <c r="BO354" s="232"/>
      <c r="BP354" s="232">
        <f>CF!BP156</f>
        <v>-0.32820258950771541</v>
      </c>
      <c r="BQ354" s="232">
        <f>CF!BQ156</f>
        <v>-0.31921073774038078</v>
      </c>
      <c r="BR354" s="232">
        <f t="shared" ref="BR354" si="2105">BQ354+BP354</f>
        <v>-0.64741332724809619</v>
      </c>
      <c r="BS354" s="232"/>
      <c r="BT354" s="232">
        <f>CF!BT156</f>
        <v>-0.3347666412978697</v>
      </c>
      <c r="BU354" s="232">
        <f>CF!BU156</f>
        <v>-0.32559495249518833</v>
      </c>
      <c r="BV354" s="232">
        <f t="shared" ref="BV354" si="2106">BU354+BT354</f>
        <v>-0.66036159379305803</v>
      </c>
      <c r="BW354" s="232"/>
      <c r="BX354" s="232">
        <f>CF!BX156</f>
        <v>-0.34146197412382717</v>
      </c>
      <c r="BY354" s="232">
        <f>CF!BY156</f>
        <v>-0.33210685154509217</v>
      </c>
      <c r="BZ354" s="232">
        <f t="shared" ref="BZ354" si="2107">BY354+BX354</f>
        <v>-0.6735688256689194</v>
      </c>
    </row>
    <row r="355" spans="1:78" s="135" customFormat="1">
      <c r="A355" s="134"/>
      <c r="B355" s="314" t="s">
        <v>499</v>
      </c>
      <c r="D355" s="232"/>
      <c r="E355" s="232"/>
      <c r="F355" s="232"/>
      <c r="G355" s="133"/>
      <c r="H355" s="232"/>
      <c r="I355" s="232"/>
      <c r="J355" s="232"/>
      <c r="K355" s="133"/>
      <c r="L355" s="232"/>
      <c r="M355" s="232"/>
      <c r="N355" s="232"/>
      <c r="O355" s="133"/>
      <c r="P355" s="232"/>
      <c r="Q355" s="232"/>
      <c r="R355" s="232"/>
      <c r="S355" s="133"/>
      <c r="T355" s="232"/>
      <c r="U355" s="232"/>
      <c r="V355" s="232"/>
      <c r="W355" s="133"/>
      <c r="X355" s="315"/>
      <c r="Y355" s="315"/>
      <c r="Z355" s="315"/>
      <c r="AA355" s="133"/>
      <c r="AB355" s="315"/>
      <c r="AC355" s="315"/>
      <c r="AD355" s="315"/>
      <c r="AE355" s="133"/>
      <c r="AF355" s="374"/>
      <c r="AG355" s="315"/>
      <c r="AH355" s="315"/>
      <c r="AI355" s="133"/>
      <c r="AJ355" s="374"/>
      <c r="AK355" s="315"/>
      <c r="AL355" s="315"/>
      <c r="AM355" s="841"/>
      <c r="AN355" s="374"/>
      <c r="AO355" s="315"/>
      <c r="AP355" s="315"/>
      <c r="AQ355" s="133"/>
      <c r="AR355" s="315">
        <f>+AR354/AO351</f>
        <v>-6.201945403667539E-3</v>
      </c>
      <c r="AS355" s="315">
        <f>+AS354/AR351</f>
        <v>-5.5636713183297021E-3</v>
      </c>
      <c r="AT355" s="315">
        <f>+AT354/AP351</f>
        <v>-6.1488657822679621E-3</v>
      </c>
      <c r="AU355" s="133"/>
      <c r="AV355" s="315">
        <f>+AV354/AS351</f>
        <v>-5.7205975464978218E-3</v>
      </c>
      <c r="AW355" s="315">
        <f>+AW354/AV351</f>
        <v>-5.310908176567191E-3</v>
      </c>
      <c r="AX355" s="315">
        <f>+AX354/AT351</f>
        <v>-5.6185452582522095E-3</v>
      </c>
      <c r="AY355" s="133"/>
      <c r="AZ355" s="315">
        <f>+AZ354/AW351</f>
        <v>-5.528368357900308E-3</v>
      </c>
      <c r="BA355" s="315">
        <f>+BA354/AZ351</f>
        <v>-5.1405240797586377E-3</v>
      </c>
      <c r="BB355" s="315">
        <f>+BB354/AX351</f>
        <v>-5.4353497616237163E-3</v>
      </c>
      <c r="BC355" s="133"/>
      <c r="BD355" s="315">
        <f>+BD354/BA351</f>
        <v>-5.4167670878698185E-3</v>
      </c>
      <c r="BE355" s="315">
        <f>+BE354/BD351</f>
        <v>-5.0429094398498839E-3</v>
      </c>
      <c r="BF355" s="315">
        <f>+BF354/BB351</f>
        <v>-5.3298443565049751E-3</v>
      </c>
      <c r="BG355" s="133"/>
      <c r="BH355" s="315">
        <f>+BH354/BE351</f>
        <v>-5.3057800717965925E-3</v>
      </c>
      <c r="BI355" s="315">
        <f>+BI354/BH351</f>
        <v>-4.9457913974009157E-3</v>
      </c>
      <c r="BJ355" s="315">
        <f>+BJ354/BF351</f>
        <v>-5.2246429674027419E-3</v>
      </c>
      <c r="BK355" s="133"/>
      <c r="BL355" s="315">
        <f>+BL354/BI351</f>
        <v>-5.1958709042605918E-3</v>
      </c>
      <c r="BM355" s="315">
        <f>+BM354/BL351</f>
        <v>-4.8492425078810967E-3</v>
      </c>
      <c r="BN355" s="315">
        <f>+BN354/BJ351</f>
        <v>-5.120223117032848E-3</v>
      </c>
      <c r="BO355" s="133"/>
      <c r="BP355" s="315">
        <f>+BP354/BM351</f>
        <v>-5.0870944410792004E-3</v>
      </c>
      <c r="BQ355" s="315">
        <f>+BQ354/BP351</f>
        <v>-4.7533316054431743E-3</v>
      </c>
      <c r="BR355" s="315">
        <f>+BR354/BN351</f>
        <v>-5.0166502594936446E-3</v>
      </c>
      <c r="BS355" s="133"/>
      <c r="BT355" s="315">
        <f>+BT354/BQ351</f>
        <v>-4.9795016530388503E-3</v>
      </c>
      <c r="BU355" s="315">
        <f>+BU354/BT351</f>
        <v>-4.6581238005429281E-3</v>
      </c>
      <c r="BV355" s="315">
        <f>+BV354/BR351</f>
        <v>-4.9139859376975811E-3</v>
      </c>
      <c r="BW355" s="133"/>
      <c r="BX355" s="315">
        <f>+BX354/BU351</f>
        <v>-4.8731397000421886E-3</v>
      </c>
      <c r="BY355" s="315">
        <f>+BY354/BX351</f>
        <v>-4.5636804916243095E-3</v>
      </c>
      <c r="BZ355" s="315">
        <f>+BZ354/BV351</f>
        <v>-4.8122878217660486E-3</v>
      </c>
    </row>
    <row r="356" spans="1:78" s="523" customFormat="1">
      <c r="A356" s="526"/>
      <c r="B356" s="586" t="s">
        <v>402</v>
      </c>
      <c r="D356" s="323">
        <f t="shared" ref="D356" si="2108">D351+D354</f>
        <v>7.6520000000000001</v>
      </c>
      <c r="E356" s="323">
        <f t="shared" ref="E356" si="2109">E351+E354</f>
        <v>16.518999999999998</v>
      </c>
      <c r="F356" s="323">
        <f t="shared" ref="F356" si="2110">F351+F354</f>
        <v>24.170999999999999</v>
      </c>
      <c r="G356" s="259"/>
      <c r="H356" s="323">
        <f t="shared" ref="H356" si="2111">H351+H354</f>
        <v>17.963000000000001</v>
      </c>
      <c r="I356" s="323">
        <f t="shared" ref="I356" si="2112">I351+I354</f>
        <v>20.448999999999998</v>
      </c>
      <c r="J356" s="323">
        <f t="shared" ref="J356" si="2113">J351+J354</f>
        <v>38.411999999999999</v>
      </c>
      <c r="K356" s="259"/>
      <c r="L356" s="323">
        <f t="shared" ref="L356" si="2114">L351+L354</f>
        <v>18.18</v>
      </c>
      <c r="M356" s="323">
        <f t="shared" ref="M356" si="2115">M351+M354</f>
        <v>24.220000000000006</v>
      </c>
      <c r="N356" s="323">
        <f t="shared" ref="N356" si="2116">N351+N354</f>
        <v>42.400000000000006</v>
      </c>
      <c r="O356" s="259"/>
      <c r="P356" s="323">
        <f t="shared" ref="P356" si="2117">P351+P354</f>
        <v>22.3</v>
      </c>
      <c r="Q356" s="323">
        <f t="shared" ref="Q356" si="2118">Q351+Q354</f>
        <v>28.399999999999995</v>
      </c>
      <c r="R356" s="323">
        <f t="shared" ref="R356" si="2119">R351+R354</f>
        <v>50.699999999999996</v>
      </c>
      <c r="S356" s="259"/>
      <c r="T356" s="323">
        <f t="shared" ref="T356" si="2120">T351+T354</f>
        <v>27.400000000000002</v>
      </c>
      <c r="U356" s="323">
        <f t="shared" ref="U356" si="2121">U351+U354</f>
        <v>31.099999999999998</v>
      </c>
      <c r="V356" s="323">
        <f t="shared" ref="V356" si="2122">V351+V354</f>
        <v>58.499999999999993</v>
      </c>
      <c r="W356" s="259"/>
      <c r="X356" s="323">
        <f t="shared" ref="X356" si="2123">X351+X354</f>
        <v>27.3</v>
      </c>
      <c r="Y356" s="323">
        <f t="shared" ref="Y356" si="2124">Y351+Y354</f>
        <v>31.299999999999997</v>
      </c>
      <c r="Z356" s="323">
        <f t="shared" ref="Z356" si="2125">Z351+Z354</f>
        <v>58.6</v>
      </c>
      <c r="AA356" s="259"/>
      <c r="AB356" s="323">
        <f t="shared" ref="AB356:AD356" si="2126">AB351+AB354</f>
        <v>28.700000000000003</v>
      </c>
      <c r="AC356" s="323">
        <f t="shared" si="2126"/>
        <v>30.2</v>
      </c>
      <c r="AD356" s="323">
        <f t="shared" si="2126"/>
        <v>58.9</v>
      </c>
      <c r="AE356" s="259"/>
      <c r="AF356" s="323">
        <f>AF351+AF354</f>
        <v>29.8</v>
      </c>
      <c r="AG356" s="323">
        <f t="shared" ref="AG356:AH356" si="2127">AG351+AG354</f>
        <v>40.900000000000006</v>
      </c>
      <c r="AH356" s="323">
        <f t="shared" si="2127"/>
        <v>70.699999999999989</v>
      </c>
      <c r="AI356" s="259"/>
      <c r="AJ356" s="323">
        <f>AJ351+AJ354</f>
        <v>40.799999999999997</v>
      </c>
      <c r="AK356" s="323">
        <f t="shared" ref="AK356" si="2128">AK351+AK354</f>
        <v>47.922000000000004</v>
      </c>
      <c r="AL356" s="323">
        <f>AL351+AL354+0.022</f>
        <v>88.744000000000028</v>
      </c>
      <c r="AM356" s="323"/>
      <c r="AN356" s="323">
        <f>AN351+AN354</f>
        <v>48.5</v>
      </c>
      <c r="AO356" s="323">
        <f t="shared" ref="AO356" si="2129">AO351+AO354</f>
        <v>49.4</v>
      </c>
      <c r="AP356" s="323">
        <f>AP351+AP354+0.022</f>
        <v>97.921999999999997</v>
      </c>
      <c r="AQ356" s="323"/>
      <c r="AR356" s="323">
        <f t="shared" ref="AR356:AT356" si="2130">AR351+AR354</f>
        <v>52.823623897058823</v>
      </c>
      <c r="AS356" s="323">
        <f t="shared" si="2130"/>
        <v>52.410402142857144</v>
      </c>
      <c r="AT356" s="323">
        <f t="shared" si="2130"/>
        <v>105.23402603991596</v>
      </c>
      <c r="AU356" s="323"/>
      <c r="AV356" s="323">
        <f t="shared" ref="AV356:AX356" si="2131">AV351+AV354</f>
        <v>54.893295277626052</v>
      </c>
      <c r="AW356" s="323">
        <f t="shared" si="2131"/>
        <v>54.552787708333334</v>
      </c>
      <c r="AX356" s="323">
        <f t="shared" si="2131"/>
        <v>109.44608298595938</v>
      </c>
      <c r="AY356" s="323"/>
      <c r="AZ356" s="323">
        <f t="shared" ref="AZ356:BB356" si="2132">AZ351+AZ354</f>
        <v>57.064751580380602</v>
      </c>
      <c r="BA356" s="323">
        <f t="shared" si="2132"/>
        <v>56.800525713750005</v>
      </c>
      <c r="BB356" s="323">
        <f t="shared" si="2132"/>
        <v>113.86527729413061</v>
      </c>
      <c r="BC356" s="323"/>
      <c r="BD356" s="323">
        <f t="shared" ref="BD356:BF356" si="2133">BD351+BD354</f>
        <v>59.338716529050338</v>
      </c>
      <c r="BE356" s="323">
        <f t="shared" si="2133"/>
        <v>59.154752591837507</v>
      </c>
      <c r="BF356" s="323">
        <f t="shared" si="2133"/>
        <v>118.49346912088785</v>
      </c>
      <c r="BG356" s="323"/>
      <c r="BH356" s="323">
        <f t="shared" ref="BH356:BJ356" si="2134">BH351+BH354</f>
        <v>61.720194272546571</v>
      </c>
      <c r="BI356" s="323">
        <f t="shared" si="2134"/>
        <v>61.620674825677391</v>
      </c>
      <c r="BJ356" s="323">
        <f t="shared" si="2134"/>
        <v>123.34086909822395</v>
      </c>
      <c r="BK356" s="323"/>
      <c r="BL356" s="323">
        <f t="shared" ref="BL356:BN356" si="2135">BL351+BL354</f>
        <v>64.214436741558501</v>
      </c>
      <c r="BM356" s="323">
        <f t="shared" si="2135"/>
        <v>64.203756863294217</v>
      </c>
      <c r="BN356" s="323">
        <f t="shared" si="2135"/>
        <v>128.41819360485272</v>
      </c>
      <c r="BO356" s="323"/>
      <c r="BP356" s="323">
        <f t="shared" ref="BP356:BR356" si="2136">BP351+BP354</f>
        <v>66.826955989128706</v>
      </c>
      <c r="BQ356" s="323">
        <f t="shared" si="2136"/>
        <v>66.909733968718555</v>
      </c>
      <c r="BR356" s="323">
        <f t="shared" si="2136"/>
        <v>133.73668995784729</v>
      </c>
      <c r="BS356" s="323"/>
      <c r="BT356" s="323">
        <f t="shared" ref="BT356:BV356" si="2137">BT351+BT354</f>
        <v>69.563537147287263</v>
      </c>
      <c r="BU356" s="323">
        <f t="shared" si="2137"/>
        <v>69.744625714659293</v>
      </c>
      <c r="BV356" s="323">
        <f t="shared" si="2137"/>
        <v>139.30816286194661</v>
      </c>
      <c r="BW356" s="323"/>
      <c r="BX356" s="323">
        <f t="shared" ref="BX356:BZ356" si="2138">BX351+BX354</f>
        <v>72.430252030527797</v>
      </c>
      <c r="BY356" s="323">
        <f t="shared" si="2138"/>
        <v>72.714750148847173</v>
      </c>
      <c r="BZ356" s="323">
        <f t="shared" si="2138"/>
        <v>145.14500217937498</v>
      </c>
    </row>
    <row r="357" spans="1:78" s="671" customFormat="1" ht="17.399999999999999" customHeight="1" thickBot="1">
      <c r="A357" s="669"/>
      <c r="B357" s="670" t="s">
        <v>612</v>
      </c>
      <c r="D357" s="672"/>
      <c r="E357" s="672"/>
      <c r="F357" s="672"/>
      <c r="H357" s="672"/>
      <c r="I357" s="672"/>
      <c r="J357" s="672"/>
      <c r="L357" s="672"/>
      <c r="M357" s="672"/>
      <c r="N357" s="672"/>
      <c r="P357" s="672"/>
      <c r="Q357" s="672"/>
      <c r="R357" s="672"/>
      <c r="T357" s="672"/>
      <c r="U357" s="672"/>
      <c r="V357" s="672"/>
      <c r="X357" s="672">
        <f>+X356/T356-1</f>
        <v>-3.6496350364964014E-3</v>
      </c>
      <c r="Y357" s="672">
        <f>+Y356/U356-1</f>
        <v>6.4308681672025081E-3</v>
      </c>
      <c r="Z357" s="672">
        <f>+Z356/V356-1</f>
        <v>1.7094017094019254E-3</v>
      </c>
      <c r="AB357" s="672">
        <f>+AB356/X356-1</f>
        <v>5.1282051282051322E-2</v>
      </c>
      <c r="AC357" s="672">
        <f>+AC356/Y356-1</f>
        <v>-3.514376996805102E-2</v>
      </c>
      <c r="AD357" s="672">
        <f>+AD356/Z356-1</f>
        <v>5.1194539249146409E-3</v>
      </c>
      <c r="AF357" s="673">
        <f>+AF356/AB356-1</f>
        <v>3.8327526132404088E-2</v>
      </c>
      <c r="AG357" s="672">
        <f>+AG356/AC356-1</f>
        <v>0.35430463576158955</v>
      </c>
      <c r="AH357" s="672">
        <f>+AH356/AD356-1</f>
        <v>0.20033955857385388</v>
      </c>
      <c r="AJ357" s="673">
        <f>+AJ356/AF356-1</f>
        <v>0.36912751677852329</v>
      </c>
      <c r="AK357" s="672">
        <f>+AK356/AG356-1</f>
        <v>0.1716870415647922</v>
      </c>
      <c r="AL357" s="672">
        <f>+AL356/AH356-1</f>
        <v>0.25521923620933573</v>
      </c>
      <c r="AN357" s="673">
        <f>+AN356/AJ356-1</f>
        <v>0.18872549019607843</v>
      </c>
      <c r="AO357" s="672">
        <f>+AO356/AK356-1</f>
        <v>3.0841784566587149E-2</v>
      </c>
      <c r="AP357" s="672">
        <f>+AP356/AL356-1</f>
        <v>0.10342107635445741</v>
      </c>
      <c r="AR357" s="673">
        <f t="shared" ref="AR357" si="2139">+AR356/AN356-1</f>
        <v>8.9146884475439725E-2</v>
      </c>
      <c r="AS357" s="672">
        <f t="shared" ref="AS357" si="2140">+AS356/AO356-1</f>
        <v>6.0939314632735719E-2</v>
      </c>
      <c r="AT357" s="672">
        <f t="shared" ref="AT357" si="2141">+AT356/AP356-1</f>
        <v>7.467194338265104E-2</v>
      </c>
      <c r="AV357" s="673">
        <f t="shared" ref="AV357" si="2142">+AV356/AR356-1</f>
        <v>3.9180791242201529E-2</v>
      </c>
      <c r="AW357" s="672">
        <f t="shared" ref="AW357" si="2143">+AW356/AS356-1</f>
        <v>4.0877106030146493E-2</v>
      </c>
      <c r="AX357" s="672">
        <f t="shared" ref="AX357" si="2144">+AX356/AT356-1</f>
        <v>4.0025618182143452E-2</v>
      </c>
      <c r="AZ357" s="673">
        <f t="shared" ref="AZ357" si="2145">+AZ356/AV356-1</f>
        <v>3.9557769155090572E-2</v>
      </c>
      <c r="BA357" s="672">
        <f t="shared" ref="BA357" si="2146">+BA356/AW356-1</f>
        <v>4.120299071486877E-2</v>
      </c>
      <c r="BB357" s="672">
        <f t="shared" ref="BB357" si="2147">+BB356/AX356-1</f>
        <v>4.0377820636469552E-2</v>
      </c>
      <c r="BD357" s="673">
        <f t="shared" ref="BD357" si="2148">+BD356/AZ356-1</f>
        <v>3.9848853901811143E-2</v>
      </c>
      <c r="BE357" s="672">
        <f t="shared" ref="BE357" si="2149">+BE356/BA356-1</f>
        <v>4.1447272688139858E-2</v>
      </c>
      <c r="BF357" s="672">
        <f t="shared" ref="BF357" si="2150">+BF356/BB356-1</f>
        <v>4.064620871911595E-2</v>
      </c>
      <c r="BH357" s="673">
        <f t="shared" ref="BH357" si="2151">+BH356/BD356-1</f>
        <v>4.0133624095666676E-2</v>
      </c>
      <c r="BI357" s="672">
        <f t="shared" ref="BI357" si="2152">+BI356/BE356-1</f>
        <v>4.168595295891997E-2</v>
      </c>
      <c r="BJ357" s="672">
        <f t="shared" ref="BJ357" si="2153">+BJ356/BF356-1</f>
        <v>4.0908583513499241E-2</v>
      </c>
      <c r="BL357" s="673">
        <f t="shared" ref="BL357" si="2154">+BL356/BH356-1</f>
        <v>4.0412096857598279E-2</v>
      </c>
      <c r="BM357" s="672">
        <f t="shared" ref="BM357" si="2155">+BM356/BI356-1</f>
        <v>4.1919080648244567E-2</v>
      </c>
      <c r="BN357" s="672">
        <f t="shared" ref="BN357" si="2156">+BN356/BJ356-1</f>
        <v>4.1164980786582372E-2</v>
      </c>
      <c r="BP357" s="673">
        <f t="shared" ref="BP357" si="2157">+BP356/BL356-1</f>
        <v>4.0684297490371391E-2</v>
      </c>
      <c r="BQ357" s="672">
        <f t="shared" ref="BQ357" si="2158">+BQ356/BM356-1</f>
        <v>4.2146709750739975E-2</v>
      </c>
      <c r="BR357" s="672">
        <f t="shared" ref="BR357" si="2159">+BR356/BN356-1</f>
        <v>4.1415442809916492E-2</v>
      </c>
      <c r="BT357" s="673">
        <f t="shared" ref="BT357" si="2160">+BT356/BP356-1</f>
        <v>4.0950259033252001E-2</v>
      </c>
      <c r="BU357" s="672">
        <f t="shared" ref="BU357" si="2161">+BU356/BQ356-1</f>
        <v>4.2368898780349218E-2</v>
      </c>
      <c r="BV357" s="672">
        <f t="shared" ref="BV357" si="2162">+BV356/BR356-1</f>
        <v>4.1660017949116224E-2</v>
      </c>
      <c r="BX357" s="673">
        <f t="shared" ref="BX357" si="2163">+BX356/BT356-1</f>
        <v>4.1210021813163689E-2</v>
      </c>
      <c r="BY357" s="672">
        <f t="shared" ref="BY357" si="2164">+BY356/BU356-1</f>
        <v>4.2585710422180956E-2</v>
      </c>
      <c r="BZ357" s="672">
        <f t="shared" ref="BZ357" si="2165">+BZ356/BV356-1</f>
        <v>4.1898760255798084E-2</v>
      </c>
    </row>
    <row r="358" spans="1:78" s="220" customFormat="1" ht="17.399999999999999" customHeight="1">
      <c r="A358" s="660"/>
      <c r="B358" s="661"/>
      <c r="D358" s="683"/>
      <c r="E358" s="683"/>
      <c r="F358" s="683"/>
      <c r="H358" s="683"/>
      <c r="I358" s="683"/>
      <c r="J358" s="683"/>
      <c r="L358" s="683"/>
      <c r="M358" s="683"/>
      <c r="N358" s="683"/>
      <c r="P358" s="683"/>
      <c r="Q358" s="683"/>
      <c r="R358" s="683"/>
      <c r="T358" s="683"/>
      <c r="U358" s="683"/>
      <c r="V358" s="683"/>
      <c r="X358" s="683"/>
      <c r="Y358" s="683"/>
      <c r="Z358" s="683"/>
      <c r="AB358" s="683"/>
      <c r="AC358" s="683"/>
      <c r="AD358" s="683"/>
      <c r="AF358" s="684"/>
      <c r="AG358" s="683"/>
      <c r="AH358" s="683"/>
      <c r="AJ358" s="684"/>
      <c r="AK358" s="683"/>
      <c r="AL358" s="683"/>
      <c r="AM358" s="316"/>
      <c r="AN358" s="684"/>
      <c r="AO358" s="683"/>
      <c r="AP358" s="683"/>
      <c r="AR358" s="684"/>
      <c r="AS358" s="683"/>
      <c r="AT358" s="683"/>
      <c r="AV358" s="684"/>
      <c r="AW358" s="683"/>
      <c r="AX358" s="683"/>
      <c r="AZ358" s="684"/>
      <c r="BA358" s="683"/>
      <c r="BB358" s="683"/>
      <c r="BD358" s="684"/>
      <c r="BE358" s="683"/>
      <c r="BF358" s="683"/>
      <c r="BH358" s="684"/>
      <c r="BI358" s="683"/>
      <c r="BJ358" s="683"/>
      <c r="BL358" s="684"/>
      <c r="BM358" s="683"/>
      <c r="BN358" s="683"/>
      <c r="BP358" s="684"/>
      <c r="BQ358" s="683"/>
      <c r="BR358" s="683"/>
      <c r="BT358" s="684"/>
      <c r="BU358" s="683"/>
      <c r="BV358" s="683"/>
      <c r="BX358" s="684"/>
      <c r="BY358" s="683"/>
      <c r="BZ358" s="683"/>
    </row>
    <row r="359" spans="1:78">
      <c r="B359" s="150" t="s">
        <v>185</v>
      </c>
      <c r="D359" s="168">
        <v>-6.6319999999999997</v>
      </c>
      <c r="E359" s="136">
        <f>F359-D359</f>
        <v>-11.057</v>
      </c>
      <c r="F359" s="168">
        <v>-17.689</v>
      </c>
      <c r="H359" s="168">
        <v>-12.228999999999999</v>
      </c>
      <c r="I359" s="136">
        <f>J359-H359</f>
        <v>-12.82</v>
      </c>
      <c r="J359" s="168">
        <v>-25.048999999999999</v>
      </c>
      <c r="L359" s="168">
        <v>-11.784000000000001</v>
      </c>
      <c r="M359" s="136">
        <f>N359-L359</f>
        <v>-15.016</v>
      </c>
      <c r="N359" s="168">
        <v>-26.8</v>
      </c>
      <c r="P359" s="168">
        <v>-15</v>
      </c>
      <c r="Q359" s="136">
        <f>R359-P359</f>
        <v>-18.600000000000001</v>
      </c>
      <c r="R359" s="168">
        <v>-33.6</v>
      </c>
      <c r="T359" s="168">
        <v>-19.100000000000001</v>
      </c>
      <c r="U359" s="136">
        <f>V359-T359</f>
        <v>-20.199999999999996</v>
      </c>
      <c r="V359" s="168">
        <v>-39.299999999999997</v>
      </c>
      <c r="X359" s="168">
        <v>-20</v>
      </c>
      <c r="Y359" s="136">
        <f>Z359-X359</f>
        <v>-21.700000000000003</v>
      </c>
      <c r="Z359" s="168">
        <v>-41.7</v>
      </c>
      <c r="AB359" s="168">
        <v>-22</v>
      </c>
      <c r="AC359" s="136">
        <f>AD359-AB359</f>
        <v>-21.5</v>
      </c>
      <c r="AD359" s="168">
        <v>-43.5</v>
      </c>
      <c r="AE359" s="168"/>
      <c r="AF359" s="264">
        <v>-23</v>
      </c>
      <c r="AG359" s="136">
        <f>AH359-AF359</f>
        <v>-27.1</v>
      </c>
      <c r="AH359" s="264">
        <v>-50.1</v>
      </c>
      <c r="AI359" s="168"/>
      <c r="AJ359" s="264">
        <v>-25.9</v>
      </c>
      <c r="AK359" s="136">
        <f>AL359-AJ359</f>
        <v>-30.451000000000001</v>
      </c>
      <c r="AL359" s="264">
        <v>-56.350999999999999</v>
      </c>
      <c r="AM359" s="136"/>
      <c r="AN359" s="168">
        <v>-30.9</v>
      </c>
      <c r="AO359" s="136">
        <f>AP359-AN359</f>
        <v>-33.300000000000004</v>
      </c>
      <c r="AP359" s="912">
        <v>-64.2</v>
      </c>
      <c r="AR359" s="136">
        <f t="shared" ref="AR359:AS359" si="2166">+AR360</f>
        <v>-34.863591772058825</v>
      </c>
      <c r="AS359" s="136">
        <f t="shared" si="2166"/>
        <v>-34.066761392857146</v>
      </c>
      <c r="AT359" s="136">
        <f t="shared" ref="AT359:AT360" si="2167">+AS359+AR359</f>
        <v>-68.930353164915971</v>
      </c>
      <c r="AV359" s="136">
        <f t="shared" ref="AV359:AW359" si="2168">+AV360</f>
        <v>-35.680641930456936</v>
      </c>
      <c r="AW359" s="136">
        <f t="shared" si="2168"/>
        <v>-34.913784133333337</v>
      </c>
      <c r="AX359" s="136">
        <f t="shared" ref="AX359:AX360" si="2169">+AW359+AV359</f>
        <v>-70.59442606379028</v>
      </c>
      <c r="AZ359" s="136">
        <f t="shared" ref="AZ359:BA359" si="2170">+AZ360</f>
        <v>-36.806764769345492</v>
      </c>
      <c r="BA359" s="136">
        <f t="shared" si="2170"/>
        <v>-36.068333828231253</v>
      </c>
      <c r="BB359" s="136">
        <f t="shared" ref="BB359:BB360" si="2171">+BA359+AZ359</f>
        <v>-72.875098597576738</v>
      </c>
      <c r="BD359" s="136">
        <f t="shared" ref="BD359:BE359" si="2172">+BD360</f>
        <v>-38.273472161237464</v>
      </c>
      <c r="BE359" s="136">
        <f t="shared" si="2172"/>
        <v>-37.563267895816821</v>
      </c>
      <c r="BF359" s="136">
        <f t="shared" ref="BF359:BF360" si="2173">+BE359+BD359</f>
        <v>-75.836740057054286</v>
      </c>
      <c r="BH359" s="136">
        <f t="shared" ref="BH359:BI359" si="2174">+BH360</f>
        <v>-39.80952530579254</v>
      </c>
      <c r="BI359" s="136">
        <f t="shared" si="2174"/>
        <v>-39.129128514305144</v>
      </c>
      <c r="BJ359" s="136">
        <f t="shared" ref="BJ359:BJ360" si="2175">+BI359+BH359</f>
        <v>-78.938653820097684</v>
      </c>
      <c r="BL359" s="136">
        <f t="shared" ref="BL359:BM359" si="2176">+BL360</f>
        <v>-41.418311698305232</v>
      </c>
      <c r="BM359" s="136">
        <f t="shared" si="2176"/>
        <v>-40.769385608191826</v>
      </c>
      <c r="BN359" s="136">
        <f t="shared" ref="BN359:BN360" si="2177">+BM359+BL359</f>
        <v>-82.187697306497057</v>
      </c>
      <c r="BP359" s="136">
        <f t="shared" ref="BP359:BQ359" si="2178">+BP360</f>
        <v>-43.103386612988018</v>
      </c>
      <c r="BQ359" s="136">
        <f t="shared" si="2178"/>
        <v>-42.487681070136283</v>
      </c>
      <c r="BR359" s="136">
        <f t="shared" ref="BR359:BR360" si="2179">+BQ359+BP359</f>
        <v>-85.591067683124294</v>
      </c>
      <c r="BT359" s="136">
        <f t="shared" ref="BT359:BU359" si="2180">+BT360</f>
        <v>-44.868481460000282</v>
      </c>
      <c r="BU359" s="136">
        <f t="shared" si="2180"/>
        <v>-44.287837328808649</v>
      </c>
      <c r="BV359" s="136">
        <f t="shared" ref="BV359:BV360" si="2181">+BU359+BT359</f>
        <v>-89.156318788808932</v>
      </c>
      <c r="BX359" s="136">
        <f t="shared" ref="BX359:BY359" si="2182">+BX360</f>
        <v>-46.717512559690434</v>
      </c>
      <c r="BY359" s="136">
        <f t="shared" si="2182"/>
        <v>-46.173866344517954</v>
      </c>
      <c r="BZ359" s="136">
        <f t="shared" ref="BZ359:BZ360" si="2183">+BY359+BX359</f>
        <v>-92.891378904208381</v>
      </c>
    </row>
    <row r="360" spans="1:78">
      <c r="B360" s="307" t="s">
        <v>503</v>
      </c>
      <c r="D360" s="232">
        <f t="shared" ref="D360" si="2184">+D359</f>
        <v>-6.6319999999999997</v>
      </c>
      <c r="E360" s="232">
        <f t="shared" ref="E360" si="2185">+E359</f>
        <v>-11.057</v>
      </c>
      <c r="F360" s="232">
        <f t="shared" ref="F360" si="2186">+F359</f>
        <v>-17.689</v>
      </c>
      <c r="H360" s="232">
        <f t="shared" ref="H360" si="2187">+H359</f>
        <v>-12.228999999999999</v>
      </c>
      <c r="I360" s="232">
        <f t="shared" ref="I360" si="2188">+I359</f>
        <v>-12.82</v>
      </c>
      <c r="J360" s="232">
        <f t="shared" ref="J360" si="2189">+J359</f>
        <v>-25.048999999999999</v>
      </c>
      <c r="L360" s="232">
        <f t="shared" ref="L360" si="2190">+L359</f>
        <v>-11.784000000000001</v>
      </c>
      <c r="M360" s="232">
        <f t="shared" ref="M360" si="2191">+M359</f>
        <v>-15.016</v>
      </c>
      <c r="N360" s="232">
        <f t="shared" ref="N360" si="2192">+N359</f>
        <v>-26.8</v>
      </c>
      <c r="P360" s="232">
        <f t="shared" ref="P360" si="2193">+P359</f>
        <v>-15</v>
      </c>
      <c r="Q360" s="232">
        <f t="shared" ref="Q360" si="2194">+Q359</f>
        <v>-18.600000000000001</v>
      </c>
      <c r="R360" s="232">
        <f t="shared" ref="R360" si="2195">+R359</f>
        <v>-33.6</v>
      </c>
      <c r="T360" s="232">
        <f t="shared" ref="T360" si="2196">+T359</f>
        <v>-19.100000000000001</v>
      </c>
      <c r="U360" s="232">
        <f t="shared" ref="U360" si="2197">+U359</f>
        <v>-20.199999999999996</v>
      </c>
      <c r="V360" s="232">
        <f t="shared" ref="V360" si="2198">+V359</f>
        <v>-39.299999999999997</v>
      </c>
      <c r="X360" s="232">
        <f t="shared" ref="X360" si="2199">+X359</f>
        <v>-20</v>
      </c>
      <c r="Y360" s="232">
        <f t="shared" ref="Y360" si="2200">+Y359</f>
        <v>-21.700000000000003</v>
      </c>
      <c r="Z360" s="232">
        <f t="shared" ref="Z360" si="2201">+Z359</f>
        <v>-41.7</v>
      </c>
      <c r="AB360" s="232">
        <f t="shared" ref="AB360:AD360" si="2202">+AB359</f>
        <v>-22</v>
      </c>
      <c r="AC360" s="232">
        <f t="shared" si="2202"/>
        <v>-21.5</v>
      </c>
      <c r="AD360" s="232">
        <f t="shared" si="2202"/>
        <v>-43.5</v>
      </c>
      <c r="AF360" s="232">
        <f>+AF359</f>
        <v>-23</v>
      </c>
      <c r="AG360" s="232">
        <f t="shared" ref="AG360:AH360" si="2203">+AG359</f>
        <v>-27.1</v>
      </c>
      <c r="AH360" s="232">
        <f t="shared" si="2203"/>
        <v>-50.1</v>
      </c>
      <c r="AJ360" s="232">
        <f>+AJ359</f>
        <v>-25.9</v>
      </c>
      <c r="AK360" s="232">
        <f t="shared" ref="AK360:AL360" si="2204">+AK359</f>
        <v>-30.451000000000001</v>
      </c>
      <c r="AL360" s="232">
        <f t="shared" si="2204"/>
        <v>-56.350999999999999</v>
      </c>
      <c r="AN360" s="232">
        <f>+AN359</f>
        <v>-30.9</v>
      </c>
      <c r="AO360" s="232">
        <f t="shared" ref="AO360:AP360" si="2205">+AO359</f>
        <v>-33.300000000000004</v>
      </c>
      <c r="AP360" s="232">
        <f t="shared" si="2205"/>
        <v>-64.2</v>
      </c>
      <c r="AR360" s="232">
        <f t="shared" ref="AR360:AS360" si="2206">-(AR356-AR363)</f>
        <v>-34.863591772058825</v>
      </c>
      <c r="AS360" s="232">
        <f t="shared" si="2206"/>
        <v>-34.066761392857146</v>
      </c>
      <c r="AT360" s="232">
        <f t="shared" si="2167"/>
        <v>-68.930353164915971</v>
      </c>
      <c r="AV360" s="232">
        <f t="shared" ref="AV360:AW360" si="2207">-(AV356-AV363)</f>
        <v>-35.680641930456936</v>
      </c>
      <c r="AW360" s="232">
        <f t="shared" si="2207"/>
        <v>-34.913784133333337</v>
      </c>
      <c r="AX360" s="232">
        <f t="shared" si="2169"/>
        <v>-70.59442606379028</v>
      </c>
      <c r="AZ360" s="232">
        <f t="shared" ref="AZ360:BA360" si="2208">-(AZ356-AZ363)</f>
        <v>-36.806764769345492</v>
      </c>
      <c r="BA360" s="232">
        <f t="shared" si="2208"/>
        <v>-36.068333828231253</v>
      </c>
      <c r="BB360" s="232">
        <f t="shared" si="2171"/>
        <v>-72.875098597576738</v>
      </c>
      <c r="BD360" s="232">
        <f t="shared" ref="BD360:BE360" si="2209">-(BD356-BD363)</f>
        <v>-38.273472161237464</v>
      </c>
      <c r="BE360" s="232">
        <f t="shared" si="2209"/>
        <v>-37.563267895816821</v>
      </c>
      <c r="BF360" s="232">
        <f t="shared" si="2173"/>
        <v>-75.836740057054286</v>
      </c>
      <c r="BH360" s="232">
        <f t="shared" ref="BH360:BI360" si="2210">-(BH356-BH363)</f>
        <v>-39.80952530579254</v>
      </c>
      <c r="BI360" s="232">
        <f t="shared" si="2210"/>
        <v>-39.129128514305144</v>
      </c>
      <c r="BJ360" s="232">
        <f t="shared" si="2175"/>
        <v>-78.938653820097684</v>
      </c>
      <c r="BL360" s="232">
        <f t="shared" ref="BL360:BM360" si="2211">-(BL356-BL363)</f>
        <v>-41.418311698305232</v>
      </c>
      <c r="BM360" s="232">
        <f t="shared" si="2211"/>
        <v>-40.769385608191826</v>
      </c>
      <c r="BN360" s="232">
        <f t="shared" si="2177"/>
        <v>-82.187697306497057</v>
      </c>
      <c r="BP360" s="232">
        <f t="shared" ref="BP360:BQ360" si="2212">-(BP356-BP363)</f>
        <v>-43.103386612988018</v>
      </c>
      <c r="BQ360" s="232">
        <f t="shared" si="2212"/>
        <v>-42.487681070136283</v>
      </c>
      <c r="BR360" s="232">
        <f t="shared" si="2179"/>
        <v>-85.591067683124294</v>
      </c>
      <c r="BT360" s="232">
        <f t="shared" ref="BT360:BU360" si="2213">-(BT356-BT363)</f>
        <v>-44.868481460000282</v>
      </c>
      <c r="BU360" s="232">
        <f t="shared" si="2213"/>
        <v>-44.287837328808649</v>
      </c>
      <c r="BV360" s="232">
        <f t="shared" si="2181"/>
        <v>-89.156318788808932</v>
      </c>
      <c r="BX360" s="232">
        <f t="shared" ref="BX360:BY360" si="2214">-(BX356-BX363)</f>
        <v>-46.717512559690434</v>
      </c>
      <c r="BY360" s="232">
        <f t="shared" si="2214"/>
        <v>-46.173866344517954</v>
      </c>
      <c r="BZ360" s="232">
        <f t="shared" si="2183"/>
        <v>-92.891378904208381</v>
      </c>
    </row>
    <row r="361" spans="1:78" s="135" customFormat="1">
      <c r="A361" s="134"/>
      <c r="B361" s="314" t="s">
        <v>504</v>
      </c>
      <c r="D361" s="315">
        <f>-D359/D351</f>
        <v>0.86670151594354417</v>
      </c>
      <c r="E361" s="315">
        <f>-E359/E351</f>
        <v>0.66935044494218787</v>
      </c>
      <c r="F361" s="315">
        <f>-F359/F351</f>
        <v>0.73182739646684047</v>
      </c>
      <c r="G361" s="133"/>
      <c r="H361" s="315">
        <f>-H359/H351</f>
        <v>0.68078828703445959</v>
      </c>
      <c r="I361" s="315">
        <f>-I359/I351</f>
        <v>0.62692552203041718</v>
      </c>
      <c r="J361" s="315">
        <f>-J359/J351</f>
        <v>0.65211392273247948</v>
      </c>
      <c r="K361" s="133"/>
      <c r="L361" s="315">
        <f>-L359/L351</f>
        <v>0.64818481848184828</v>
      </c>
      <c r="M361" s="315">
        <f>-M359/M351</f>
        <v>0.61998348472336895</v>
      </c>
      <c r="N361" s="315">
        <f>-N359/N351</f>
        <v>0.63207547169811318</v>
      </c>
      <c r="O361" s="133"/>
      <c r="P361" s="315">
        <f>-P359/P351</f>
        <v>0.67264573991031384</v>
      </c>
      <c r="Q361" s="315">
        <f>-Q359/Q351</f>
        <v>0.65492957746478886</v>
      </c>
      <c r="R361" s="315">
        <f>-R359/R351</f>
        <v>0.66272189349112431</v>
      </c>
      <c r="S361" s="133"/>
      <c r="T361" s="315">
        <f>-T359/T351</f>
        <v>0.6970802919708029</v>
      </c>
      <c r="U361" s="315">
        <f>-U359/U351</f>
        <v>0.64951768488745976</v>
      </c>
      <c r="V361" s="315">
        <f>-V359/V351</f>
        <v>0.67179487179487185</v>
      </c>
      <c r="W361" s="133"/>
      <c r="X361" s="315">
        <f>-X359/X351</f>
        <v>0.73260073260073255</v>
      </c>
      <c r="Y361" s="315">
        <f>-Y359/Y351</f>
        <v>0.69329073482428127</v>
      </c>
      <c r="Z361" s="315">
        <f>-Z359/Z351</f>
        <v>0.71160409556313997</v>
      </c>
      <c r="AA361" s="133"/>
      <c r="AB361" s="315">
        <f>-AB359/AB351</f>
        <v>0.76655052264808354</v>
      </c>
      <c r="AC361" s="315">
        <f>-AC359/AC351</f>
        <v>0.71192052980132448</v>
      </c>
      <c r="AD361" s="315">
        <f>-AD359/AD351</f>
        <v>0.73853989813242782</v>
      </c>
      <c r="AE361" s="133"/>
      <c r="AF361" s="374">
        <f>-AF359/AF351</f>
        <v>0.77181208053691275</v>
      </c>
      <c r="AG361" s="315">
        <f>-AG359/AG351</f>
        <v>0.66259168704156468</v>
      </c>
      <c r="AH361" s="315">
        <f>-AH359/AH351</f>
        <v>0.70862800565770878</v>
      </c>
      <c r="AI361" s="133"/>
      <c r="AJ361" s="374">
        <f>-AJ359/AJ351</f>
        <v>0.63480392156862742</v>
      </c>
      <c r="AK361" s="315">
        <f>-AK359/AK351</f>
        <v>0.63542840449063054</v>
      </c>
      <c r="AL361" s="315">
        <f>-AL359/AL351</f>
        <v>0.63514122765492198</v>
      </c>
      <c r="AM361" s="133"/>
      <c r="AN361" s="315">
        <f>-AN359/AN351</f>
        <v>0.63711340206185563</v>
      </c>
      <c r="AO361" s="315">
        <f>-AO359/AO351</f>
        <v>0.67408906882591102</v>
      </c>
      <c r="AP361" s="315">
        <f>-AP359/AP351</f>
        <v>0.65577119509703785</v>
      </c>
      <c r="AQ361" s="133"/>
      <c r="AR361" s="315">
        <f>-AR359/AR351</f>
        <v>0.65619408567774939</v>
      </c>
      <c r="AS361" s="315">
        <f>-AS359/AS351</f>
        <v>0.64635452117134939</v>
      </c>
      <c r="AT361" s="315">
        <f>-AT359/AT351</f>
        <v>0.65129401304769619</v>
      </c>
      <c r="AU361" s="133"/>
      <c r="AV361" s="315">
        <f>-AV359/AV351</f>
        <v>0.64644927853338086</v>
      </c>
      <c r="AW361" s="315">
        <f>-AW359/AW351</f>
        <v>0.63657939735589619</v>
      </c>
      <c r="AX361" s="315">
        <f>-AX359/AX351</f>
        <v>0.64152998411618667</v>
      </c>
      <c r="AY361" s="133"/>
      <c r="AZ361" s="315">
        <f>-AZ359/AZ351</f>
        <v>0.64159096371414892</v>
      </c>
      <c r="BA361" s="315">
        <f>-BA359/BA351</f>
        <v>0.63172018608438607</v>
      </c>
      <c r="BB361" s="315">
        <f>-BB359/BB351</f>
        <v>0.63666732587130936</v>
      </c>
      <c r="BC361" s="133"/>
      <c r="BD361" s="315">
        <f>-BD359/BD351</f>
        <v>0.64165569871865724</v>
      </c>
      <c r="BE361" s="315">
        <f>-BE359/BE351</f>
        <v>0.63178738793262224</v>
      </c>
      <c r="BF361" s="315">
        <f>-BF359/BF351</f>
        <v>0.63672951550548762</v>
      </c>
      <c r="BG361" s="133"/>
      <c r="BH361" s="315">
        <f>-BH359/BH351</f>
        <v>0.64172010439511806</v>
      </c>
      <c r="BI361" s="315">
        <f>-BI359/BI351</f>
        <v>0.63185393715124116</v>
      </c>
      <c r="BJ361" s="315">
        <f>-BJ359/BJ351</f>
        <v>0.63679132505944591</v>
      </c>
      <c r="BK361" s="133"/>
      <c r="BL361" s="315">
        <f>-BL359/BL351</f>
        <v>0.64178413262699185</v>
      </c>
      <c r="BM361" s="315">
        <f>-BM359/BM351</f>
        <v>0.63191980052543573</v>
      </c>
      <c r="BN361" s="315">
        <f>-BN359/BN351</f>
        <v>0.63685271165544421</v>
      </c>
      <c r="BO361" s="133"/>
      <c r="BP361" s="315">
        <f>-BP359/BP351</f>
        <v>0.64184773776560156</v>
      </c>
      <c r="BQ361" s="315">
        <f>-BQ359/BQ351</f>
        <v>0.63198494719275777</v>
      </c>
      <c r="BR361" s="315">
        <f>-BR359/BR351</f>
        <v>0.63691363480353891</v>
      </c>
      <c r="BS361" s="133"/>
      <c r="BT361" s="315">
        <f>-BT359/BT351</f>
        <v>0.64191087663171031</v>
      </c>
      <c r="BU361" s="315">
        <f>-BU359/BU351</f>
        <v>0.63204934859822171</v>
      </c>
      <c r="BV361" s="315">
        <f>-BV359/BV351</f>
        <v>0.63697405638509541</v>
      </c>
      <c r="BW361" s="133"/>
      <c r="BX361" s="315">
        <f>-BX359/BX351</f>
        <v>0.64197350850777279</v>
      </c>
      <c r="BY361" s="315">
        <f>-BY359/BY351</f>
        <v>0.63211297844437031</v>
      </c>
      <c r="BZ361" s="315">
        <f>-BZ359/BZ351</f>
        <v>0.63703394062883278</v>
      </c>
    </row>
    <row r="362" spans="1:78" s="135" customFormat="1">
      <c r="A362" s="134"/>
      <c r="B362" s="314"/>
      <c r="D362" s="315"/>
      <c r="E362" s="315"/>
      <c r="F362" s="315"/>
      <c r="G362" s="133"/>
      <c r="H362" s="315"/>
      <c r="I362" s="315"/>
      <c r="J362" s="315"/>
      <c r="K362" s="133"/>
      <c r="L362" s="315"/>
      <c r="M362" s="315"/>
      <c r="N362" s="315"/>
      <c r="O362" s="133"/>
      <c r="P362" s="315"/>
      <c r="Q362" s="315"/>
      <c r="R362" s="315"/>
      <c r="S362" s="133"/>
      <c r="T362" s="315"/>
      <c r="U362" s="315"/>
      <c r="V362" s="315"/>
      <c r="W362" s="133"/>
      <c r="X362" s="315"/>
      <c r="Y362" s="315"/>
      <c r="Z362" s="315"/>
      <c r="AA362" s="133"/>
      <c r="AB362" s="315"/>
      <c r="AC362" s="315"/>
      <c r="AD362" s="315"/>
      <c r="AE362" s="133"/>
      <c r="AF362" s="374"/>
      <c r="AG362" s="315"/>
      <c r="AH362" s="315"/>
      <c r="AI362" s="133"/>
      <c r="AJ362" s="374"/>
      <c r="AK362" s="315"/>
      <c r="AL362" s="315"/>
      <c r="AM362" s="161"/>
      <c r="AN362" s="315"/>
      <c r="AO362" s="315"/>
      <c r="AP362" s="315"/>
      <c r="AQ362" s="133"/>
      <c r="AR362" s="315"/>
      <c r="AS362" s="315"/>
      <c r="AT362" s="315"/>
      <c r="AU362" s="133"/>
      <c r="AV362" s="315"/>
      <c r="AW362" s="315"/>
      <c r="AX362" s="315"/>
      <c r="AY362" s="133"/>
      <c r="AZ362" s="315"/>
      <c r="BA362" s="315"/>
      <c r="BB362" s="315"/>
      <c r="BC362" s="133"/>
      <c r="BD362" s="315"/>
      <c r="BE362" s="315"/>
      <c r="BF362" s="315"/>
      <c r="BG362" s="133"/>
      <c r="BH362" s="315"/>
      <c r="BI362" s="315"/>
      <c r="BJ362" s="315"/>
      <c r="BK362" s="133"/>
      <c r="BL362" s="315"/>
      <c r="BM362" s="315"/>
      <c r="BN362" s="315"/>
      <c r="BO362" s="133"/>
      <c r="BP362" s="315"/>
      <c r="BQ362" s="315"/>
      <c r="BR362" s="315"/>
      <c r="BS362" s="133"/>
      <c r="BT362" s="315"/>
      <c r="BU362" s="315"/>
      <c r="BV362" s="315"/>
      <c r="BW362" s="133"/>
      <c r="BX362" s="315"/>
      <c r="BY362" s="315"/>
      <c r="BZ362" s="315"/>
    </row>
    <row r="363" spans="1:78" s="135" customFormat="1" ht="14.4" thickBot="1">
      <c r="A363" s="134"/>
      <c r="B363" s="151" t="s">
        <v>180</v>
      </c>
      <c r="D363" s="232">
        <f>D359+D351</f>
        <v>1.0200000000000005</v>
      </c>
      <c r="E363" s="232">
        <f>E359+E351</f>
        <v>5.461999999999998</v>
      </c>
      <c r="F363" s="232">
        <f>F359+F351</f>
        <v>6.4819999999999993</v>
      </c>
      <c r="G363" s="133"/>
      <c r="H363" s="232">
        <f>H359+H351</f>
        <v>5.7340000000000018</v>
      </c>
      <c r="I363" s="232">
        <f>I359+I351</f>
        <v>7.6289999999999978</v>
      </c>
      <c r="J363" s="232">
        <f>J359+J351</f>
        <v>13.363</v>
      </c>
      <c r="K363" s="133"/>
      <c r="L363" s="232">
        <f>L359+L351</f>
        <v>6.395999999999999</v>
      </c>
      <c r="M363" s="232">
        <f>M359+M351</f>
        <v>9.204000000000006</v>
      </c>
      <c r="N363" s="232">
        <f>N359+N351</f>
        <v>15.600000000000005</v>
      </c>
      <c r="O363" s="133"/>
      <c r="P363" s="232">
        <f>P359+P351</f>
        <v>7.3000000000000007</v>
      </c>
      <c r="Q363" s="232">
        <f>Q359+Q351</f>
        <v>9.7999999999999936</v>
      </c>
      <c r="R363" s="232">
        <f>R359+R351</f>
        <v>17.099999999999994</v>
      </c>
      <c r="S363" s="133"/>
      <c r="T363" s="232">
        <f>T359+T351</f>
        <v>8.3000000000000007</v>
      </c>
      <c r="U363" s="232">
        <f>U359+U351</f>
        <v>10.900000000000002</v>
      </c>
      <c r="V363" s="232">
        <f>V359+V351</f>
        <v>19.199999999999996</v>
      </c>
      <c r="W363" s="133"/>
      <c r="X363" s="232">
        <f>X359+X351</f>
        <v>7.3000000000000007</v>
      </c>
      <c r="Y363" s="232">
        <f>Y359+Y351</f>
        <v>9.5999999999999943</v>
      </c>
      <c r="Z363" s="232">
        <f>Z359+Z351</f>
        <v>16.899999999999999</v>
      </c>
      <c r="AA363" s="133"/>
      <c r="AB363" s="232">
        <f>AB359+AB351</f>
        <v>6.7000000000000028</v>
      </c>
      <c r="AC363" s="232">
        <f>AC359+AC351</f>
        <v>8.6999999999999993</v>
      </c>
      <c r="AD363" s="232">
        <f>AD359+AD351</f>
        <v>15.399999999999999</v>
      </c>
      <c r="AE363" s="133"/>
      <c r="AF363" s="323">
        <f>AF359+AF351</f>
        <v>6.8000000000000007</v>
      </c>
      <c r="AG363" s="232">
        <f>AG359+AG351</f>
        <v>13.800000000000004</v>
      </c>
      <c r="AH363" s="232">
        <f>AH359+AH351</f>
        <v>20.599999999999987</v>
      </c>
      <c r="AI363" s="133"/>
      <c r="AJ363" s="323">
        <f>AJ359+AJ351</f>
        <v>14.899999999999999</v>
      </c>
      <c r="AK363" s="232">
        <f>AK359+AK351</f>
        <v>17.471000000000004</v>
      </c>
      <c r="AL363" s="140">
        <f>AL359+AL351</f>
        <v>32.371000000000024</v>
      </c>
      <c r="AM363" s="133"/>
      <c r="AN363" s="232">
        <f>AN359+AN351</f>
        <v>17.600000000000001</v>
      </c>
      <c r="AO363" s="232">
        <f>AO359+AO351</f>
        <v>16.099999999999994</v>
      </c>
      <c r="AP363" s="140">
        <f>AP359+AP351</f>
        <v>33.699999999999989</v>
      </c>
      <c r="AQ363" s="161">
        <f>AN363+AO363-AP363</f>
        <v>0</v>
      </c>
      <c r="AR363" s="232">
        <f t="shared" ref="AR363:AS363" si="2215">+AR366</f>
        <v>17.960032125000001</v>
      </c>
      <c r="AS363" s="232">
        <f t="shared" si="2215"/>
        <v>18.343640749999999</v>
      </c>
      <c r="AT363" s="232">
        <f t="shared" ref="AT363" si="2216">+AR363+AS363</f>
        <v>36.303672875000004</v>
      </c>
      <c r="AU363" s="133"/>
      <c r="AV363" s="232">
        <f t="shared" ref="AV363:AW363" si="2217">+AV366</f>
        <v>19.212653347169116</v>
      </c>
      <c r="AW363" s="232">
        <f t="shared" si="2217"/>
        <v>19.639003575</v>
      </c>
      <c r="AX363" s="232">
        <f t="shared" ref="AX363" si="2218">+AV363+AW363</f>
        <v>38.851656922169113</v>
      </c>
      <c r="AY363" s="133"/>
      <c r="AZ363" s="232">
        <f t="shared" ref="AZ363:BA363" si="2219">+AZ366</f>
        <v>20.257986811035114</v>
      </c>
      <c r="BA363" s="232">
        <f t="shared" si="2219"/>
        <v>20.732191885518752</v>
      </c>
      <c r="BB363" s="232">
        <f t="shared" ref="BB363" si="2220">+AZ363+BA363</f>
        <v>40.990178696553869</v>
      </c>
      <c r="BC363" s="133"/>
      <c r="BD363" s="232">
        <f t="shared" ref="BD363:BE363" si="2221">+BD366</f>
        <v>21.06524436781287</v>
      </c>
      <c r="BE363" s="232">
        <f t="shared" si="2221"/>
        <v>21.591484696020689</v>
      </c>
      <c r="BF363" s="232">
        <f t="shared" ref="BF363" si="2222">+BD363+BE363</f>
        <v>42.656729063833559</v>
      </c>
      <c r="BG363" s="133"/>
      <c r="BH363" s="232">
        <f t="shared" ref="BH363:BI363" si="2223">+BH366</f>
        <v>21.910668966754031</v>
      </c>
      <c r="BI363" s="232">
        <f t="shared" si="2223"/>
        <v>22.491546311372247</v>
      </c>
      <c r="BJ363" s="232">
        <f t="shared" ref="BJ363" si="2224">+BH363+BI363</f>
        <v>44.402215278126278</v>
      </c>
      <c r="BK363" s="133"/>
      <c r="BL363" s="232">
        <f t="shared" ref="BL363:BM363" si="2225">+BL366</f>
        <v>22.796125043253266</v>
      </c>
      <c r="BM363" s="232">
        <f t="shared" si="2225"/>
        <v>23.434371255102388</v>
      </c>
      <c r="BN363" s="232">
        <f t="shared" ref="BN363" si="2226">+BL363+BM363</f>
        <v>46.230496298355654</v>
      </c>
      <c r="BO363" s="133"/>
      <c r="BP363" s="232">
        <f t="shared" ref="BP363:BQ363" si="2227">+BP366</f>
        <v>23.723569376140688</v>
      </c>
      <c r="BQ363" s="232">
        <f t="shared" si="2227"/>
        <v>24.422052898582272</v>
      </c>
      <c r="BR363" s="232">
        <f t="shared" ref="BR363" si="2228">+BP363+BQ363</f>
        <v>48.14562227472296</v>
      </c>
      <c r="BS363" s="133"/>
      <c r="BT363" s="232">
        <f t="shared" ref="BT363:BU363" si="2229">+BT366</f>
        <v>24.695055687286978</v>
      </c>
      <c r="BU363" s="232">
        <f t="shared" si="2229"/>
        <v>25.45678838585064</v>
      </c>
      <c r="BV363" s="232">
        <f t="shared" ref="BV363" si="2230">+BT363+BU363</f>
        <v>50.151844073137617</v>
      </c>
      <c r="BW363" s="133"/>
      <c r="BX363" s="232">
        <f t="shared" ref="BX363:BY363" si="2231">+BX366</f>
        <v>25.712739470837366</v>
      </c>
      <c r="BY363" s="232">
        <f t="shared" si="2231"/>
        <v>26.540883804329219</v>
      </c>
      <c r="BZ363" s="232">
        <f t="shared" ref="BZ363" si="2232">+BX363+BY363</f>
        <v>52.253623275166589</v>
      </c>
    </row>
    <row r="364" spans="1:78" s="220" customFormat="1" ht="14.4" thickBot="1">
      <c r="A364" s="660"/>
      <c r="B364" s="658" t="s">
        <v>247</v>
      </c>
      <c r="D364" s="315">
        <f>+D363/D351</f>
        <v>0.13329848405645589</v>
      </c>
      <c r="E364" s="315">
        <f>+E363/E351</f>
        <v>0.33064955505781213</v>
      </c>
      <c r="F364" s="315">
        <f>+F363/F351</f>
        <v>0.26817260353315953</v>
      </c>
      <c r="G364" s="138"/>
      <c r="H364" s="315">
        <f>+H363/H351</f>
        <v>0.31921171296554035</v>
      </c>
      <c r="I364" s="315">
        <f>+I363/I351</f>
        <v>0.37307447796958282</v>
      </c>
      <c r="J364" s="315">
        <f>+J363/J351</f>
        <v>0.34788607726752058</v>
      </c>
      <c r="K364" s="138"/>
      <c r="L364" s="315">
        <f>+L363/L351</f>
        <v>0.35181518151815178</v>
      </c>
      <c r="M364" s="315">
        <f>+M363/M351</f>
        <v>0.38001651527663105</v>
      </c>
      <c r="N364" s="315">
        <f>+N363/N351</f>
        <v>0.36792452830188688</v>
      </c>
      <c r="O364" s="138"/>
      <c r="P364" s="315">
        <f>+P363/P351</f>
        <v>0.3273542600896861</v>
      </c>
      <c r="Q364" s="315">
        <f>+Q363/Q351</f>
        <v>0.34507042253521109</v>
      </c>
      <c r="R364" s="315">
        <f>+R363/R351</f>
        <v>0.33727810650887563</v>
      </c>
      <c r="S364" s="138"/>
      <c r="T364" s="315">
        <f>+T363/T351</f>
        <v>0.3029197080291971</v>
      </c>
      <c r="U364" s="315">
        <f>+U363/U351</f>
        <v>0.3504823151125403</v>
      </c>
      <c r="V364" s="315">
        <f>+V363/V351</f>
        <v>0.32820512820512815</v>
      </c>
      <c r="W364" s="138"/>
      <c r="X364" s="315">
        <f>+X363/X351</f>
        <v>0.26739926739926739</v>
      </c>
      <c r="Y364" s="315">
        <f>+Y363/Y351</f>
        <v>0.30670926517571867</v>
      </c>
      <c r="Z364" s="315">
        <f>+Z363/Z351</f>
        <v>0.28839590443686003</v>
      </c>
      <c r="AA364" s="138"/>
      <c r="AB364" s="374">
        <f t="shared" ref="AB364:AD364" si="2233">+AB363/AB356</f>
        <v>0.23344947735191646</v>
      </c>
      <c r="AC364" s="374">
        <f t="shared" si="2233"/>
        <v>0.28807947019867547</v>
      </c>
      <c r="AD364" s="374">
        <f t="shared" si="2233"/>
        <v>0.26146010186757213</v>
      </c>
      <c r="AE364" s="138"/>
      <c r="AF364" s="374">
        <f>+AF363/AF356</f>
        <v>0.22818791946308728</v>
      </c>
      <c r="AG364" s="374">
        <f t="shared" ref="AG364:AH364" si="2234">+AG363/AG356</f>
        <v>0.33740831295843526</v>
      </c>
      <c r="AH364" s="374">
        <f t="shared" si="2234"/>
        <v>0.29137199434229122</v>
      </c>
      <c r="AI364" s="138"/>
      <c r="AJ364" s="374">
        <f>+AJ363/AJ356</f>
        <v>0.36519607843137253</v>
      </c>
      <c r="AK364" s="374">
        <f t="shared" ref="AK364:AL364" si="2235">+AK363/AK356</f>
        <v>0.36457159550936946</v>
      </c>
      <c r="AL364" s="374">
        <f t="shared" si="2235"/>
        <v>0.36476832236545587</v>
      </c>
      <c r="AM364" s="138"/>
      <c r="AN364" s="315">
        <f>+AN363/AN356</f>
        <v>0.36288659793814437</v>
      </c>
      <c r="AO364" s="374">
        <f t="shared" ref="AO364:AP364" si="2236">+AO363/AO356</f>
        <v>0.32591093117408898</v>
      </c>
      <c r="AP364" s="374">
        <f t="shared" si="2236"/>
        <v>0.34415146749453635</v>
      </c>
      <c r="AQ364" s="138"/>
      <c r="AR364" s="659">
        <f>+Scenarios!AF27</f>
        <v>0.34</v>
      </c>
      <c r="AS364" s="659">
        <f>+Scenarios!AG27</f>
        <v>0.35</v>
      </c>
      <c r="AT364" s="374">
        <f t="shared" ref="AT364" si="2237">+AT363/AT356</f>
        <v>0.34498036653306202</v>
      </c>
      <c r="AU364" s="138"/>
      <c r="AV364" s="659">
        <f>+Scenarios!AJ27</f>
        <v>0.35</v>
      </c>
      <c r="AW364" s="659">
        <f>+Scenarios!AK27</f>
        <v>0.36</v>
      </c>
      <c r="AX364" s="374">
        <f t="shared" ref="AX364" si="2238">+AX363/AX356</f>
        <v>0.35498444404952634</v>
      </c>
      <c r="AY364" s="138"/>
      <c r="AZ364" s="659">
        <f>+Scenarios!AN27</f>
        <v>0.35499999999999998</v>
      </c>
      <c r="BA364" s="659">
        <f>+Scenarios!AO27</f>
        <v>0.36499999999999999</v>
      </c>
      <c r="BB364" s="374">
        <f t="shared" ref="BB364" si="2239">+BB363/BB356</f>
        <v>0.35998839743454242</v>
      </c>
      <c r="BC364" s="138"/>
      <c r="BD364" s="659">
        <f>+Scenarios!AR27</f>
        <v>0.35499999999999998</v>
      </c>
      <c r="BE364" s="659">
        <f>+Scenarios!AS27</f>
        <v>0.36499999999999999</v>
      </c>
      <c r="BF364" s="374">
        <f t="shared" ref="BF364" si="2240">+BF363/BF356</f>
        <v>0.35999223738073588</v>
      </c>
      <c r="BG364" s="138"/>
      <c r="BH364" s="659">
        <f>+Scenarios!AV27</f>
        <v>0.35499999999999998</v>
      </c>
      <c r="BI364" s="659">
        <f>+Scenarios!AW27</f>
        <v>0.36499999999999999</v>
      </c>
      <c r="BJ364" s="374">
        <f t="shared" ref="BJ364" si="2241">+BJ363/BJ356</f>
        <v>0.35999596567433018</v>
      </c>
      <c r="BK364" s="138"/>
      <c r="BL364" s="659">
        <f>+Scenarios!AZ27</f>
        <v>0.35499999999999998</v>
      </c>
      <c r="BM364" s="659">
        <f>+Scenarios!BA27</f>
        <v>0.36499999999999999</v>
      </c>
      <c r="BN364" s="374">
        <f t="shared" ref="BN364" si="2242">+BN363/BN356</f>
        <v>0.35999958417581007</v>
      </c>
      <c r="BO364" s="138"/>
      <c r="BP364" s="659">
        <f>+Scenarios!BD27</f>
        <v>0.35499999999999998</v>
      </c>
      <c r="BQ364" s="659">
        <f>+Scenarios!BE27</f>
        <v>0.36499999999999999</v>
      </c>
      <c r="BR364" s="374">
        <f t="shared" ref="BR364" si="2243">+BR363/BR356</f>
        <v>0.36000309481188797</v>
      </c>
      <c r="BS364" s="138"/>
      <c r="BT364" s="659">
        <f>+Scenarios!BH27</f>
        <v>0.35499999999999998</v>
      </c>
      <c r="BU364" s="659">
        <f>+Scenarios!BI27</f>
        <v>0.36499999999999999</v>
      </c>
      <c r="BV364" s="374">
        <f t="shared" ref="BV364" si="2244">+BV363/BV356</f>
        <v>0.36000649956770825</v>
      </c>
      <c r="BW364" s="138"/>
      <c r="BX364" s="659">
        <f>+Scenarios!BL27</f>
        <v>0.35499999999999998</v>
      </c>
      <c r="BY364" s="659">
        <f>+Scenarios!BM27</f>
        <v>0.36499999999999999</v>
      </c>
      <c r="BZ364" s="374">
        <f t="shared" ref="BZ364" si="2245">+BZ363/BZ356</f>
        <v>0.36000980047931541</v>
      </c>
    </row>
    <row r="365" spans="1:78" s="135" customFormat="1">
      <c r="A365" s="134"/>
      <c r="B365" s="151" t="s">
        <v>360</v>
      </c>
      <c r="D365" s="387"/>
      <c r="E365" s="387"/>
      <c r="F365" s="387"/>
      <c r="H365" s="387"/>
      <c r="I365" s="387"/>
      <c r="J365" s="387"/>
      <c r="L365" s="387"/>
      <c r="M365" s="387"/>
      <c r="N365" s="387"/>
      <c r="P365" s="387"/>
      <c r="Q365" s="387"/>
      <c r="R365" s="387"/>
      <c r="T365" s="387"/>
      <c r="U365" s="387"/>
      <c r="V365" s="387"/>
      <c r="X365" s="387"/>
      <c r="Y365" s="387"/>
      <c r="Z365" s="387"/>
      <c r="AB365" s="387"/>
      <c r="AC365" s="315">
        <f>+AD365</f>
        <v>0.38</v>
      </c>
      <c r="AD365" s="719">
        <v>0.38</v>
      </c>
      <c r="AF365" s="719">
        <v>0.4</v>
      </c>
      <c r="AG365" s="315">
        <f>+AH365</f>
        <v>0.42</v>
      </c>
      <c r="AH365" s="719">
        <v>0.42</v>
      </c>
      <c r="AJ365" s="719">
        <v>0.42</v>
      </c>
      <c r="AK365" s="315">
        <f>+AL365</f>
        <v>0.42</v>
      </c>
      <c r="AL365" s="719">
        <v>0.42</v>
      </c>
      <c r="AN365" s="886">
        <v>0.42</v>
      </c>
      <c r="AO365" s="315">
        <f>+AP365</f>
        <v>0.42</v>
      </c>
      <c r="AP365" s="920">
        <v>0.42</v>
      </c>
      <c r="AR365" s="138">
        <f t="shared" ref="AR365" si="2246">+AP365</f>
        <v>0.42</v>
      </c>
      <c r="AS365" s="138">
        <f t="shared" ref="AS365:AT365" si="2247">+AR365</f>
        <v>0.42</v>
      </c>
      <c r="AT365" s="138">
        <f t="shared" si="2247"/>
        <v>0.42</v>
      </c>
      <c r="AV365" s="138">
        <f t="shared" ref="AV365" si="2248">+AT365</f>
        <v>0.42</v>
      </c>
      <c r="AW365" s="138">
        <f t="shared" ref="AW365:AX365" si="2249">+AV365</f>
        <v>0.42</v>
      </c>
      <c r="AX365" s="138">
        <f t="shared" si="2249"/>
        <v>0.42</v>
      </c>
      <c r="AZ365" s="138">
        <f t="shared" ref="AZ365" si="2250">+AX365</f>
        <v>0.42</v>
      </c>
      <c r="BA365" s="138">
        <f t="shared" ref="BA365:BB365" si="2251">+AZ365</f>
        <v>0.42</v>
      </c>
      <c r="BB365" s="138">
        <f t="shared" si="2251"/>
        <v>0.42</v>
      </c>
      <c r="BD365" s="138">
        <f t="shared" ref="BD365" si="2252">+BB365</f>
        <v>0.42</v>
      </c>
      <c r="BE365" s="138">
        <f t="shared" ref="BE365:BF365" si="2253">+BD365</f>
        <v>0.42</v>
      </c>
      <c r="BF365" s="138">
        <f t="shared" si="2253"/>
        <v>0.42</v>
      </c>
      <c r="BH365" s="138">
        <f t="shared" ref="BH365" si="2254">+BF365</f>
        <v>0.42</v>
      </c>
      <c r="BI365" s="138">
        <f t="shared" ref="BI365:BJ365" si="2255">+BH365</f>
        <v>0.42</v>
      </c>
      <c r="BJ365" s="138">
        <f t="shared" si="2255"/>
        <v>0.42</v>
      </c>
      <c r="BL365" s="138">
        <f t="shared" ref="BL365" si="2256">+BJ365</f>
        <v>0.42</v>
      </c>
      <c r="BM365" s="138">
        <f t="shared" ref="BM365:BN365" si="2257">+BL365</f>
        <v>0.42</v>
      </c>
      <c r="BN365" s="138">
        <f t="shared" si="2257"/>
        <v>0.42</v>
      </c>
      <c r="BP365" s="138">
        <f t="shared" ref="BP365" si="2258">+BN365</f>
        <v>0.42</v>
      </c>
      <c r="BQ365" s="138">
        <f t="shared" ref="BQ365:BR365" si="2259">+BP365</f>
        <v>0.42</v>
      </c>
      <c r="BR365" s="138">
        <f t="shared" si="2259"/>
        <v>0.42</v>
      </c>
      <c r="BT365" s="138">
        <f t="shared" ref="BT365" si="2260">+BR365</f>
        <v>0.42</v>
      </c>
      <c r="BU365" s="138">
        <f t="shared" ref="BU365" si="2261">+BT365</f>
        <v>0.42</v>
      </c>
      <c r="BV365" s="138">
        <f t="shared" ref="BV365" si="2262">+BU365</f>
        <v>0.42</v>
      </c>
      <c r="BX365" s="138">
        <f t="shared" ref="BX365" si="2263">+BV365</f>
        <v>0.42</v>
      </c>
      <c r="BY365" s="138">
        <f t="shared" ref="BY365" si="2264">+BX365</f>
        <v>0.42</v>
      </c>
      <c r="BZ365" s="138">
        <f t="shared" ref="BZ365" si="2265">+BY365</f>
        <v>0.42</v>
      </c>
    </row>
    <row r="366" spans="1:78" s="523" customFormat="1">
      <c r="A366" s="526"/>
      <c r="B366" s="586" t="s">
        <v>501</v>
      </c>
      <c r="D366" s="323">
        <f t="shared" ref="D366:Z366" si="2266">+D363</f>
        <v>1.0200000000000005</v>
      </c>
      <c r="E366" s="323">
        <f t="shared" si="2266"/>
        <v>5.461999999999998</v>
      </c>
      <c r="F366" s="323">
        <f t="shared" si="2266"/>
        <v>6.4819999999999993</v>
      </c>
      <c r="G366" s="259"/>
      <c r="H366" s="323">
        <f t="shared" ref="H366" si="2267">+H363</f>
        <v>5.7340000000000018</v>
      </c>
      <c r="I366" s="323">
        <f t="shared" si="2266"/>
        <v>7.6289999999999978</v>
      </c>
      <c r="J366" s="323">
        <f t="shared" si="2266"/>
        <v>13.363</v>
      </c>
      <c r="K366" s="259"/>
      <c r="L366" s="323">
        <f t="shared" ref="L366" si="2268">+L363</f>
        <v>6.395999999999999</v>
      </c>
      <c r="M366" s="323">
        <f t="shared" si="2266"/>
        <v>9.204000000000006</v>
      </c>
      <c r="N366" s="323">
        <f t="shared" si="2266"/>
        <v>15.600000000000005</v>
      </c>
      <c r="O366" s="259"/>
      <c r="P366" s="323">
        <f t="shared" ref="P366" si="2269">+P363</f>
        <v>7.3000000000000007</v>
      </c>
      <c r="Q366" s="323">
        <f t="shared" si="2266"/>
        <v>9.7999999999999936</v>
      </c>
      <c r="R366" s="323">
        <f t="shared" si="2266"/>
        <v>17.099999999999994</v>
      </c>
      <c r="S366" s="259"/>
      <c r="T366" s="323">
        <f t="shared" ref="T366" si="2270">+T363</f>
        <v>8.3000000000000007</v>
      </c>
      <c r="U366" s="323">
        <f t="shared" si="2266"/>
        <v>10.900000000000002</v>
      </c>
      <c r="V366" s="323">
        <f t="shared" si="2266"/>
        <v>19.199999999999996</v>
      </c>
      <c r="W366" s="259"/>
      <c r="X366" s="323">
        <f t="shared" ref="X366" si="2271">+X363</f>
        <v>7.3000000000000007</v>
      </c>
      <c r="Y366" s="323">
        <f t="shared" si="2266"/>
        <v>9.5999999999999943</v>
      </c>
      <c r="Z366" s="323">
        <f t="shared" si="2266"/>
        <v>16.899999999999999</v>
      </c>
      <c r="AA366" s="259"/>
      <c r="AB366" s="323">
        <f>+AB363</f>
        <v>6.7000000000000028</v>
      </c>
      <c r="AC366" s="323">
        <f t="shared" ref="AC366:AD366" si="2272">+AC363</f>
        <v>8.6999999999999993</v>
      </c>
      <c r="AD366" s="323">
        <f t="shared" si="2272"/>
        <v>15.399999999999999</v>
      </c>
      <c r="AE366" s="259"/>
      <c r="AF366" s="323">
        <f>+AF363</f>
        <v>6.8000000000000007</v>
      </c>
      <c r="AG366" s="323">
        <f t="shared" ref="AG366:AH366" si="2273">+AG363</f>
        <v>13.800000000000004</v>
      </c>
      <c r="AH366" s="323">
        <f t="shared" si="2273"/>
        <v>20.599999999999987</v>
      </c>
      <c r="AI366" s="259"/>
      <c r="AJ366" s="323">
        <f>+AJ363</f>
        <v>14.899999999999999</v>
      </c>
      <c r="AK366" s="323">
        <f t="shared" ref="AK366:AL366" si="2274">+AK363</f>
        <v>17.471000000000004</v>
      </c>
      <c r="AL366" s="323">
        <f t="shared" si="2274"/>
        <v>32.371000000000024</v>
      </c>
      <c r="AM366" s="323"/>
      <c r="AN366" s="232">
        <f>+AN363</f>
        <v>17.600000000000001</v>
      </c>
      <c r="AO366" s="323">
        <f t="shared" ref="AO366:AP366" si="2275">+AO363</f>
        <v>16.099999999999994</v>
      </c>
      <c r="AP366" s="323">
        <f t="shared" si="2275"/>
        <v>33.699999999999989</v>
      </c>
      <c r="AQ366" s="323"/>
      <c r="AR366" s="323">
        <f t="shared" ref="AR366:AS366" si="2276">+AR364*AR356</f>
        <v>17.960032125000001</v>
      </c>
      <c r="AS366" s="323">
        <f t="shared" si="2276"/>
        <v>18.343640749999999</v>
      </c>
      <c r="AT366" s="232">
        <f t="shared" ref="AT366" si="2277">+AR366+AS366</f>
        <v>36.303672875000004</v>
      </c>
      <c r="AU366" s="323"/>
      <c r="AV366" s="323">
        <f t="shared" ref="AV366:AW366" si="2278">+AV364*AV356</f>
        <v>19.212653347169116</v>
      </c>
      <c r="AW366" s="323">
        <f t="shared" si="2278"/>
        <v>19.639003575</v>
      </c>
      <c r="AX366" s="232">
        <f t="shared" ref="AX366" si="2279">+AV366+AW366</f>
        <v>38.851656922169113</v>
      </c>
      <c r="AY366" s="323"/>
      <c r="AZ366" s="323">
        <f t="shared" ref="AZ366:BA366" si="2280">+AZ364*AZ356</f>
        <v>20.257986811035114</v>
      </c>
      <c r="BA366" s="323">
        <f t="shared" si="2280"/>
        <v>20.732191885518752</v>
      </c>
      <c r="BB366" s="232">
        <f t="shared" ref="BB366" si="2281">+AZ366+BA366</f>
        <v>40.990178696553869</v>
      </c>
      <c r="BC366" s="323"/>
      <c r="BD366" s="323">
        <f t="shared" ref="BD366:BE366" si="2282">+BD364*BD356</f>
        <v>21.06524436781287</v>
      </c>
      <c r="BE366" s="323">
        <f t="shared" si="2282"/>
        <v>21.591484696020689</v>
      </c>
      <c r="BF366" s="232">
        <f t="shared" ref="BF366" si="2283">+BD366+BE366</f>
        <v>42.656729063833559</v>
      </c>
      <c r="BG366" s="323"/>
      <c r="BH366" s="323">
        <f t="shared" ref="BH366:BI366" si="2284">+BH364*BH356</f>
        <v>21.910668966754031</v>
      </c>
      <c r="BI366" s="323">
        <f t="shared" si="2284"/>
        <v>22.491546311372247</v>
      </c>
      <c r="BJ366" s="232">
        <f t="shared" ref="BJ366" si="2285">+BH366+BI366</f>
        <v>44.402215278126278</v>
      </c>
      <c r="BK366" s="323"/>
      <c r="BL366" s="323">
        <f t="shared" ref="BL366:BM366" si="2286">+BL364*BL356</f>
        <v>22.796125043253266</v>
      </c>
      <c r="BM366" s="323">
        <f t="shared" si="2286"/>
        <v>23.434371255102388</v>
      </c>
      <c r="BN366" s="232">
        <f t="shared" ref="BN366" si="2287">+BL366+BM366</f>
        <v>46.230496298355654</v>
      </c>
      <c r="BO366" s="323"/>
      <c r="BP366" s="323">
        <f t="shared" ref="BP366:BQ366" si="2288">+BP364*BP356</f>
        <v>23.723569376140688</v>
      </c>
      <c r="BQ366" s="323">
        <f t="shared" si="2288"/>
        <v>24.422052898582272</v>
      </c>
      <c r="BR366" s="232">
        <f t="shared" ref="BR366" si="2289">+BP366+BQ366</f>
        <v>48.14562227472296</v>
      </c>
      <c r="BS366" s="323"/>
      <c r="BT366" s="323">
        <f t="shared" ref="BT366:BU366" si="2290">+BT364*BT356</f>
        <v>24.695055687286978</v>
      </c>
      <c r="BU366" s="323">
        <f t="shared" si="2290"/>
        <v>25.45678838585064</v>
      </c>
      <c r="BV366" s="232">
        <f t="shared" ref="BV366" si="2291">+BT366+BU366</f>
        <v>50.151844073137617</v>
      </c>
      <c r="BW366" s="323"/>
      <c r="BX366" s="323">
        <f t="shared" ref="BX366:BY366" si="2292">+BX364*BX356</f>
        <v>25.712739470837366</v>
      </c>
      <c r="BY366" s="323">
        <f t="shared" si="2292"/>
        <v>26.540883804329219</v>
      </c>
      <c r="BZ366" s="232">
        <f t="shared" ref="BZ366" si="2293">+BX366+BY366</f>
        <v>52.253623275166589</v>
      </c>
    </row>
    <row r="367" spans="1:78" s="135" customFormat="1">
      <c r="A367" s="134"/>
      <c r="B367" s="314"/>
      <c r="D367" s="232"/>
      <c r="E367" s="232"/>
      <c r="F367" s="232"/>
      <c r="G367" s="133"/>
      <c r="H367" s="232"/>
      <c r="I367" s="232"/>
      <c r="J367" s="232"/>
      <c r="K367" s="133"/>
      <c r="L367" s="232"/>
      <c r="M367" s="232"/>
      <c r="N367" s="232"/>
      <c r="O367" s="133"/>
      <c r="P367" s="232"/>
      <c r="Q367" s="232"/>
      <c r="R367" s="232"/>
      <c r="S367" s="133"/>
      <c r="T367" s="232"/>
      <c r="U367" s="232"/>
      <c r="V367" s="232"/>
      <c r="W367" s="133"/>
      <c r="X367" s="315"/>
      <c r="Y367" s="315"/>
      <c r="Z367" s="315"/>
      <c r="AA367" s="133"/>
      <c r="AB367" s="315"/>
      <c r="AC367" s="315"/>
      <c r="AD367" s="315"/>
      <c r="AE367" s="133"/>
      <c r="AF367" s="374"/>
      <c r="AG367" s="315"/>
      <c r="AH367" s="315"/>
      <c r="AI367" s="133"/>
      <c r="AJ367" s="315"/>
      <c r="AK367" s="315"/>
      <c r="AL367" s="374"/>
      <c r="AM367" s="133"/>
      <c r="AN367" s="315"/>
      <c r="AO367" s="315"/>
      <c r="AP367" s="315"/>
      <c r="AQ367" s="133"/>
      <c r="AR367" s="315"/>
      <c r="AS367" s="315"/>
      <c r="AT367" s="315"/>
      <c r="AU367" s="133"/>
      <c r="AV367" s="315"/>
      <c r="AW367" s="315"/>
      <c r="AX367" s="315"/>
      <c r="AY367" s="133"/>
      <c r="AZ367" s="315"/>
      <c r="BA367" s="315"/>
      <c r="BB367" s="315"/>
      <c r="BC367" s="133"/>
      <c r="BD367" s="315"/>
      <c r="BE367" s="315"/>
      <c r="BF367" s="315"/>
      <c r="BG367" s="133"/>
      <c r="BH367" s="315"/>
      <c r="BI367" s="315"/>
      <c r="BJ367" s="315"/>
      <c r="BK367" s="133"/>
      <c r="BL367" s="315"/>
      <c r="BM367" s="315"/>
      <c r="BN367" s="315"/>
      <c r="BO367" s="133"/>
      <c r="BP367" s="315"/>
      <c r="BQ367" s="315"/>
      <c r="BR367" s="315"/>
      <c r="BS367" s="133"/>
      <c r="BT367" s="315"/>
      <c r="BU367" s="315"/>
      <c r="BV367" s="315"/>
      <c r="BW367" s="133"/>
      <c r="BX367" s="315"/>
      <c r="BY367" s="315"/>
      <c r="BZ367" s="315"/>
    </row>
    <row r="368" spans="1:78" s="135" customFormat="1">
      <c r="A368" s="134"/>
      <c r="B368" s="151"/>
      <c r="D368" s="387"/>
      <c r="E368" s="387"/>
      <c r="F368" s="387"/>
      <c r="H368" s="387"/>
      <c r="I368" s="387"/>
      <c r="J368" s="387"/>
      <c r="L368" s="387"/>
      <c r="M368" s="387"/>
      <c r="N368" s="387"/>
      <c r="P368" s="387"/>
      <c r="Q368" s="387"/>
      <c r="R368" s="387"/>
      <c r="T368" s="387"/>
      <c r="U368" s="387"/>
      <c r="V368" s="387"/>
      <c r="X368" s="387"/>
      <c r="Y368" s="387"/>
      <c r="Z368" s="387"/>
      <c r="AB368" s="387"/>
      <c r="AC368" s="387"/>
      <c r="AD368" s="719"/>
      <c r="AF368" s="719"/>
      <c r="AG368" s="387"/>
      <c r="AH368" s="719"/>
      <c r="AJ368" s="719"/>
      <c r="AK368" s="387"/>
      <c r="AL368" s="719"/>
      <c r="AN368" s="886"/>
      <c r="AO368" s="232"/>
      <c r="AP368" s="232"/>
      <c r="AR368" s="232"/>
      <c r="AS368" s="232"/>
      <c r="AT368" s="232"/>
      <c r="AV368" s="232"/>
      <c r="AW368" s="232"/>
      <c r="AX368" s="232"/>
      <c r="AZ368" s="232"/>
      <c r="BA368" s="232"/>
      <c r="BB368" s="232"/>
      <c r="BD368" s="232"/>
      <c r="BE368" s="232"/>
      <c r="BF368" s="232"/>
      <c r="BH368" s="232"/>
      <c r="BI368" s="232"/>
      <c r="BJ368" s="232"/>
      <c r="BL368" s="232"/>
      <c r="BM368" s="232"/>
      <c r="BN368" s="232"/>
      <c r="BP368" s="232"/>
      <c r="BQ368" s="232"/>
      <c r="BR368" s="232"/>
      <c r="BT368" s="232"/>
      <c r="BU368" s="232"/>
      <c r="BV368" s="232"/>
      <c r="BX368" s="232"/>
      <c r="BY368" s="232"/>
      <c r="BZ368" s="232"/>
    </row>
    <row r="369" spans="1:78" s="523" customFormat="1">
      <c r="A369" s="522"/>
      <c r="B369" s="526" t="s">
        <v>610</v>
      </c>
      <c r="X369" s="665"/>
      <c r="Y369" s="665"/>
      <c r="Z369" s="665"/>
      <c r="AB369" s="665"/>
      <c r="AC369" s="665"/>
      <c r="AD369" s="665"/>
      <c r="AF369" s="665"/>
      <c r="AG369" s="665"/>
      <c r="AH369" s="665"/>
      <c r="AJ369" s="665"/>
      <c r="AK369" s="665"/>
      <c r="AL369" s="842"/>
      <c r="AM369" s="232"/>
      <c r="AN369" s="665"/>
      <c r="AO369" s="665"/>
      <c r="AP369" s="842"/>
      <c r="AQ369" s="232"/>
      <c r="AR369" s="232">
        <f>CF!AR146</f>
        <v>-0.10416787499999998</v>
      </c>
      <c r="AS369" s="232">
        <f>CF!AS146</f>
        <v>-0.10345924999999997</v>
      </c>
      <c r="AT369" s="232">
        <f t="shared" ref="AT369" si="2294">AS369+AR369</f>
        <v>-0.20762712499999997</v>
      </c>
      <c r="AU369" s="232"/>
      <c r="AV369" s="232">
        <f>CF!AV146</f>
        <v>-0.10552843499999998</v>
      </c>
      <c r="AW369" s="232">
        <f>CF!AW146</f>
        <v>-0.10552843499999998</v>
      </c>
      <c r="AX369" s="232">
        <f t="shared" ref="AX369" si="2295">AW369+AV369</f>
        <v>-0.21105686999999995</v>
      </c>
      <c r="AY369" s="232"/>
      <c r="AZ369" s="232">
        <f>CF!AZ146</f>
        <v>-0.10763900369999997</v>
      </c>
      <c r="BA369" s="232">
        <f>CF!BA146</f>
        <v>-0.10763900369999997</v>
      </c>
      <c r="BB369" s="232">
        <f t="shared" ref="BB369" si="2296">BA369+AZ369</f>
        <v>-0.21527800739999994</v>
      </c>
      <c r="BC369" s="232"/>
      <c r="BD369" s="232">
        <f>CF!BD146</f>
        <v>-0.10979178377399998</v>
      </c>
      <c r="BE369" s="232">
        <f>CF!BE146</f>
        <v>-0.10979178377399998</v>
      </c>
      <c r="BF369" s="232">
        <f t="shared" ref="BF369" si="2297">BE369+BD369</f>
        <v>-0.21958356754799996</v>
      </c>
      <c r="BG369" s="232"/>
      <c r="BH369" s="232">
        <f>CF!BH146</f>
        <v>-0.11198761944947996</v>
      </c>
      <c r="BI369" s="232">
        <f>CF!BI146</f>
        <v>-0.11198761944947996</v>
      </c>
      <c r="BJ369" s="232">
        <f t="shared" ref="BJ369" si="2298">BI369+BH369</f>
        <v>-0.22397523889895993</v>
      </c>
      <c r="BK369" s="232"/>
      <c r="BL369" s="232">
        <f>CF!BL146</f>
        <v>-0.11422737183846958</v>
      </c>
      <c r="BM369" s="232">
        <f>CF!BM146</f>
        <v>-0.11422737183846958</v>
      </c>
      <c r="BN369" s="232">
        <f t="shared" ref="BN369" si="2299">BM369+BL369</f>
        <v>-0.22845474367693916</v>
      </c>
      <c r="BO369" s="232"/>
      <c r="BP369" s="232">
        <f>CF!BP146</f>
        <v>-0.11651191927523898</v>
      </c>
      <c r="BQ369" s="232">
        <f>CF!BQ146</f>
        <v>-0.11651191927523898</v>
      </c>
      <c r="BR369" s="232">
        <f t="shared" ref="BR369" si="2300">BQ369+BP369</f>
        <v>-0.23302383855047795</v>
      </c>
      <c r="BS369" s="232"/>
      <c r="BT369" s="232">
        <f>CF!BT146</f>
        <v>-0.11884215766074374</v>
      </c>
      <c r="BU369" s="232">
        <f>CF!BU146</f>
        <v>-0.11884215766074374</v>
      </c>
      <c r="BV369" s="232">
        <f t="shared" ref="BV369" si="2301">BU369+BT369</f>
        <v>-0.23768431532148748</v>
      </c>
      <c r="BW369" s="232"/>
      <c r="BX369" s="232">
        <f>CF!BX146</f>
        <v>-0.12121900081395864</v>
      </c>
      <c r="BY369" s="232">
        <f>CF!BY146</f>
        <v>-0.12121900081395864</v>
      </c>
      <c r="BZ369" s="232">
        <f t="shared" ref="BZ369" si="2302">BY369+BX369</f>
        <v>-0.24243800162791729</v>
      </c>
    </row>
    <row r="370" spans="1:78" s="135" customFormat="1">
      <c r="A370" s="134"/>
      <c r="B370" s="314" t="s">
        <v>502</v>
      </c>
      <c r="D370" s="232"/>
      <c r="E370" s="232"/>
      <c r="F370" s="232"/>
      <c r="G370" s="133"/>
      <c r="H370" s="232"/>
      <c r="I370" s="232"/>
      <c r="J370" s="232"/>
      <c r="K370" s="133"/>
      <c r="L370" s="232"/>
      <c r="M370" s="232"/>
      <c r="N370" s="232"/>
      <c r="O370" s="133"/>
      <c r="P370" s="232"/>
      <c r="Q370" s="232"/>
      <c r="R370" s="232"/>
      <c r="S370" s="133"/>
      <c r="T370" s="232"/>
      <c r="U370" s="232"/>
      <c r="V370" s="232"/>
      <c r="W370" s="133"/>
      <c r="X370" s="315"/>
      <c r="Y370" s="315"/>
      <c r="Z370" s="315"/>
      <c r="AA370" s="133"/>
      <c r="AB370" s="315"/>
      <c r="AC370" s="315"/>
      <c r="AD370" s="315"/>
      <c r="AE370" s="133"/>
      <c r="AF370" s="374"/>
      <c r="AG370" s="315"/>
      <c r="AH370" s="315"/>
      <c r="AI370" s="133"/>
      <c r="AJ370" s="374"/>
      <c r="AK370" s="315"/>
      <c r="AL370" s="374"/>
      <c r="AM370" s="133"/>
      <c r="AN370" s="315"/>
      <c r="AO370" s="315"/>
      <c r="AP370" s="374"/>
      <c r="AQ370" s="133"/>
      <c r="AR370" s="315">
        <f>+AR369/AO363</f>
        <v>-6.4700543478260876E-3</v>
      </c>
      <c r="AS370" s="315">
        <f>+AS369/AR363</f>
        <v>-5.7605270012845242E-3</v>
      </c>
      <c r="AT370" s="315">
        <f>+AT369/AP363</f>
        <v>-6.1610422848664701E-3</v>
      </c>
      <c r="AU370" s="133"/>
      <c r="AV370" s="315">
        <f>+AV369/AS363</f>
        <v>-5.7528620647457887E-3</v>
      </c>
      <c r="AW370" s="315">
        <f>+AW369/AV363</f>
        <v>-5.4926528414956819E-3</v>
      </c>
      <c r="AX370" s="315">
        <f>+AX369/AT363</f>
        <v>-5.8136506112399771E-3</v>
      </c>
      <c r="AY370" s="133"/>
      <c r="AZ370" s="315">
        <f>+AZ369/AW363</f>
        <v>-5.4808790725524355E-3</v>
      </c>
      <c r="BA370" s="315">
        <f>+BA369/AZ363</f>
        <v>-5.3134106910053807E-3</v>
      </c>
      <c r="BB370" s="315">
        <f>+BB369/AX363</f>
        <v>-5.5410251313415754E-3</v>
      </c>
      <c r="BC370" s="133"/>
      <c r="BD370" s="315">
        <f>+BD369/BA363</f>
        <v>-5.295715203691923E-3</v>
      </c>
      <c r="BE370" s="315">
        <f>+BE369/BD363</f>
        <v>-5.2119871888008521E-3</v>
      </c>
      <c r="BF370" s="315">
        <f>+BF369/BB363</f>
        <v>-5.3569800018085992E-3</v>
      </c>
      <c r="BG370" s="133"/>
      <c r="BH370" s="315">
        <f>+BH369/BE363</f>
        <v>-5.1866567318605596E-3</v>
      </c>
      <c r="BI370" s="315">
        <f>+BI369/BH363</f>
        <v>-5.111099967755591E-3</v>
      </c>
      <c r="BJ370" s="315">
        <f>+BJ369/BF363</f>
        <v>-5.2506426023381384E-3</v>
      </c>
      <c r="BK370" s="133"/>
      <c r="BL370" s="315">
        <f>+BL369/BI363</f>
        <v>-5.0786802408829303E-3</v>
      </c>
      <c r="BM370" s="315">
        <f>+BM369/BL363</f>
        <v>-5.0108240598669765E-3</v>
      </c>
      <c r="BN370" s="315">
        <f>+BN369/BJ363</f>
        <v>-5.145120400996797E-3</v>
      </c>
      <c r="BO370" s="133"/>
      <c r="BP370" s="315">
        <f>+BP369/BM363</f>
        <v>-4.9718389286792031E-3</v>
      </c>
      <c r="BQ370" s="315">
        <f>+BQ369/BP363</f>
        <v>-4.9112305752951986E-3</v>
      </c>
      <c r="BR370" s="315">
        <f>+BR369/BN363</f>
        <v>-5.0404788442378508E-3</v>
      </c>
      <c r="BS370" s="133"/>
      <c r="BT370" s="315">
        <f>+BT369/BQ363</f>
        <v>-4.8661821409633696E-3</v>
      </c>
      <c r="BU370" s="315">
        <f>+BU369/BT363</f>
        <v>-4.8123867046764232E-3</v>
      </c>
      <c r="BV370" s="315">
        <f>+BV369/BR363</f>
        <v>-4.9367793807968841E-3</v>
      </c>
      <c r="BW370" s="133"/>
      <c r="BX370" s="315">
        <f>+BX369/BU363</f>
        <v>-4.7617554491411977E-3</v>
      </c>
      <c r="BY370" s="315">
        <f>+BY369/BX363</f>
        <v>-4.7143557360522269E-3</v>
      </c>
      <c r="BZ370" s="315">
        <f>+BZ369/BV363</f>
        <v>-4.834079506116749E-3</v>
      </c>
    </row>
    <row r="371" spans="1:78" s="135" customFormat="1">
      <c r="A371" s="134"/>
      <c r="B371" s="314"/>
      <c r="D371" s="232"/>
      <c r="E371" s="232"/>
      <c r="F371" s="232"/>
      <c r="G371" s="133"/>
      <c r="H371" s="232"/>
      <c r="I371" s="232"/>
      <c r="J371" s="232"/>
      <c r="K371" s="133"/>
      <c r="L371" s="232"/>
      <c r="M371" s="232"/>
      <c r="N371" s="232"/>
      <c r="O371" s="133"/>
      <c r="P371" s="232"/>
      <c r="Q371" s="232"/>
      <c r="R371" s="232"/>
      <c r="S371" s="133"/>
      <c r="T371" s="232"/>
      <c r="U371" s="232"/>
      <c r="V371" s="232"/>
      <c r="W371" s="133"/>
      <c r="X371" s="315"/>
      <c r="Y371" s="315"/>
      <c r="Z371" s="315"/>
      <c r="AA371" s="133"/>
      <c r="AB371" s="315"/>
      <c r="AC371" s="315"/>
      <c r="AD371" s="315"/>
      <c r="AE371" s="133"/>
      <c r="AF371" s="374"/>
      <c r="AG371" s="315"/>
      <c r="AH371" s="315"/>
      <c r="AI371" s="133"/>
      <c r="AJ371" s="374"/>
      <c r="AK371" s="315"/>
      <c r="AL371" s="374"/>
      <c r="AM371" s="133"/>
      <c r="AN371" s="315"/>
      <c r="AO371" s="315"/>
      <c r="AP371" s="374"/>
      <c r="AQ371" s="133"/>
      <c r="AR371" s="315"/>
      <c r="AS371" s="315"/>
      <c r="AT371" s="315"/>
      <c r="AU371" s="133"/>
      <c r="AV371" s="315"/>
      <c r="AW371" s="315"/>
      <c r="AX371" s="315"/>
      <c r="AY371" s="133"/>
      <c r="AZ371" s="315"/>
      <c r="BA371" s="315"/>
      <c r="BB371" s="315"/>
      <c r="BC371" s="133"/>
      <c r="BD371" s="315"/>
      <c r="BE371" s="315"/>
      <c r="BF371" s="315"/>
      <c r="BG371" s="133"/>
      <c r="BH371" s="315"/>
      <c r="BI371" s="315"/>
      <c r="BJ371" s="315"/>
      <c r="BK371" s="133"/>
      <c r="BL371" s="315"/>
      <c r="BM371" s="315"/>
      <c r="BN371" s="315"/>
      <c r="BO371" s="133"/>
      <c r="BP371" s="315"/>
      <c r="BQ371" s="315"/>
      <c r="BR371" s="315"/>
      <c r="BS371" s="133"/>
      <c r="BT371" s="315"/>
      <c r="BU371" s="315"/>
      <c r="BV371" s="315"/>
      <c r="BW371" s="133"/>
      <c r="BX371" s="315"/>
      <c r="BY371" s="315"/>
      <c r="BZ371" s="315"/>
    </row>
    <row r="372" spans="1:78" s="135" customFormat="1">
      <c r="A372" s="134"/>
      <c r="B372" s="150" t="s">
        <v>262</v>
      </c>
      <c r="D372" s="262">
        <f>+D373-D363</f>
        <v>0</v>
      </c>
      <c r="E372" s="262">
        <f>+E373-E363</f>
        <v>-1.1679999999999975</v>
      </c>
      <c r="F372" s="262">
        <f>+F373-F363</f>
        <v>-1.1679999999999993</v>
      </c>
      <c r="G372" s="133"/>
      <c r="H372" s="262">
        <f>+H373-H363</f>
        <v>-1.0500000000000016</v>
      </c>
      <c r="I372" s="262">
        <f>+I373-I363</f>
        <v>-1.0589999999999984</v>
      </c>
      <c r="J372" s="262">
        <f>+J373-J363</f>
        <v>-2.109</v>
      </c>
      <c r="K372" s="133"/>
      <c r="L372" s="262">
        <f>+L373-L363</f>
        <v>-1.0769999999999991</v>
      </c>
      <c r="M372" s="262">
        <f>+M373-M363</f>
        <v>-1.2230000000000052</v>
      </c>
      <c r="N372" s="262">
        <f>+N373-N363</f>
        <v>-2.3000000000000043</v>
      </c>
      <c r="O372" s="133"/>
      <c r="P372" s="262">
        <f>+P373-P363</f>
        <v>-1.2000000000000011</v>
      </c>
      <c r="Q372" s="262">
        <f>+Q373-Q363</f>
        <v>-1.8999999999999932</v>
      </c>
      <c r="R372" s="262">
        <f>+R373-R363</f>
        <v>-3.0999999999999943</v>
      </c>
      <c r="S372" s="133"/>
      <c r="T372" s="262">
        <f>+T373-T363</f>
        <v>-1.7000000000000011</v>
      </c>
      <c r="U372" s="262">
        <f>+U373-U363</f>
        <v>-1.3000000000000025</v>
      </c>
      <c r="V372" s="262">
        <f>+V373-V363</f>
        <v>-2.9999999999999964</v>
      </c>
      <c r="W372" s="133"/>
      <c r="X372" s="262">
        <f>+X373-X363</f>
        <v>-1.1000000000000005</v>
      </c>
      <c r="Y372" s="262">
        <f>+Y373-Y363</f>
        <v>-1.0999999999999943</v>
      </c>
      <c r="Z372" s="262">
        <f>+Z373-Z363</f>
        <v>-2.1999999999999993</v>
      </c>
      <c r="AA372" s="133"/>
      <c r="AB372" s="262">
        <f>+AB373-AB363</f>
        <v>-1.3000000000000025</v>
      </c>
      <c r="AC372" s="262">
        <f>+AC373-AC363</f>
        <v>-1.0999999999999996</v>
      </c>
      <c r="AD372" s="262">
        <f>+AD373-AD363</f>
        <v>-2.3999999999999986</v>
      </c>
      <c r="AE372" s="133"/>
      <c r="AF372" s="262">
        <f>+AF373-AF363</f>
        <v>-0.50000000000000089</v>
      </c>
      <c r="AG372" s="262">
        <f>+AG373-AG363</f>
        <v>-0.80000000000000426</v>
      </c>
      <c r="AH372" s="262">
        <f>+AH373-AH363</f>
        <v>-1.2999999999999865</v>
      </c>
      <c r="AI372" s="133"/>
      <c r="AJ372" s="262">
        <f>+AJ373-AJ363</f>
        <v>-0.69999999999999929</v>
      </c>
      <c r="AK372" s="262">
        <f>+AK373-AK363</f>
        <v>-1.7550000000000026</v>
      </c>
      <c r="AL372" s="262">
        <f>+AL373-AL363</f>
        <v>-2.4550000000000232</v>
      </c>
      <c r="AM372" s="133"/>
      <c r="AN372" s="136">
        <f>+AN373-AN363</f>
        <v>-1.6000000000000014</v>
      </c>
      <c r="AO372" s="262">
        <f>+AO373-AO363</f>
        <v>-1.1999999999999957</v>
      </c>
      <c r="AP372" s="262">
        <f>+AP373-AP363</f>
        <v>-2.7999999999999901</v>
      </c>
      <c r="AQ372" s="133"/>
      <c r="AR372" s="321">
        <f>+AO372*AR$465/AO$465</f>
        <v>-1.1999999999999957</v>
      </c>
      <c r="AS372" s="321">
        <f>+AR372*AS$465/AR$465</f>
        <v>-1.1999999999999957</v>
      </c>
      <c r="AT372" s="136">
        <f t="shared" ref="AT372" si="2303">+AR372+AS372</f>
        <v>-2.3999999999999915</v>
      </c>
      <c r="AU372" s="133"/>
      <c r="AV372" s="321">
        <f>+AS372*AV$465/AS$465</f>
        <v>-1.1759999999999957</v>
      </c>
      <c r="AW372" s="321">
        <f>+AV372*AW$465/AV$465</f>
        <v>-1.1759999999999957</v>
      </c>
      <c r="AX372" s="136">
        <f t="shared" ref="AX372" si="2304">+AV372+AW372</f>
        <v>-2.3519999999999914</v>
      </c>
      <c r="AY372" s="133"/>
      <c r="AZ372" s="321">
        <f>+AW372*AZ$465/AW$465</f>
        <v>-1.1524799999999957</v>
      </c>
      <c r="BA372" s="321">
        <f>+AZ372*BA$465/AZ$465</f>
        <v>-1.1524799999999957</v>
      </c>
      <c r="BB372" s="136">
        <f t="shared" ref="BB372" si="2305">+AZ372+BA372</f>
        <v>-2.3049599999999915</v>
      </c>
      <c r="BC372" s="133"/>
      <c r="BD372" s="321">
        <f>+BA372*BD$465/BA$465</f>
        <v>-1.1524799999999957</v>
      </c>
      <c r="BE372" s="321">
        <f>+BD372*BE$465/BD$465</f>
        <v>-1.1524799999999957</v>
      </c>
      <c r="BF372" s="136">
        <f t="shared" ref="BF372" si="2306">+BD372+BE372</f>
        <v>-2.3049599999999915</v>
      </c>
      <c r="BG372" s="133"/>
      <c r="BH372" s="321">
        <f>+BE372*BH$465/BE$465</f>
        <v>-1.1524799999999957</v>
      </c>
      <c r="BI372" s="321">
        <f>+BH372*BI$465/BH$465</f>
        <v>-1.1524799999999957</v>
      </c>
      <c r="BJ372" s="136">
        <f t="shared" ref="BJ372" si="2307">+BH372+BI372</f>
        <v>-2.3049599999999915</v>
      </c>
      <c r="BK372" s="133"/>
      <c r="BL372" s="321">
        <f>+BI372*BL$465/BI$465</f>
        <v>-1.1524799999999957</v>
      </c>
      <c r="BM372" s="321">
        <f>+BL372*BM$465/BL$465</f>
        <v>-1.1524799999999957</v>
      </c>
      <c r="BN372" s="136">
        <f t="shared" ref="BN372" si="2308">+BL372+BM372</f>
        <v>-2.3049599999999915</v>
      </c>
      <c r="BO372" s="133"/>
      <c r="BP372" s="321">
        <f>+BM372*BP$465/BM$465</f>
        <v>-1.1524799999999957</v>
      </c>
      <c r="BQ372" s="321">
        <f>+BP372*BQ$465/BP$465</f>
        <v>-1.1524799999999957</v>
      </c>
      <c r="BR372" s="136">
        <f t="shared" ref="BR372" si="2309">+BP372+BQ372</f>
        <v>-2.3049599999999915</v>
      </c>
      <c r="BS372" s="133"/>
      <c r="BT372" s="321">
        <f>+BQ372*BT$465/BQ$465</f>
        <v>-1.1524799999999957</v>
      </c>
      <c r="BU372" s="321">
        <f>+BT372*BU$465/BT$465</f>
        <v>-1.1524799999999957</v>
      </c>
      <c r="BV372" s="136">
        <f t="shared" ref="BV372" si="2310">+BT372+BU372</f>
        <v>-2.3049599999999915</v>
      </c>
      <c r="BW372" s="133"/>
      <c r="BX372" s="321">
        <f>+BU372*BX$465/BU$465</f>
        <v>-1.1524799999999957</v>
      </c>
      <c r="BY372" s="321">
        <f>+BX372*BY$465/BX$465</f>
        <v>-1.1524799999999957</v>
      </c>
      <c r="BZ372" s="136">
        <f t="shared" ref="BZ372" si="2311">+BX372+BY372</f>
        <v>-2.3049599999999915</v>
      </c>
    </row>
    <row r="373" spans="1:78" s="135" customFormat="1">
      <c r="A373" s="134"/>
      <c r="B373" s="151" t="s">
        <v>181</v>
      </c>
      <c r="D373" s="313">
        <v>1.02</v>
      </c>
      <c r="E373" s="232">
        <f>F373-D373</f>
        <v>4.2940000000000005</v>
      </c>
      <c r="F373" s="313">
        <v>5.3140000000000001</v>
      </c>
      <c r="H373" s="313">
        <v>4.6840000000000002</v>
      </c>
      <c r="I373" s="232">
        <f>J373-H373</f>
        <v>6.5699999999999994</v>
      </c>
      <c r="J373" s="313">
        <v>11.254</v>
      </c>
      <c r="L373" s="313">
        <v>5.319</v>
      </c>
      <c r="M373" s="232">
        <f>N373-L373</f>
        <v>7.9810000000000008</v>
      </c>
      <c r="N373" s="313">
        <v>13.3</v>
      </c>
      <c r="P373" s="313">
        <v>6.1</v>
      </c>
      <c r="Q373" s="232">
        <f>R373-P373</f>
        <v>7.9</v>
      </c>
      <c r="R373" s="313">
        <v>14</v>
      </c>
      <c r="T373" s="313">
        <v>6.6</v>
      </c>
      <c r="U373" s="232">
        <f>V373-T373</f>
        <v>9.6</v>
      </c>
      <c r="V373" s="313">
        <v>16.2</v>
      </c>
      <c r="X373" s="313">
        <v>6.2</v>
      </c>
      <c r="Y373" s="232">
        <f>Z373-X373</f>
        <v>8.5</v>
      </c>
      <c r="Z373" s="313">
        <v>14.7</v>
      </c>
      <c r="AB373" s="313">
        <v>5.4</v>
      </c>
      <c r="AC373" s="232">
        <f>AD373-AB373</f>
        <v>7.6</v>
      </c>
      <c r="AD373" s="313">
        <v>13</v>
      </c>
      <c r="AE373" s="313"/>
      <c r="AF373" s="343">
        <v>6.3</v>
      </c>
      <c r="AG373" s="232">
        <f>AH373-AF373</f>
        <v>13</v>
      </c>
      <c r="AH373" s="343">
        <v>19.3</v>
      </c>
      <c r="AI373" s="313"/>
      <c r="AJ373" s="343">
        <v>14.2</v>
      </c>
      <c r="AK373" s="232">
        <f>AL373-AJ373</f>
        <v>15.716000000000001</v>
      </c>
      <c r="AL373" s="343">
        <v>29.916</v>
      </c>
      <c r="AN373" s="313">
        <v>16</v>
      </c>
      <c r="AO373" s="232">
        <f>AP373-AN373</f>
        <v>14.899999999999999</v>
      </c>
      <c r="AP373" s="913">
        <v>30.9</v>
      </c>
      <c r="AR373" s="232">
        <f>+AR366+AR372</f>
        <v>16.760032125000006</v>
      </c>
      <c r="AS373" s="232">
        <f>+AS366+AS372</f>
        <v>17.143640750000003</v>
      </c>
      <c r="AT373" s="232">
        <f>+AT366+AT372</f>
        <v>33.903672875000012</v>
      </c>
      <c r="AV373" s="232">
        <f>+AV366+AV372</f>
        <v>18.036653347169121</v>
      </c>
      <c r="AW373" s="232">
        <f>+AW366+AW372</f>
        <v>18.463003575000005</v>
      </c>
      <c r="AX373" s="232">
        <f>+AX366+AX372</f>
        <v>36.499656922169123</v>
      </c>
      <c r="AZ373" s="232">
        <f>+AZ366+AZ372</f>
        <v>19.105506811035116</v>
      </c>
      <c r="BA373" s="232">
        <f>+BA366+BA372</f>
        <v>19.579711885518755</v>
      </c>
      <c r="BB373" s="232">
        <f>+BB366+BB372</f>
        <v>38.685218696553875</v>
      </c>
      <c r="BD373" s="232">
        <f>+BD366+BD372</f>
        <v>19.912764367812873</v>
      </c>
      <c r="BE373" s="232">
        <f>+BE366+BE372</f>
        <v>20.439004696020692</v>
      </c>
      <c r="BF373" s="232">
        <f>+BF366+BF372</f>
        <v>40.351769063833565</v>
      </c>
      <c r="BH373" s="232">
        <f>+BH366+BH372</f>
        <v>20.758188966754034</v>
      </c>
      <c r="BI373" s="232">
        <f>+BI366+BI372</f>
        <v>21.33906631137225</v>
      </c>
      <c r="BJ373" s="232">
        <f>+BJ366+BJ372</f>
        <v>42.097255278126283</v>
      </c>
      <c r="BL373" s="232">
        <f>+BL366+BL372</f>
        <v>21.643645043253269</v>
      </c>
      <c r="BM373" s="232">
        <f>+BM366+BM372</f>
        <v>22.281891255102391</v>
      </c>
      <c r="BN373" s="232">
        <f>+BN366+BN372</f>
        <v>43.925536298355659</v>
      </c>
      <c r="BP373" s="232">
        <f>+BP366+BP372</f>
        <v>22.571089376140691</v>
      </c>
      <c r="BQ373" s="232">
        <f>+BQ366+BQ372</f>
        <v>23.269572898582275</v>
      </c>
      <c r="BR373" s="232">
        <f>+BR366+BR372</f>
        <v>45.840662274722966</v>
      </c>
      <c r="BT373" s="232">
        <f>+BT366+BT372</f>
        <v>23.54257568728698</v>
      </c>
      <c r="BU373" s="232">
        <f>+BU366+BU372</f>
        <v>24.304308385850643</v>
      </c>
      <c r="BV373" s="232">
        <f>+BV366+BV372</f>
        <v>47.846884073137623</v>
      </c>
      <c r="BX373" s="232">
        <f>+BX366+BX372</f>
        <v>24.560259470837369</v>
      </c>
      <c r="BY373" s="232">
        <f>+BY366+BY372</f>
        <v>25.388403804329222</v>
      </c>
      <c r="BZ373" s="232">
        <f>+BZ366+BZ372</f>
        <v>49.948663275166595</v>
      </c>
    </row>
    <row r="374" spans="1:78" s="135" customFormat="1">
      <c r="A374" s="134"/>
      <c r="B374" s="151"/>
      <c r="D374" s="232"/>
      <c r="E374" s="232"/>
      <c r="F374" s="232"/>
      <c r="H374" s="232"/>
      <c r="I374" s="232"/>
      <c r="J374" s="232"/>
      <c r="L374" s="232"/>
      <c r="M374" s="232"/>
      <c r="N374" s="232"/>
      <c r="P374" s="232"/>
      <c r="Q374" s="232"/>
      <c r="R374" s="232"/>
      <c r="T374" s="232"/>
      <c r="U374" s="232"/>
      <c r="V374" s="232"/>
      <c r="X374" s="232"/>
      <c r="Y374" s="232"/>
      <c r="Z374" s="232"/>
      <c r="AB374" s="232"/>
      <c r="AC374" s="232"/>
      <c r="AD374" s="232"/>
      <c r="AF374" s="323"/>
      <c r="AG374" s="232"/>
      <c r="AH374" s="232"/>
      <c r="AJ374" s="323"/>
      <c r="AK374" s="232"/>
      <c r="AL374" s="323"/>
      <c r="AN374" s="232"/>
      <c r="AO374" s="232"/>
      <c r="AP374" s="323"/>
      <c r="AR374" s="232"/>
      <c r="AS374" s="232"/>
      <c r="AT374" s="232"/>
      <c r="AV374" s="232"/>
      <c r="AW374" s="232"/>
      <c r="AX374" s="232"/>
      <c r="AZ374" s="232"/>
      <c r="BA374" s="232"/>
      <c r="BB374" s="232"/>
      <c r="BD374" s="232"/>
      <c r="BE374" s="232"/>
      <c r="BF374" s="232"/>
      <c r="BH374" s="232"/>
      <c r="BI374" s="232"/>
      <c r="BJ374" s="232"/>
      <c r="BL374" s="232"/>
      <c r="BM374" s="232"/>
      <c r="BN374" s="232"/>
      <c r="BP374" s="232"/>
      <c r="BQ374" s="232"/>
      <c r="BR374" s="232"/>
      <c r="BT374" s="232"/>
      <c r="BU374" s="232"/>
      <c r="BV374" s="232"/>
      <c r="BX374" s="232"/>
      <c r="BY374" s="232"/>
      <c r="BZ374" s="232"/>
    </row>
    <row r="375" spans="1:78" s="135" customFormat="1">
      <c r="A375" s="134"/>
      <c r="B375" s="150" t="s">
        <v>163</v>
      </c>
      <c r="D375" s="136">
        <f>+D376-D373</f>
        <v>-0.44800000000000006</v>
      </c>
      <c r="E375" s="136">
        <f>+E376-E373</f>
        <v>-1.9860000000000007</v>
      </c>
      <c r="F375" s="136">
        <f>+F376-F373</f>
        <v>-2.4340000000000002</v>
      </c>
      <c r="G375" s="133"/>
      <c r="H375" s="136">
        <f>+H376-H373</f>
        <v>-2.181</v>
      </c>
      <c r="I375" s="136">
        <f>+I376-I373</f>
        <v>-3.6079999999999997</v>
      </c>
      <c r="J375" s="136">
        <f>+J376-J373</f>
        <v>-5.7889999999999997</v>
      </c>
      <c r="K375" s="133"/>
      <c r="L375" s="136">
        <f>+L376-L373</f>
        <v>-2.5379999999999998</v>
      </c>
      <c r="M375" s="136">
        <f>+M376-M373</f>
        <v>-4.2620000000000005</v>
      </c>
      <c r="N375" s="136">
        <f>+N376-N373</f>
        <v>-6.8000000000000007</v>
      </c>
      <c r="O375" s="133"/>
      <c r="P375" s="136">
        <f>+P376-P373</f>
        <v>-2.8999999999999995</v>
      </c>
      <c r="Q375" s="136">
        <f>+Q376-Q373</f>
        <v>-1.9000000000000012</v>
      </c>
      <c r="R375" s="136">
        <f>+R376-R373</f>
        <v>-4.8000000000000007</v>
      </c>
      <c r="S375" s="133"/>
      <c r="T375" s="136">
        <f>+T376-T373</f>
        <v>-1.6999999999999993</v>
      </c>
      <c r="U375" s="136">
        <f>+U376-U373</f>
        <v>-2.3000000000000007</v>
      </c>
      <c r="V375" s="136">
        <f>+V376-V373</f>
        <v>-4</v>
      </c>
      <c r="W375" s="133"/>
      <c r="X375" s="136">
        <f>+X376-X373</f>
        <v>-1.7000000000000002</v>
      </c>
      <c r="Y375" s="136">
        <f>+Y376-Y373</f>
        <v>-2.4000000000000004</v>
      </c>
      <c r="Z375" s="136">
        <f>+Z376-Z373</f>
        <v>-4.0999999999999996</v>
      </c>
      <c r="AA375" s="133"/>
      <c r="AB375" s="136">
        <f>+AB376-AB373</f>
        <v>-1.9000000000000004</v>
      </c>
      <c r="AC375" s="136">
        <f>+AC376-AC373</f>
        <v>-2.0999999999999996</v>
      </c>
      <c r="AD375" s="136">
        <f>+AD376-AD373</f>
        <v>-4</v>
      </c>
      <c r="AE375" s="133"/>
      <c r="AF375" s="262">
        <f>+AF376-AF373</f>
        <v>-1.5</v>
      </c>
      <c r="AG375" s="136">
        <f>+AG376-AG373</f>
        <v>-3.5</v>
      </c>
      <c r="AH375" s="136">
        <f>+AH376-AH373</f>
        <v>-5</v>
      </c>
      <c r="AI375" s="133"/>
      <c r="AJ375" s="262">
        <f>+AJ376-AJ373</f>
        <v>-3.2999999999999989</v>
      </c>
      <c r="AK375" s="136">
        <f>+AK376-AK373</f>
        <v>-3.9000000000000004</v>
      </c>
      <c r="AL375" s="262">
        <f>+AL376-AL373</f>
        <v>-7.1999999999999993</v>
      </c>
      <c r="AM375" s="133"/>
      <c r="AN375" s="136">
        <f>+AN376-AN373</f>
        <v>-3.8000000000000007</v>
      </c>
      <c r="AO375" s="136">
        <f>+AO376-AO373</f>
        <v>-3.8999999999999986</v>
      </c>
      <c r="AP375" s="262">
        <f>+AP376-AP373</f>
        <v>-7.6999999999999993</v>
      </c>
      <c r="AQ375" s="133"/>
      <c r="AR375" s="136">
        <f>+AR376-AR373</f>
        <v>-3.8548073887500003</v>
      </c>
      <c r="AS375" s="136">
        <f>+AS376-AS373</f>
        <v>-3.943037372500001</v>
      </c>
      <c r="AT375" s="136">
        <f>+AT376-AT373</f>
        <v>-7.7978447612500048</v>
      </c>
      <c r="AU375" s="133"/>
      <c r="AV375" s="136">
        <f>+AV376-AV373</f>
        <v>-4.1484302698488982</v>
      </c>
      <c r="AW375" s="136">
        <f>+AW376-AW373</f>
        <v>-4.2464908222500011</v>
      </c>
      <c r="AX375" s="136">
        <f>+AX376-AX373</f>
        <v>-8.3949210920988975</v>
      </c>
      <c r="AY375" s="133"/>
      <c r="AZ375" s="136">
        <f>+AZ376-AZ373</f>
        <v>-4.3942665665380769</v>
      </c>
      <c r="BA375" s="136">
        <f>+BA376-BA373</f>
        <v>-4.5033337336693133</v>
      </c>
      <c r="BB375" s="136">
        <f>+BB376-BB373</f>
        <v>-8.8976003002073938</v>
      </c>
      <c r="BC375" s="133"/>
      <c r="BD375" s="136">
        <f>+BD376-BD373</f>
        <v>-4.5799358045969605</v>
      </c>
      <c r="BE375" s="136">
        <f>+BE376-BE373</f>
        <v>-4.7009710800847593</v>
      </c>
      <c r="BF375" s="136">
        <f>+BF376-BF373</f>
        <v>-9.2809068846817198</v>
      </c>
      <c r="BG375" s="133"/>
      <c r="BH375" s="136">
        <f>+BH376-BH373</f>
        <v>-4.7743834623534269</v>
      </c>
      <c r="BI375" s="136">
        <f>+BI376-BI373</f>
        <v>-4.9079852516156173</v>
      </c>
      <c r="BJ375" s="136">
        <f>+BJ376-BJ373</f>
        <v>-9.6823687139690406</v>
      </c>
      <c r="BK375" s="133"/>
      <c r="BL375" s="136">
        <f>+BL376-BL373</f>
        <v>-4.9780383599482505</v>
      </c>
      <c r="BM375" s="136">
        <f>+BM376-BM373</f>
        <v>-5.1248349886735483</v>
      </c>
      <c r="BN375" s="136">
        <f>+BN376-BN373</f>
        <v>-10.102873348621799</v>
      </c>
      <c r="BO375" s="133"/>
      <c r="BP375" s="136">
        <f>+BP376-BP373</f>
        <v>-5.1913505565123579</v>
      </c>
      <c r="BQ375" s="136">
        <f>+BQ376-BQ373</f>
        <v>-5.3520017666739221</v>
      </c>
      <c r="BR375" s="136">
        <f>+BR376-BR373</f>
        <v>-10.543352323186276</v>
      </c>
      <c r="BS375" s="133"/>
      <c r="BT375" s="136">
        <f>+BT376-BT373</f>
        <v>-5.4147924080760035</v>
      </c>
      <c r="BU375" s="136">
        <f>+BU376-BU373</f>
        <v>-5.589990928745646</v>
      </c>
      <c r="BV375" s="136">
        <f>+BV376-BV373</f>
        <v>-11.004783336821653</v>
      </c>
      <c r="BW375" s="133"/>
      <c r="BX375" s="136">
        <f>+BX376-BX373</f>
        <v>-5.6488596782925953</v>
      </c>
      <c r="BY375" s="136">
        <f>+BY376-BY373</f>
        <v>-5.8393328749957192</v>
      </c>
      <c r="BZ375" s="136">
        <f>+BZ376-BZ373</f>
        <v>-11.488192553288314</v>
      </c>
    </row>
    <row r="376" spans="1:78" s="135" customFormat="1" ht="14.4" thickBot="1">
      <c r="A376" s="134"/>
      <c r="B376" s="151" t="s">
        <v>182</v>
      </c>
      <c r="D376" s="313">
        <v>0.57199999999999995</v>
      </c>
      <c r="E376" s="232">
        <f>F376-D376</f>
        <v>2.3079999999999998</v>
      </c>
      <c r="F376" s="313">
        <v>2.88</v>
      </c>
      <c r="G376" s="133"/>
      <c r="H376" s="313">
        <v>2.5030000000000001</v>
      </c>
      <c r="I376" s="232">
        <f>J376-H376</f>
        <v>2.9619999999999997</v>
      </c>
      <c r="J376" s="313">
        <v>5.4649999999999999</v>
      </c>
      <c r="K376" s="133"/>
      <c r="L376" s="313">
        <v>2.7810000000000001</v>
      </c>
      <c r="M376" s="232">
        <f>N376-L376</f>
        <v>3.7189999999999999</v>
      </c>
      <c r="N376" s="313">
        <v>6.5</v>
      </c>
      <c r="O376" s="133"/>
      <c r="P376" s="313">
        <v>3.2</v>
      </c>
      <c r="Q376" s="232">
        <f>R376-P376</f>
        <v>5.9999999999999991</v>
      </c>
      <c r="R376" s="313">
        <v>9.1999999999999993</v>
      </c>
      <c r="S376" s="133"/>
      <c r="T376" s="313">
        <v>4.9000000000000004</v>
      </c>
      <c r="U376" s="232">
        <f>V376-T376</f>
        <v>7.2999999999999989</v>
      </c>
      <c r="V376" s="313">
        <v>12.2</v>
      </c>
      <c r="X376" s="313">
        <v>4.5</v>
      </c>
      <c r="Y376" s="232">
        <f>Z376-X376</f>
        <v>6.1</v>
      </c>
      <c r="Z376" s="313">
        <v>10.6</v>
      </c>
      <c r="AB376" s="313">
        <v>3.5</v>
      </c>
      <c r="AC376" s="232">
        <f>AD376-AB376</f>
        <v>5.5</v>
      </c>
      <c r="AD376" s="313">
        <v>9</v>
      </c>
      <c r="AF376" s="343">
        <v>4.8</v>
      </c>
      <c r="AG376" s="232">
        <f>AH376-AF376</f>
        <v>9.5</v>
      </c>
      <c r="AH376" s="343">
        <v>14.3</v>
      </c>
      <c r="AJ376" s="343">
        <v>10.9</v>
      </c>
      <c r="AK376" s="232">
        <f>AL376-AJ376</f>
        <v>11.816000000000001</v>
      </c>
      <c r="AL376" s="343">
        <v>22.716000000000001</v>
      </c>
      <c r="AM376" s="133"/>
      <c r="AN376" s="313">
        <v>12.2</v>
      </c>
      <c r="AO376" s="232">
        <f>AP376-AN376</f>
        <v>11</v>
      </c>
      <c r="AP376" s="913">
        <v>23.2</v>
      </c>
      <c r="AQ376" s="133"/>
      <c r="AR376" s="232">
        <f>+AR377*AR373</f>
        <v>12.905224736250005</v>
      </c>
      <c r="AS376" s="232">
        <f>+AS377*AS373</f>
        <v>13.200603377500002</v>
      </c>
      <c r="AT376" s="232">
        <f>+AR376+AS376</f>
        <v>26.105828113750007</v>
      </c>
      <c r="AU376" s="133"/>
      <c r="AV376" s="232">
        <f>+AV377*AV373</f>
        <v>13.888223077320223</v>
      </c>
      <c r="AW376" s="232">
        <f>+AW377*AW373</f>
        <v>14.216512752750004</v>
      </c>
      <c r="AX376" s="232">
        <f>+AV376+AW376</f>
        <v>28.104735830070226</v>
      </c>
      <c r="AY376" s="133"/>
      <c r="AZ376" s="232">
        <f>+AZ377*AZ373</f>
        <v>14.71124024449704</v>
      </c>
      <c r="BA376" s="232">
        <f>+BA377*BA373</f>
        <v>15.076378151849442</v>
      </c>
      <c r="BB376" s="232">
        <f>+AZ376+BA376</f>
        <v>29.787618396346481</v>
      </c>
      <c r="BC376" s="133"/>
      <c r="BD376" s="232">
        <f>+BD377*BD373</f>
        <v>15.332828563215912</v>
      </c>
      <c r="BE376" s="232">
        <f>+BE377*BE373</f>
        <v>15.738033615935933</v>
      </c>
      <c r="BF376" s="232">
        <f>+BD376+BE376</f>
        <v>31.070862179151845</v>
      </c>
      <c r="BG376" s="133"/>
      <c r="BH376" s="232">
        <f>+BH377*BH373</f>
        <v>15.983805504400607</v>
      </c>
      <c r="BI376" s="232">
        <f>+BI377*BI373</f>
        <v>16.431081059756632</v>
      </c>
      <c r="BJ376" s="232">
        <f>+BH376+BI376</f>
        <v>32.414886564157243</v>
      </c>
      <c r="BK376" s="133"/>
      <c r="BL376" s="232">
        <f>+BL377*BL373</f>
        <v>16.665606683305018</v>
      </c>
      <c r="BM376" s="232">
        <f>+BM377*BM373</f>
        <v>17.157056266428842</v>
      </c>
      <c r="BN376" s="232">
        <f>+BL376+BM376</f>
        <v>33.822662949733861</v>
      </c>
      <c r="BO376" s="133"/>
      <c r="BP376" s="232">
        <f>+BP377*BP373</f>
        <v>17.379738819628333</v>
      </c>
      <c r="BQ376" s="232">
        <f>+BQ377*BQ373</f>
        <v>17.917571131908353</v>
      </c>
      <c r="BR376" s="232">
        <f>+BP376+BQ376</f>
        <v>35.29730995153669</v>
      </c>
      <c r="BS376" s="133"/>
      <c r="BT376" s="232">
        <f>+BT377*BT373</f>
        <v>18.127783279210977</v>
      </c>
      <c r="BU376" s="232">
        <f>+BU377*BU373</f>
        <v>18.714317457104997</v>
      </c>
      <c r="BV376" s="232">
        <f>+BT376+BU376</f>
        <v>36.84210073631597</v>
      </c>
      <c r="BW376" s="133"/>
      <c r="BX376" s="232">
        <f>+BX377*BX373</f>
        <v>18.911399792544774</v>
      </c>
      <c r="BY376" s="232">
        <f>+BY377*BY373</f>
        <v>19.549070929333503</v>
      </c>
      <c r="BZ376" s="232">
        <f>+BX376+BY376</f>
        <v>38.460470721878281</v>
      </c>
    </row>
    <row r="377" spans="1:78" s="220" customFormat="1" ht="14.4" thickBot="1">
      <c r="A377" s="660"/>
      <c r="B377" s="661" t="s">
        <v>260</v>
      </c>
      <c r="D377" s="387">
        <f>+D376/D373</f>
        <v>0.56078431372549009</v>
      </c>
      <c r="E377" s="387">
        <f>+E376/E373</f>
        <v>0.53749417792268273</v>
      </c>
      <c r="F377" s="387">
        <f>+F376/F373</f>
        <v>0.54196462175385773</v>
      </c>
      <c r="H377" s="387">
        <f>+H376/H373</f>
        <v>0.53437233134073447</v>
      </c>
      <c r="I377" s="387">
        <f>+I376/I373</f>
        <v>0.45083713850837137</v>
      </c>
      <c r="J377" s="387">
        <f>+J376/J373</f>
        <v>0.48560511818020258</v>
      </c>
      <c r="L377" s="387">
        <f>+L376/L373</f>
        <v>0.52284263959390864</v>
      </c>
      <c r="M377" s="387">
        <f>+M376/M373</f>
        <v>0.46598170655306348</v>
      </c>
      <c r="N377" s="387">
        <f>+N376/N373</f>
        <v>0.48872180451127817</v>
      </c>
      <c r="P377" s="387">
        <f>+P376/P373</f>
        <v>0.52459016393442626</v>
      </c>
      <c r="Q377" s="387">
        <f>+Q376/Q373</f>
        <v>0.75949367088607578</v>
      </c>
      <c r="R377" s="387">
        <f>+R376/R373</f>
        <v>0.65714285714285714</v>
      </c>
      <c r="T377" s="387">
        <f>+T376/T373</f>
        <v>0.74242424242424254</v>
      </c>
      <c r="U377" s="387">
        <f>+U376/U373</f>
        <v>0.76041666666666663</v>
      </c>
      <c r="V377" s="387">
        <f>+V376/V373</f>
        <v>0.75308641975308643</v>
      </c>
      <c r="X377" s="387">
        <f>+X376/X373</f>
        <v>0.72580645161290325</v>
      </c>
      <c r="Y377" s="387">
        <f>+Y376/Y373</f>
        <v>0.71764705882352942</v>
      </c>
      <c r="Z377" s="387">
        <f>+Z376/Z373</f>
        <v>0.72108843537414968</v>
      </c>
      <c r="AB377" s="387">
        <f>+AB376/AB373</f>
        <v>0.64814814814814814</v>
      </c>
      <c r="AC377" s="387">
        <f>+AC376/AC373</f>
        <v>0.72368421052631582</v>
      </c>
      <c r="AD377" s="387">
        <f>+AD376/AD373</f>
        <v>0.69230769230769229</v>
      </c>
      <c r="AF377" s="388">
        <f>+AF376/AF373</f>
        <v>0.76190476190476186</v>
      </c>
      <c r="AG377" s="387">
        <f>+AG376/AG373</f>
        <v>0.73076923076923073</v>
      </c>
      <c r="AH377" s="387">
        <f>+AH376/AH373</f>
        <v>0.7409326424870466</v>
      </c>
      <c r="AJ377" s="388">
        <f>+AJ376/AJ373</f>
        <v>0.76760563380281699</v>
      </c>
      <c r="AK377" s="387">
        <f>+AK376/AK373</f>
        <v>0.75184525324510054</v>
      </c>
      <c r="AL377" s="388">
        <f>+AL376/AL373</f>
        <v>0.75932611311672682</v>
      </c>
      <c r="AN377" s="387">
        <f>+AN376/AN373</f>
        <v>0.76249999999999996</v>
      </c>
      <c r="AO377" s="387">
        <f>+AO376/AO373</f>
        <v>0.73825503355704702</v>
      </c>
      <c r="AP377" s="388">
        <f>+AP376/AP373</f>
        <v>0.7508090614886731</v>
      </c>
      <c r="AR377" s="662">
        <f>+Scenarios!AF28</f>
        <v>0.77</v>
      </c>
      <c r="AS377" s="662">
        <f>+Scenarios!AG28</f>
        <v>0.77</v>
      </c>
      <c r="AT377" s="387">
        <f>+AT376/AT373</f>
        <v>0.76999999999999991</v>
      </c>
      <c r="AV377" s="662">
        <f>+Scenarios!AJ28</f>
        <v>0.77</v>
      </c>
      <c r="AW377" s="662">
        <f>+Scenarios!AK28</f>
        <v>0.77</v>
      </c>
      <c r="AX377" s="387">
        <f>+AX376/AX373</f>
        <v>0.77</v>
      </c>
      <c r="AZ377" s="662">
        <f>+Scenarios!AN28</f>
        <v>0.77</v>
      </c>
      <c r="BA377" s="662">
        <f>+Scenarios!AO28</f>
        <v>0.77</v>
      </c>
      <c r="BB377" s="387">
        <f>+BB376/BB373</f>
        <v>0.76999999999999991</v>
      </c>
      <c r="BD377" s="662">
        <f>+Scenarios!AR28</f>
        <v>0.77</v>
      </c>
      <c r="BE377" s="662">
        <f>+Scenarios!AS28</f>
        <v>0.77</v>
      </c>
      <c r="BF377" s="387">
        <f>+BF376/BF373</f>
        <v>0.77</v>
      </c>
      <c r="BH377" s="662">
        <f>+Scenarios!AV28</f>
        <v>0.77</v>
      </c>
      <c r="BI377" s="662">
        <f>+Scenarios!AW28</f>
        <v>0.77</v>
      </c>
      <c r="BJ377" s="387">
        <f>+BJ376/BJ373</f>
        <v>0.77000000000000013</v>
      </c>
      <c r="BL377" s="662">
        <f>+Scenarios!AZ28</f>
        <v>0.77</v>
      </c>
      <c r="BM377" s="662">
        <f>+Scenarios!BA28</f>
        <v>0.77</v>
      </c>
      <c r="BN377" s="387">
        <f>+BN376/BN373</f>
        <v>0.77</v>
      </c>
      <c r="BP377" s="662">
        <f>+Scenarios!BD28</f>
        <v>0.77</v>
      </c>
      <c r="BQ377" s="662">
        <f>+Scenarios!BE28</f>
        <v>0.77</v>
      </c>
      <c r="BR377" s="387">
        <f>+BR376/BR373</f>
        <v>0.77000000000000013</v>
      </c>
      <c r="BT377" s="662">
        <f>+Scenarios!BH28</f>
        <v>0.77</v>
      </c>
      <c r="BU377" s="662">
        <f>+Scenarios!BI28</f>
        <v>0.77</v>
      </c>
      <c r="BV377" s="387">
        <f>+BV376/BV373</f>
        <v>0.77</v>
      </c>
      <c r="BX377" s="662">
        <f>+Scenarios!BL28</f>
        <v>0.77</v>
      </c>
      <c r="BY377" s="662">
        <f>+Scenarios!BM28</f>
        <v>0.77</v>
      </c>
      <c r="BZ377" s="387">
        <f>+BZ376/BZ373</f>
        <v>0.77</v>
      </c>
    </row>
    <row r="378" spans="1:78" s="135" customFormat="1">
      <c r="A378" s="134"/>
      <c r="B378" s="314" t="s">
        <v>259</v>
      </c>
      <c r="D378" s="232"/>
      <c r="E378" s="232"/>
      <c r="F378" s="232"/>
      <c r="G378" s="133"/>
      <c r="H378" s="232"/>
      <c r="I378" s="232"/>
      <c r="J378" s="232"/>
      <c r="K378" s="133"/>
      <c r="L378" s="232"/>
      <c r="M378" s="232"/>
      <c r="N378" s="232"/>
      <c r="O378" s="133"/>
      <c r="P378" s="232"/>
      <c r="Q378" s="232"/>
      <c r="R378" s="232"/>
      <c r="S378" s="133"/>
      <c r="T378" s="232"/>
      <c r="U378" s="232"/>
      <c r="V378" s="232"/>
      <c r="W378" s="133"/>
      <c r="X378" s="315">
        <f>+X376/T376-1</f>
        <v>-8.163265306122458E-2</v>
      </c>
      <c r="Y378" s="315">
        <f>+Y376/U376-1</f>
        <v>-0.1643835616438355</v>
      </c>
      <c r="Z378" s="315">
        <f>+Z376/V376-1</f>
        <v>-0.13114754098360648</v>
      </c>
      <c r="AA378" s="133"/>
      <c r="AB378" s="315">
        <f>+AB376/X376-1</f>
        <v>-0.22222222222222221</v>
      </c>
      <c r="AC378" s="315">
        <f>+AC376/Y376-1</f>
        <v>-9.8360655737704916E-2</v>
      </c>
      <c r="AD378" s="315">
        <f>+AD376/Z376-1</f>
        <v>-0.15094339622641506</v>
      </c>
      <c r="AE378" s="133"/>
      <c r="AF378" s="315">
        <f>+AF376/AB376-1</f>
        <v>0.37142857142857144</v>
      </c>
      <c r="AG378" s="315">
        <f>+AG376/AC376-1</f>
        <v>0.72727272727272729</v>
      </c>
      <c r="AH378" s="315">
        <f>+AH376/AD376-1</f>
        <v>0.58888888888888902</v>
      </c>
      <c r="AI378" s="133"/>
      <c r="AJ378" s="315">
        <f>+AJ376/AF376-1</f>
        <v>1.2708333333333335</v>
      </c>
      <c r="AK378" s="315">
        <f>+AK376/AG376-1</f>
        <v>0.24378947368421056</v>
      </c>
      <c r="AL378" s="374">
        <f>+AL376/AH376-1</f>
        <v>0.58853146853146843</v>
      </c>
      <c r="AM378" s="133"/>
      <c r="AN378" s="315">
        <f>+AN376/AJ376-1</f>
        <v>0.11926605504587151</v>
      </c>
      <c r="AO378" s="315">
        <f>+AO376/AK376-1</f>
        <v>-6.9058903182126041E-2</v>
      </c>
      <c r="AP378" s="374">
        <f>+AP376/AL376-1</f>
        <v>2.1306568057756659E-2</v>
      </c>
      <c r="AQ378" s="133"/>
      <c r="AR378" s="315">
        <f>+AR376/AN376-1</f>
        <v>5.7805306250000577E-2</v>
      </c>
      <c r="AS378" s="315">
        <f>+AS376/AO376-1</f>
        <v>0.2000548525000001</v>
      </c>
      <c r="AT378" s="315">
        <f>+AT376/AP376-1</f>
        <v>0.12525121179956922</v>
      </c>
      <c r="AU378" s="133"/>
      <c r="AV378" s="315">
        <f>+AV376/AR376-1</f>
        <v>7.6170571312023316E-2</v>
      </c>
      <c r="AW378" s="315">
        <f>+AW376/AS376-1</f>
        <v>7.6959313616041802E-2</v>
      </c>
      <c r="AX378" s="315">
        <f>+AX376/AT376-1</f>
        <v>7.6569404640620675E-2</v>
      </c>
      <c r="AY378" s="133"/>
      <c r="AZ378" s="315">
        <f>+AZ376/AV376-1</f>
        <v>5.9260076871952228E-2</v>
      </c>
      <c r="BA378" s="315">
        <f>+BA376/AW376-1</f>
        <v>6.0483566825001223E-2</v>
      </c>
      <c r="BB378" s="315">
        <f>+BB376/AX376-1</f>
        <v>5.9878967603590905E-2</v>
      </c>
      <c r="BC378" s="133"/>
      <c r="BD378" s="315">
        <f>+BD376/AZ376-1</f>
        <v>4.2252611498978521E-2</v>
      </c>
      <c r="BE378" s="315">
        <f>+BE376/BA376-1</f>
        <v>4.3886897597174235E-2</v>
      </c>
      <c r="BF378" s="315">
        <f>+BF376/BB376-1</f>
        <v>4.3079771122714439E-2</v>
      </c>
      <c r="BG378" s="133"/>
      <c r="BH378" s="315">
        <f>+BH376/BD376-1</f>
        <v>4.2456415559645411E-2</v>
      </c>
      <c r="BI378" s="315">
        <f>+BI376/BE376-1</f>
        <v>4.4036469913175003E-2</v>
      </c>
      <c r="BJ378" s="315">
        <f>+BJ376/BF376-1</f>
        <v>4.325674573353866E-2</v>
      </c>
      <c r="BK378" s="133"/>
      <c r="BL378" s="315">
        <f>+BL376/BH376-1</f>
        <v>4.2655747951681589E-2</v>
      </c>
      <c r="BM378" s="315">
        <f>+BM376/BI376-1</f>
        <v>4.4183045779640384E-2</v>
      </c>
      <c r="BN378" s="315">
        <f>+BN376/BJ376-1</f>
        <v>4.3429934045589702E-2</v>
      </c>
      <c r="BO378" s="133"/>
      <c r="BP378" s="315">
        <f>+BP376/BL376-1</f>
        <v>4.285065343817962E-2</v>
      </c>
      <c r="BQ378" s="315">
        <f>+BQ376/BM376-1</f>
        <v>4.4326652175618708E-2</v>
      </c>
      <c r="BR378" s="315">
        <f>+BR376/BN376-1</f>
        <v>4.3599376074982654E-2</v>
      </c>
      <c r="BS378" s="133"/>
      <c r="BT378" s="315">
        <f>+BT376/BP376-1</f>
        <v>4.3041179579627276E-2</v>
      </c>
      <c r="BU378" s="315">
        <f>+BU376/BQ376-1</f>
        <v>4.4467317547173923E-2</v>
      </c>
      <c r="BV378" s="315">
        <f>+BV376/BR376-1</f>
        <v>4.3765113740970252E-2</v>
      </c>
      <c r="BW378" s="133"/>
      <c r="BX378" s="315">
        <f>+BX376/BT376-1</f>
        <v>4.3227376522779304E-2</v>
      </c>
      <c r="BY378" s="315">
        <f>+BY376/BU376-1</f>
        <v>4.4605071712705557E-2</v>
      </c>
      <c r="BZ378" s="315">
        <f>+BZ376/BV376-1</f>
        <v>4.3927190719802001E-2</v>
      </c>
    </row>
    <row r="379" spans="1:78" s="135" customFormat="1">
      <c r="A379" s="134"/>
      <c r="B379" s="151"/>
      <c r="D379" s="232"/>
      <c r="E379" s="232"/>
      <c r="F379" s="232"/>
      <c r="G379" s="133"/>
      <c r="H379" s="232"/>
      <c r="I379" s="232"/>
      <c r="J379" s="232"/>
      <c r="K379" s="133"/>
      <c r="L379" s="232"/>
      <c r="M379" s="232"/>
      <c r="N379" s="232"/>
      <c r="O379" s="133"/>
      <c r="P379" s="232"/>
      <c r="Q379" s="232"/>
      <c r="R379" s="232"/>
      <c r="S379" s="133"/>
      <c r="T379" s="232"/>
      <c r="U379" s="232"/>
      <c r="V379" s="232"/>
      <c r="W379" s="133"/>
      <c r="X379" s="232"/>
      <c r="Y379" s="232"/>
      <c r="Z379" s="232"/>
      <c r="AA379" s="133"/>
      <c r="AB379" s="281"/>
      <c r="AC379" s="232"/>
      <c r="AD379" s="232"/>
      <c r="AE379" s="133"/>
      <c r="AF379" s="315"/>
      <c r="AG379" s="232"/>
      <c r="AH379" s="232"/>
      <c r="AI379" s="133"/>
      <c r="AJ379" s="315"/>
      <c r="AK379" s="232"/>
      <c r="AL379" s="323"/>
      <c r="AM379" s="133"/>
      <c r="AN379" s="315"/>
      <c r="AO379" s="232"/>
      <c r="AP379" s="323"/>
      <c r="AQ379" s="133"/>
      <c r="AR379" s="232"/>
      <c r="AS379" s="232"/>
      <c r="AT379" s="232"/>
      <c r="AU379" s="133"/>
      <c r="AV379" s="232"/>
      <c r="AW379" s="232"/>
      <c r="AX379" s="232"/>
      <c r="AY379" s="133"/>
      <c r="AZ379" s="232"/>
      <c r="BA379" s="232"/>
      <c r="BB379" s="232"/>
      <c r="BC379" s="133"/>
      <c r="BD379" s="232"/>
      <c r="BE379" s="232"/>
      <c r="BF379" s="232"/>
      <c r="BG379" s="133"/>
      <c r="BH379" s="232"/>
      <c r="BI379" s="232"/>
      <c r="BJ379" s="232"/>
      <c r="BK379" s="133"/>
      <c r="BL379" s="232"/>
      <c r="BM379" s="232"/>
      <c r="BN379" s="232"/>
      <c r="BO379" s="133"/>
      <c r="BP379" s="232"/>
      <c r="BQ379" s="232"/>
      <c r="BR379" s="232"/>
      <c r="BS379" s="133"/>
      <c r="BT379" s="232"/>
      <c r="BU379" s="232"/>
      <c r="BV379" s="232"/>
      <c r="BW379" s="133"/>
      <c r="BX379" s="232"/>
      <c r="BY379" s="232"/>
      <c r="BZ379" s="232"/>
    </row>
    <row r="380" spans="1:78" s="135" customFormat="1" ht="15.6">
      <c r="A380" s="134"/>
      <c r="B380" s="717" t="s">
        <v>631</v>
      </c>
      <c r="D380" s="315"/>
      <c r="E380" s="315"/>
      <c r="F380" s="315"/>
      <c r="G380" s="133"/>
      <c r="H380" s="315"/>
      <c r="I380" s="315"/>
      <c r="J380" s="315"/>
      <c r="K380" s="133"/>
      <c r="L380" s="315"/>
      <c r="M380" s="315"/>
      <c r="N380" s="315"/>
      <c r="O380" s="133"/>
      <c r="P380" s="315"/>
      <c r="Q380" s="315"/>
      <c r="R380" s="315"/>
      <c r="S380" s="133"/>
      <c r="T380" s="315"/>
      <c r="U380" s="315"/>
      <c r="V380" s="315"/>
      <c r="W380" s="133"/>
      <c r="X380" s="315"/>
      <c r="Y380" s="315"/>
      <c r="Z380" s="315"/>
      <c r="AA380" s="133"/>
      <c r="AB380" s="315"/>
      <c r="AC380" s="315"/>
      <c r="AD380" s="315"/>
      <c r="AE380" s="133"/>
      <c r="AF380" s="374"/>
      <c r="AG380" s="315"/>
      <c r="AH380" s="374"/>
      <c r="AI380" s="133"/>
      <c r="AJ380" s="374"/>
      <c r="AK380" s="315"/>
      <c r="AL380" s="374"/>
      <c r="AM380" s="133"/>
      <c r="AN380" s="374"/>
      <c r="AO380" s="315"/>
      <c r="AP380" s="374"/>
      <c r="AQ380" s="133"/>
      <c r="AR380" s="315"/>
      <c r="AS380" s="315"/>
      <c r="AT380" s="315"/>
      <c r="AU380" s="133"/>
      <c r="AV380" s="315"/>
      <c r="AW380" s="315"/>
      <c r="AX380" s="315"/>
      <c r="AY380" s="133"/>
      <c r="AZ380" s="315"/>
      <c r="BA380" s="315"/>
      <c r="BB380" s="315"/>
      <c r="BC380" s="133"/>
      <c r="BD380" s="315"/>
      <c r="BE380" s="315"/>
      <c r="BF380" s="315"/>
      <c r="BG380" s="133"/>
      <c r="BH380" s="315"/>
      <c r="BI380" s="315"/>
      <c r="BJ380" s="315"/>
      <c r="BK380" s="133"/>
      <c r="BL380" s="315"/>
      <c r="BM380" s="315"/>
      <c r="BN380" s="315"/>
      <c r="BO380" s="133"/>
      <c r="BP380" s="315"/>
      <c r="BQ380" s="315"/>
      <c r="BR380" s="315"/>
      <c r="BS380" s="133"/>
      <c r="BT380" s="315"/>
      <c r="BU380" s="315"/>
      <c r="BV380" s="315"/>
      <c r="BW380" s="133"/>
      <c r="BX380" s="315"/>
      <c r="BY380" s="315"/>
      <c r="BZ380" s="315"/>
    </row>
    <row r="381" spans="1:78" s="135" customFormat="1">
      <c r="A381" s="134"/>
      <c r="B381" s="385" t="s">
        <v>370</v>
      </c>
      <c r="D381" s="313">
        <v>0</v>
      </c>
      <c r="E381" s="313">
        <v>0</v>
      </c>
      <c r="F381" s="313">
        <v>0</v>
      </c>
      <c r="G381" s="133"/>
      <c r="H381" s="313">
        <v>0</v>
      </c>
      <c r="I381" s="323">
        <f>+J381-H381</f>
        <v>0</v>
      </c>
      <c r="J381" s="313">
        <v>0</v>
      </c>
      <c r="K381" s="133"/>
      <c r="L381" s="313">
        <v>0</v>
      </c>
      <c r="M381" s="323">
        <f>+N381-L381</f>
        <v>0</v>
      </c>
      <c r="N381" s="313">
        <v>0</v>
      </c>
      <c r="O381" s="133"/>
      <c r="P381" s="313">
        <v>0</v>
      </c>
      <c r="Q381" s="323">
        <f>+R381-P381</f>
        <v>0</v>
      </c>
      <c r="R381" s="313">
        <v>0</v>
      </c>
      <c r="S381" s="133"/>
      <c r="T381" s="313">
        <v>0</v>
      </c>
      <c r="U381" s="323">
        <f>+V381-T381</f>
        <v>0</v>
      </c>
      <c r="V381" s="313">
        <v>0</v>
      </c>
      <c r="W381" s="133"/>
      <c r="X381" s="313">
        <v>0.8</v>
      </c>
      <c r="Y381" s="323">
        <f>+Z381-X381</f>
        <v>1.4000000000000001</v>
      </c>
      <c r="Z381" s="313">
        <v>2.2000000000000002</v>
      </c>
      <c r="AA381" s="133"/>
      <c r="AB381" s="313">
        <v>2.2000000000000002</v>
      </c>
      <c r="AC381" s="323">
        <f>+AD381-AB381</f>
        <v>-2.2000000000000002</v>
      </c>
      <c r="AD381" s="313">
        <v>0</v>
      </c>
      <c r="AE381" s="133"/>
      <c r="AF381" s="313">
        <v>2.6</v>
      </c>
      <c r="AG381" s="323">
        <f>+AH381-AF381</f>
        <v>-2.6</v>
      </c>
      <c r="AH381" s="343">
        <v>0</v>
      </c>
      <c r="AI381" s="133"/>
      <c r="AJ381" s="343">
        <v>0</v>
      </c>
      <c r="AK381" s="323">
        <f>+AL381-AJ381</f>
        <v>0</v>
      </c>
      <c r="AL381" s="343">
        <v>0</v>
      </c>
      <c r="AM381" s="133"/>
      <c r="AN381" s="313">
        <v>0</v>
      </c>
      <c r="AO381" s="323">
        <f>+AP381-AN381</f>
        <v>0</v>
      </c>
      <c r="AP381" s="913">
        <v>0</v>
      </c>
      <c r="AQ381" s="133"/>
      <c r="AR381" s="313">
        <v>0</v>
      </c>
      <c r="AS381" s="323">
        <f t="shared" ref="AS381" si="2312">+AT381-AR381</f>
        <v>0</v>
      </c>
      <c r="AT381" s="313">
        <v>0</v>
      </c>
      <c r="AU381" s="133"/>
      <c r="AV381" s="313">
        <v>0</v>
      </c>
      <c r="AW381" s="323">
        <f t="shared" ref="AW381" si="2313">+AX381-AV381</f>
        <v>0</v>
      </c>
      <c r="AX381" s="313">
        <v>0</v>
      </c>
      <c r="AY381" s="133"/>
      <c r="AZ381" s="313">
        <v>0</v>
      </c>
      <c r="BA381" s="323">
        <f t="shared" ref="BA381" si="2314">+BB381-AZ381</f>
        <v>0</v>
      </c>
      <c r="BB381" s="313">
        <v>0</v>
      </c>
      <c r="BC381" s="133"/>
      <c r="BD381" s="313">
        <v>0</v>
      </c>
      <c r="BE381" s="323">
        <f t="shared" ref="BE381" si="2315">+BF381-BD381</f>
        <v>0</v>
      </c>
      <c r="BF381" s="313">
        <v>0</v>
      </c>
      <c r="BG381" s="133"/>
      <c r="BH381" s="313">
        <v>0</v>
      </c>
      <c r="BI381" s="323">
        <f t="shared" ref="BI381" si="2316">+BJ381-BH381</f>
        <v>0</v>
      </c>
      <c r="BJ381" s="313">
        <v>0</v>
      </c>
      <c r="BK381" s="133"/>
      <c r="BL381" s="313">
        <v>0</v>
      </c>
      <c r="BM381" s="323">
        <f t="shared" ref="BM381" si="2317">+BN381-BL381</f>
        <v>0</v>
      </c>
      <c r="BN381" s="313">
        <v>0</v>
      </c>
      <c r="BO381" s="133"/>
      <c r="BP381" s="313">
        <v>0</v>
      </c>
      <c r="BQ381" s="323">
        <f t="shared" ref="BQ381" si="2318">+BR381-BP381</f>
        <v>0</v>
      </c>
      <c r="BR381" s="313">
        <v>0</v>
      </c>
      <c r="BS381" s="133"/>
      <c r="BT381" s="313">
        <v>0</v>
      </c>
      <c r="BU381" s="323">
        <f t="shared" ref="BU381" si="2319">+BV381-BT381</f>
        <v>0</v>
      </c>
      <c r="BV381" s="313">
        <v>0</v>
      </c>
      <c r="BW381" s="133"/>
      <c r="BX381" s="313">
        <v>0</v>
      </c>
      <c r="BY381" s="323">
        <f t="shared" ref="BY381" si="2320">+BZ381-BX381</f>
        <v>0</v>
      </c>
      <c r="BZ381" s="313">
        <v>0</v>
      </c>
    </row>
    <row r="382" spans="1:78" s="135" customFormat="1">
      <c r="A382" s="134"/>
      <c r="B382" s="386" t="s">
        <v>364</v>
      </c>
      <c r="D382" s="323">
        <f>+D381+D376</f>
        <v>0.57199999999999995</v>
      </c>
      <c r="E382" s="323">
        <f>+E381+E376</f>
        <v>2.3079999999999998</v>
      </c>
      <c r="F382" s="323">
        <f>+F381+F376</f>
        <v>2.88</v>
      </c>
      <c r="H382" s="323">
        <f>+H381+H376</f>
        <v>2.5030000000000001</v>
      </c>
      <c r="I382" s="323">
        <f>+I381+I376</f>
        <v>2.9619999999999997</v>
      </c>
      <c r="J382" s="323">
        <f>+J381+J376</f>
        <v>5.4649999999999999</v>
      </c>
      <c r="L382" s="323">
        <f>+L381+L376</f>
        <v>2.7810000000000001</v>
      </c>
      <c r="M382" s="323">
        <f>+M381+M376</f>
        <v>3.7189999999999999</v>
      </c>
      <c r="N382" s="323">
        <f>+N381+N376</f>
        <v>6.5</v>
      </c>
      <c r="P382" s="323">
        <f>+P381+P376</f>
        <v>3.2</v>
      </c>
      <c r="Q382" s="323">
        <f>+Q381+Q376</f>
        <v>5.9999999999999991</v>
      </c>
      <c r="R382" s="323">
        <f>+R381+R376</f>
        <v>9.1999999999999993</v>
      </c>
      <c r="T382" s="323">
        <f>+T381+T376</f>
        <v>4.9000000000000004</v>
      </c>
      <c r="U382" s="323">
        <f>+U381+U376</f>
        <v>7.2999999999999989</v>
      </c>
      <c r="V382" s="323">
        <f>+V381+V376</f>
        <v>12.2</v>
      </c>
      <c r="X382" s="323">
        <f>+X381+X376</f>
        <v>5.3</v>
      </c>
      <c r="Y382" s="323">
        <f>+Y381+Y376</f>
        <v>7.5</v>
      </c>
      <c r="Z382" s="323">
        <f>+Z381+Z376</f>
        <v>12.8</v>
      </c>
      <c r="AB382" s="323">
        <f>+AB381+AB376</f>
        <v>5.7</v>
      </c>
      <c r="AC382" s="323">
        <f>+AC381+AC376</f>
        <v>3.3</v>
      </c>
      <c r="AD382" s="323">
        <f>+AD381+AD376</f>
        <v>9</v>
      </c>
      <c r="AF382" s="323">
        <f>+AF381+AF376</f>
        <v>7.4</v>
      </c>
      <c r="AG382" s="323">
        <f>+AG381+AG376</f>
        <v>6.9</v>
      </c>
      <c r="AH382" s="323">
        <f>+AH381+AH376</f>
        <v>14.3</v>
      </c>
      <c r="AJ382" s="323">
        <f>+AJ381+AJ376</f>
        <v>10.9</v>
      </c>
      <c r="AK382" s="323">
        <f>+AK381+AK376</f>
        <v>11.816000000000001</v>
      </c>
      <c r="AL382" s="323">
        <f>+AL381+AL376</f>
        <v>22.716000000000001</v>
      </c>
      <c r="AN382" s="323">
        <f>+AN381+AN376</f>
        <v>12.2</v>
      </c>
      <c r="AO382" s="323">
        <f>+AO381+AO376</f>
        <v>11</v>
      </c>
      <c r="AP382" s="323">
        <f>+AP381+AP376</f>
        <v>23.2</v>
      </c>
      <c r="AR382" s="323">
        <f t="shared" ref="AR382:AT382" si="2321">+AR381+AR376</f>
        <v>12.905224736250005</v>
      </c>
      <c r="AS382" s="323">
        <f t="shared" si="2321"/>
        <v>13.200603377500002</v>
      </c>
      <c r="AT382" s="323">
        <f t="shared" si="2321"/>
        <v>26.105828113750007</v>
      </c>
      <c r="AV382" s="323">
        <f t="shared" ref="AV382:AX382" si="2322">+AV381+AV376</f>
        <v>13.888223077320223</v>
      </c>
      <c r="AW382" s="323">
        <f t="shared" si="2322"/>
        <v>14.216512752750004</v>
      </c>
      <c r="AX382" s="323">
        <f t="shared" si="2322"/>
        <v>28.104735830070226</v>
      </c>
      <c r="AZ382" s="323">
        <f t="shared" ref="AZ382:BB382" si="2323">+AZ381+AZ376</f>
        <v>14.71124024449704</v>
      </c>
      <c r="BA382" s="323">
        <f t="shared" si="2323"/>
        <v>15.076378151849442</v>
      </c>
      <c r="BB382" s="323">
        <f t="shared" si="2323"/>
        <v>29.787618396346481</v>
      </c>
      <c r="BD382" s="323">
        <f t="shared" ref="BD382:BF382" si="2324">+BD381+BD376</f>
        <v>15.332828563215912</v>
      </c>
      <c r="BE382" s="323">
        <f t="shared" si="2324"/>
        <v>15.738033615935933</v>
      </c>
      <c r="BF382" s="323">
        <f t="shared" si="2324"/>
        <v>31.070862179151845</v>
      </c>
      <c r="BH382" s="323">
        <f t="shared" ref="BH382:BJ382" si="2325">+BH381+BH376</f>
        <v>15.983805504400607</v>
      </c>
      <c r="BI382" s="323">
        <f t="shared" si="2325"/>
        <v>16.431081059756632</v>
      </c>
      <c r="BJ382" s="323">
        <f t="shared" si="2325"/>
        <v>32.414886564157243</v>
      </c>
      <c r="BL382" s="323">
        <f t="shared" ref="BL382:BN382" si="2326">+BL381+BL376</f>
        <v>16.665606683305018</v>
      </c>
      <c r="BM382" s="323">
        <f t="shared" si="2326"/>
        <v>17.157056266428842</v>
      </c>
      <c r="BN382" s="323">
        <f t="shared" si="2326"/>
        <v>33.822662949733861</v>
      </c>
      <c r="BP382" s="323">
        <f t="shared" ref="BP382:BR382" si="2327">+BP381+BP376</f>
        <v>17.379738819628333</v>
      </c>
      <c r="BQ382" s="323">
        <f t="shared" si="2327"/>
        <v>17.917571131908353</v>
      </c>
      <c r="BR382" s="323">
        <f t="shared" si="2327"/>
        <v>35.29730995153669</v>
      </c>
      <c r="BT382" s="323">
        <f t="shared" ref="BT382:BV382" si="2328">+BT381+BT376</f>
        <v>18.127783279210977</v>
      </c>
      <c r="BU382" s="323">
        <f t="shared" si="2328"/>
        <v>18.714317457104997</v>
      </c>
      <c r="BV382" s="323">
        <f t="shared" si="2328"/>
        <v>36.84210073631597</v>
      </c>
      <c r="BX382" s="323">
        <f t="shared" ref="BX382:BZ382" si="2329">+BX381+BX376</f>
        <v>18.911399792544774</v>
      </c>
      <c r="BY382" s="323">
        <f t="shared" si="2329"/>
        <v>19.549070929333503</v>
      </c>
      <c r="BZ382" s="323">
        <f t="shared" si="2329"/>
        <v>38.460470721878281</v>
      </c>
    </row>
    <row r="383" spans="1:78" s="135" customFormat="1">
      <c r="A383" s="134"/>
      <c r="B383" s="386"/>
      <c r="D383" s="387"/>
      <c r="E383" s="387"/>
      <c r="F383" s="387"/>
      <c r="H383" s="387"/>
      <c r="I383" s="387"/>
      <c r="J383" s="387"/>
      <c r="L383" s="387"/>
      <c r="M383" s="387"/>
      <c r="N383" s="387"/>
      <c r="P383" s="387"/>
      <c r="Q383" s="387"/>
      <c r="R383" s="387"/>
      <c r="T383" s="387"/>
      <c r="U383" s="387"/>
      <c r="V383" s="387"/>
      <c r="X383" s="323"/>
      <c r="Y383" s="387"/>
      <c r="Z383" s="387"/>
      <c r="AB383" s="313"/>
      <c r="AC383" s="323"/>
      <c r="AD383" s="313"/>
      <c r="AF383" s="388"/>
      <c r="AG383" s="323"/>
      <c r="AH383" s="343"/>
      <c r="AJ383" s="388"/>
      <c r="AK383" s="323"/>
      <c r="AL383" s="343"/>
      <c r="AN383" s="388"/>
      <c r="AO383" s="323"/>
      <c r="AP383" s="343"/>
      <c r="AR383" s="387"/>
      <c r="AS383" s="387"/>
      <c r="AT383" s="387"/>
      <c r="AV383" s="387"/>
      <c r="AW383" s="387"/>
      <c r="AX383" s="387"/>
      <c r="AZ383" s="387"/>
      <c r="BA383" s="387"/>
      <c r="BB383" s="387"/>
      <c r="BD383" s="387"/>
      <c r="BE383" s="387"/>
      <c r="BF383" s="387"/>
      <c r="BH383" s="387"/>
      <c r="BI383" s="387"/>
      <c r="BJ383" s="387"/>
      <c r="BL383" s="387"/>
      <c r="BM383" s="387"/>
      <c r="BN383" s="387"/>
      <c r="BP383" s="387"/>
      <c r="BQ383" s="387"/>
      <c r="BR383" s="387"/>
      <c r="BT383" s="387"/>
      <c r="BU383" s="387"/>
      <c r="BV383" s="387"/>
      <c r="BX383" s="387"/>
      <c r="BY383" s="387"/>
      <c r="BZ383" s="387"/>
    </row>
    <row r="384" spans="1:78" s="135" customFormat="1">
      <c r="A384" s="278"/>
      <c r="B384" s="386" t="s">
        <v>361</v>
      </c>
      <c r="D384" s="313"/>
      <c r="E384" s="323"/>
      <c r="F384" s="313">
        <f>+F385*0.293</f>
        <v>9.0829999999999994E-2</v>
      </c>
      <c r="H384" s="323">
        <f>+H385*D382</f>
        <v>9.151999999999999E-2</v>
      </c>
      <c r="I384" s="323">
        <f>+J384-H384</f>
        <v>1.1756799999999998</v>
      </c>
      <c r="J384" s="323">
        <f>+J385*F382</f>
        <v>1.2671999999999999</v>
      </c>
      <c r="L384" s="323">
        <f>+L385*H382</f>
        <v>0.42551000000000005</v>
      </c>
      <c r="M384" s="323">
        <f>+N384-L384</f>
        <v>0.68388500000000008</v>
      </c>
      <c r="N384" s="323">
        <f>+N385*J382</f>
        <v>1.1093950000000001</v>
      </c>
      <c r="P384" s="323">
        <f>+P385*L382</f>
        <v>0.88992000000000004</v>
      </c>
      <c r="Q384" s="323">
        <f>+R384-P384</f>
        <v>-0.68992000000000009</v>
      </c>
      <c r="R384" s="313">
        <v>0.2</v>
      </c>
      <c r="T384" s="313">
        <v>0.1</v>
      </c>
      <c r="U384" s="323">
        <f>+V384-T384</f>
        <v>0.30000000000000004</v>
      </c>
      <c r="V384" s="313">
        <v>0.4</v>
      </c>
      <c r="X384" s="313">
        <v>0</v>
      </c>
      <c r="Y384" s="323">
        <f>+Z384-X384</f>
        <v>2.2999999999999998</v>
      </c>
      <c r="Z384" s="313">
        <v>2.2999999999999998</v>
      </c>
      <c r="AB384" s="313">
        <v>0.2</v>
      </c>
      <c r="AC384" s="323">
        <f>+AD384-AB384</f>
        <v>0.49999999999999994</v>
      </c>
      <c r="AD384" s="313">
        <v>0.7</v>
      </c>
      <c r="AF384" s="313">
        <v>1.2</v>
      </c>
      <c r="AG384" s="323">
        <f>+AH384-AF384</f>
        <v>2.5999999999999996</v>
      </c>
      <c r="AH384" s="343">
        <v>3.8</v>
      </c>
      <c r="AJ384" s="343">
        <v>3.4</v>
      </c>
      <c r="AK384" s="323">
        <f>+AL384-AJ384</f>
        <v>0.30000000000000027</v>
      </c>
      <c r="AL384" s="343">
        <v>3.7</v>
      </c>
      <c r="AN384" s="313">
        <v>1.8</v>
      </c>
      <c r="AO384" s="323">
        <f>+AP384-AN384</f>
        <v>-0.7</v>
      </c>
      <c r="AP384" s="913">
        <v>1.1000000000000001</v>
      </c>
      <c r="AR384" s="420">
        <f>+AR382-AN382-AR386</f>
        <v>0.78007481601692075</v>
      </c>
      <c r="AS384" s="420">
        <f>+AS382-AO382-AS386</f>
        <v>2.275055583776644</v>
      </c>
      <c r="AT384" s="323">
        <f t="shared" ref="AT384" si="2330">+AS384+AR384</f>
        <v>3.0551303997935646</v>
      </c>
      <c r="AV384" s="420">
        <f t="shared" ref="AV384:AW384" si="2331">+AV382-AR382-AV386</f>
        <v>1.0592815290191866</v>
      </c>
      <c r="AW384" s="420">
        <f t="shared" si="2331"/>
        <v>1.0923005392021812</v>
      </c>
      <c r="AX384" s="323">
        <f t="shared" ref="AX384" si="2332">+AW384+AV384</f>
        <v>2.1515820682213675</v>
      </c>
      <c r="AZ384" s="420">
        <f t="shared" ref="AZ384:BA384" si="2333">+AZ382-AV382-AZ386</f>
        <v>0.90118402836987566</v>
      </c>
      <c r="BA384" s="420">
        <f t="shared" si="2333"/>
        <v>0.93814010987919971</v>
      </c>
      <c r="BB384" s="323">
        <f t="shared" ref="BB384" si="2334">+BA384+AZ384</f>
        <v>1.8393241382490753</v>
      </c>
      <c r="BD384" s="420">
        <f t="shared" ref="BD384:BE384" si="2335">+BD382-AZ382-BD386</f>
        <v>0.70150282475843373</v>
      </c>
      <c r="BE384" s="420">
        <f t="shared" si="2335"/>
        <v>0.74168269742016013</v>
      </c>
      <c r="BF384" s="323">
        <f t="shared" ref="BF384" si="2336">+BE384+BD384</f>
        <v>1.4431855221785939</v>
      </c>
      <c r="BH384" s="420">
        <f t="shared" ref="BH384:BI384" si="2337">+BH382-BD382-BH386</f>
        <v>0.73267176898284825</v>
      </c>
      <c r="BI384" s="420">
        <f t="shared" si="2337"/>
        <v>0.77485941118788726</v>
      </c>
      <c r="BJ384" s="323">
        <f t="shared" ref="BJ384" si="2338">+BI384+BH384</f>
        <v>1.5075311801707354</v>
      </c>
      <c r="BL384" s="420">
        <f t="shared" ref="BL384:BM384" si="2339">+BL382-BH382-BL386</f>
        <v>0.76530960184539609</v>
      </c>
      <c r="BM384" s="420">
        <f t="shared" si="2339"/>
        <v>0.80960473632610264</v>
      </c>
      <c r="BN384" s="323">
        <f t="shared" ref="BN384" si="2340">+BM384+BL384</f>
        <v>1.5749143381714987</v>
      </c>
      <c r="BP384" s="420">
        <f t="shared" ref="BP384:BQ384" si="2341">+BP382-BL382-BP386</f>
        <v>0.79948804100491822</v>
      </c>
      <c r="BQ384" s="420">
        <f t="shared" si="2341"/>
        <v>0.84599541905944542</v>
      </c>
      <c r="BR384" s="323">
        <f t="shared" ref="BR384" si="2342">+BQ384+BP384</f>
        <v>1.6454834600643635</v>
      </c>
      <c r="BT384" s="420">
        <f t="shared" ref="BT384" si="2343">+BT382-BP382-BT386</f>
        <v>0.83528236282077462</v>
      </c>
      <c r="BU384" s="420">
        <f t="shared" ref="BU384" si="2344">+BU382-BQ382-BU386</f>
        <v>0.88411201453814159</v>
      </c>
      <c r="BV384" s="323">
        <f t="shared" ref="BV384" si="2345">+BU384+BT384</f>
        <v>1.7193943773589162</v>
      </c>
      <c r="BX384" s="420">
        <f t="shared" ref="BX384" si="2346">+BX382-BT382-BX386</f>
        <v>0.87277157942255745</v>
      </c>
      <c r="BY384" s="420">
        <f t="shared" ref="BY384" si="2347">+BY382-BU382-BY386</f>
        <v>0.92403907636910665</v>
      </c>
      <c r="BZ384" s="323">
        <f t="shared" ref="BZ384" si="2348">+BY384+BX384</f>
        <v>1.7968106557916641</v>
      </c>
    </row>
    <row r="385" spans="1:78" s="139" customFormat="1">
      <c r="A385" s="284"/>
      <c r="B385" s="314" t="s">
        <v>366</v>
      </c>
      <c r="D385" s="315"/>
      <c r="E385" s="315"/>
      <c r="F385" s="394">
        <v>0.31</v>
      </c>
      <c r="G385" s="390"/>
      <c r="H385" s="394">
        <v>0.16</v>
      </c>
      <c r="I385" s="315">
        <f>+I384/E382</f>
        <v>0.50939341421143847</v>
      </c>
      <c r="J385" s="394">
        <v>0.44</v>
      </c>
      <c r="K385" s="390"/>
      <c r="L385" s="394">
        <v>0.17</v>
      </c>
      <c r="M385" s="315">
        <f>+M384/I382</f>
        <v>0.23088622552329513</v>
      </c>
      <c r="N385" s="394">
        <v>0.20300000000000001</v>
      </c>
      <c r="O385" s="390"/>
      <c r="P385" s="394">
        <v>0.32</v>
      </c>
      <c r="Q385" s="315">
        <f>+Q384/M382</f>
        <v>-0.1855122344716322</v>
      </c>
      <c r="R385" s="315">
        <f>+R384/N382</f>
        <v>3.0769230769230771E-2</v>
      </c>
      <c r="S385" s="390"/>
      <c r="T385" s="315">
        <f>+T384/P382</f>
        <v>3.125E-2</v>
      </c>
      <c r="U385" s="315">
        <f>+U384/Q382</f>
        <v>5.0000000000000017E-2</v>
      </c>
      <c r="V385" s="315">
        <f>+V384/R382</f>
        <v>4.3478260869565223E-2</v>
      </c>
      <c r="W385" s="390"/>
      <c r="X385" s="315">
        <f>+X384/T382</f>
        <v>0</v>
      </c>
      <c r="Y385" s="315">
        <f>+Y384/U382</f>
        <v>0.31506849315068497</v>
      </c>
      <c r="Z385" s="315">
        <f>+Z384/V382</f>
        <v>0.18852459016393441</v>
      </c>
      <c r="AA385" s="390"/>
      <c r="AB385" s="315">
        <f>+AB384/X382</f>
        <v>3.7735849056603779E-2</v>
      </c>
      <c r="AC385" s="315">
        <f>+AC384/Y384-1</f>
        <v>-0.78260869565217395</v>
      </c>
      <c r="AD385" s="315">
        <f>+AD384/Z382</f>
        <v>5.4687499999999993E-2</v>
      </c>
      <c r="AE385" s="390"/>
      <c r="AF385" s="315">
        <f>+AF384/AB382</f>
        <v>0.21052631578947367</v>
      </c>
      <c r="AG385" s="315">
        <f>+AG384/AC384-1</f>
        <v>4.2</v>
      </c>
      <c r="AH385" s="374">
        <f>+AH384/AD382</f>
        <v>0.42222222222222222</v>
      </c>
      <c r="AI385" s="390"/>
      <c r="AJ385" s="315">
        <f>+AJ384/AF376</f>
        <v>0.70833333333333337</v>
      </c>
      <c r="AK385" s="315">
        <f>+AK384/AG384-1</f>
        <v>-0.88461538461538447</v>
      </c>
      <c r="AL385" s="374">
        <f>+AL384/AH382</f>
        <v>0.25874125874125875</v>
      </c>
      <c r="AM385" s="390"/>
      <c r="AN385" s="909">
        <v>0.16</v>
      </c>
      <c r="AO385" s="315">
        <f>+AO384/AK384-1</f>
        <v>-3.3333333333333313</v>
      </c>
      <c r="AP385" s="374">
        <f>+AP384/AL382</f>
        <v>4.8424018313083288E-2</v>
      </c>
      <c r="AQ385" s="390"/>
      <c r="AR385" s="315">
        <f t="shared" ref="AR385:AT385" si="2349">+AR384/AN382</f>
        <v>6.3940558689911539E-2</v>
      </c>
      <c r="AS385" s="315">
        <f t="shared" si="2349"/>
        <v>0.20682323488878582</v>
      </c>
      <c r="AT385" s="315">
        <f t="shared" si="2349"/>
        <v>0.13168665516351571</v>
      </c>
      <c r="AU385" s="390"/>
      <c r="AV385" s="315">
        <f t="shared" ref="AV385" si="2350">+AV384/AR382</f>
        <v>8.2081602658474292E-2</v>
      </c>
      <c r="AW385" s="315">
        <f t="shared" ref="AW385" si="2351">+AW384/AS382</f>
        <v>8.2746258482697219E-2</v>
      </c>
      <c r="AX385" s="315">
        <f t="shared" ref="AX385" si="2352">+AX384/AT382</f>
        <v>8.2417690748837952E-2</v>
      </c>
      <c r="AY385" s="390"/>
      <c r="AZ385" s="315">
        <f t="shared" ref="AZ385" si="2353">+AZ384/AV382</f>
        <v>6.4888360688958771E-2</v>
      </c>
      <c r="BA385" s="315">
        <f t="shared" ref="BA385" si="2354">+BA384/AW382</f>
        <v>6.598946775451163E-2</v>
      </c>
      <c r="BB385" s="315">
        <f t="shared" ref="BB385" si="2355">+BB384/AX382</f>
        <v>6.5445345203391625E-2</v>
      </c>
      <c r="BC385" s="390"/>
      <c r="BD385" s="315">
        <f t="shared" ref="BD385" si="2356">+BD384/AZ382</f>
        <v>4.7684818757605524E-2</v>
      </c>
      <c r="BE385" s="315">
        <f t="shared" ref="BE385" si="2357">+BE384/BA382</f>
        <v>4.9195018190040345E-2</v>
      </c>
      <c r="BF385" s="315">
        <f t="shared" ref="BF385" si="2358">+BF384/BB382</f>
        <v>4.8449174518618243E-2</v>
      </c>
      <c r="BG385" s="390"/>
      <c r="BH385" s="315">
        <f t="shared" ref="BH385" si="2359">+BH384/BD382</f>
        <v>4.7784514511598861E-2</v>
      </c>
      <c r="BI385" s="315">
        <f t="shared" ref="BI385" si="2360">+BI384/BE382</f>
        <v>4.9234830099948716E-2</v>
      </c>
      <c r="BJ385" s="315">
        <f t="shared" ref="BJ385" si="2361">+BJ384/BF382</f>
        <v>4.8519129320533295E-2</v>
      </c>
      <c r="BK385" s="390"/>
      <c r="BL385" s="315">
        <f t="shared" ref="BL385" si="2362">+BL384/BH382</f>
        <v>4.7880312459676368E-2</v>
      </c>
      <c r="BM385" s="315">
        <f t="shared" ref="BM385" si="2363">+BM384/BI382</f>
        <v>4.9272761383242429E-2</v>
      </c>
      <c r="BN385" s="315">
        <f t="shared" ref="BN385" si="2364">+BN384/BJ382</f>
        <v>4.8586143747698936E-2</v>
      </c>
      <c r="BO385" s="390"/>
      <c r="BP385" s="315">
        <f t="shared" ref="BP385" si="2365">+BP384/BL382</f>
        <v>4.7972333452811856E-2</v>
      </c>
      <c r="BQ385" s="315">
        <f t="shared" ref="BQ385" si="2366">+BQ384/BM382</f>
        <v>4.9308891101255053E-2</v>
      </c>
      <c r="BR385" s="315">
        <f t="shared" ref="BR385" si="2367">+BR384/BN382</f>
        <v>4.8650322492638363E-2</v>
      </c>
      <c r="BS385" s="390"/>
      <c r="BT385" s="315">
        <f t="shared" ref="BT385" si="2368">+BT384/BP382</f>
        <v>4.8060697084666384E-2</v>
      </c>
      <c r="BU385" s="315">
        <f t="shared" ref="BU385" si="2369">+BU384/BQ382</f>
        <v>4.9343295920487695E-2</v>
      </c>
      <c r="BV385" s="315">
        <f t="shared" ref="BV385" si="2370">+BV384/BR382</f>
        <v>4.8711768112630956E-2</v>
      </c>
      <c r="BW385" s="390"/>
      <c r="BX385" s="315">
        <f t="shared" ref="BX385" si="2371">+BX384/BT382</f>
        <v>4.814552148929626E-2</v>
      </c>
      <c r="BY385" s="315">
        <f t="shared" ref="BY385" si="2372">+BY384/BU382</f>
        <v>4.9376050101057251E-2</v>
      </c>
      <c r="BZ385" s="315">
        <f t="shared" ref="BZ385" si="2373">+BZ384/BV382</f>
        <v>4.8770580935427313E-2</v>
      </c>
    </row>
    <row r="386" spans="1:78" s="135" customFormat="1">
      <c r="A386" s="134"/>
      <c r="B386" s="386" t="s">
        <v>362</v>
      </c>
      <c r="D386" s="313"/>
      <c r="E386" s="323"/>
      <c r="F386" s="313">
        <f>+(2.88-0.293)-F384</f>
        <v>2.4961699999999998</v>
      </c>
      <c r="H386" s="323">
        <f>+H382-D382-H384</f>
        <v>1.83948</v>
      </c>
      <c r="I386" s="323">
        <f>+J386-H386</f>
        <v>-0.52167999999999992</v>
      </c>
      <c r="J386" s="323">
        <f>+J382-F382-J384</f>
        <v>1.3178000000000001</v>
      </c>
      <c r="L386" s="323">
        <f>+L382-H382-L384</f>
        <v>-0.14751000000000003</v>
      </c>
      <c r="M386" s="323">
        <f>+N386-L386</f>
        <v>7.3115000000000041E-2</v>
      </c>
      <c r="N386" s="323">
        <f>+N382-J382-N384</f>
        <v>-7.4394999999999989E-2</v>
      </c>
      <c r="P386" s="323">
        <f>+P382-L382-P384</f>
        <v>-0.47092000000000001</v>
      </c>
      <c r="Q386" s="323">
        <f>+R386-P386</f>
        <v>2.7709199999999998</v>
      </c>
      <c r="R386" s="313">
        <v>2.2999999999999998</v>
      </c>
      <c r="T386" s="313">
        <v>1.6</v>
      </c>
      <c r="U386" s="323">
        <f>+V386-T386</f>
        <v>1.2999999999999998</v>
      </c>
      <c r="V386" s="313">
        <v>2.9</v>
      </c>
      <c r="X386" s="313">
        <v>0.3</v>
      </c>
      <c r="Y386" s="323">
        <f>+Z386-X386</f>
        <v>0.39999999999999997</v>
      </c>
      <c r="Z386" s="313">
        <v>0.7</v>
      </c>
      <c r="AB386" s="313">
        <v>0.2</v>
      </c>
      <c r="AC386" s="323">
        <f>+AD386-AB386</f>
        <v>-0.2</v>
      </c>
      <c r="AD386" s="313">
        <v>0</v>
      </c>
      <c r="AF386" s="313">
        <v>0.5</v>
      </c>
      <c r="AG386" s="323">
        <f>+AH386-AF386</f>
        <v>1.1000000000000001</v>
      </c>
      <c r="AH386" s="343">
        <v>1.6</v>
      </c>
      <c r="AJ386" s="343">
        <v>1</v>
      </c>
      <c r="AK386" s="323">
        <f>+AL386-AJ386</f>
        <v>0.5</v>
      </c>
      <c r="AL386" s="343">
        <v>1.5</v>
      </c>
      <c r="AN386" s="906">
        <v>1</v>
      </c>
      <c r="AO386" s="323">
        <f>+AP386-AN386</f>
        <v>0.5</v>
      </c>
      <c r="AP386" s="913">
        <v>1.5</v>
      </c>
      <c r="AR386" s="420">
        <f>+AR369 + (AR372+AR375) *AR369/AR363</f>
        <v>-7.4850079766914573E-2</v>
      </c>
      <c r="AS386" s="420">
        <f>+AS369 + (AS372+AS375) *AS369/AS363</f>
        <v>-7.4452206276642049E-2</v>
      </c>
      <c r="AT386" s="323">
        <f t="shared" ref="AT386" si="2374">+AS386+AR386</f>
        <v>-0.14930228604355661</v>
      </c>
      <c r="AV386" s="420">
        <f>+AV369 + (AV372+AV375) *AV369/AV363</f>
        <v>-7.6283187948968822E-2</v>
      </c>
      <c r="AW386" s="420">
        <f>+AW369 + (AW372+AW375) *AW369/AW363</f>
        <v>-7.6391163952178737E-2</v>
      </c>
      <c r="AX386" s="323">
        <f t="shared" ref="AX386" si="2375">+AW386+AV386</f>
        <v>-0.15267435190114756</v>
      </c>
      <c r="AZ386" s="420">
        <f>+AZ369 + (AZ372+AZ375) *AZ369/AZ363</f>
        <v>-7.8166861193059184E-2</v>
      </c>
      <c r="BA386" s="420">
        <f>+BA369 + (BA372+BA375) *BA369/BA363</f>
        <v>-7.8274710779762585E-2</v>
      </c>
      <c r="BB386" s="323">
        <f t="shared" ref="BB386" si="2376">+BA386+AZ386</f>
        <v>-0.15644157197282177</v>
      </c>
      <c r="BD386" s="420">
        <f>+BD369 + (BD372+BD375) *BD369/BD363</f>
        <v>-7.9914506039561115E-2</v>
      </c>
      <c r="BE386" s="420">
        <f>+BE369 + (BE372+BE375) *BE369/BE363</f>
        <v>-8.002723333366854E-2</v>
      </c>
      <c r="BF386" s="323">
        <f t="shared" ref="BF386" si="2377">+BE386+BD386</f>
        <v>-0.15994173937322964</v>
      </c>
      <c r="BH386" s="420">
        <f>+BH369 + (BH372+BH375) *BH369/BH363</f>
        <v>-8.1694827798153596E-2</v>
      </c>
      <c r="BI386" s="420">
        <f>+BI369 + (BI372+BI375) *BI369/BI363</f>
        <v>-8.1811967367188002E-2</v>
      </c>
      <c r="BJ386" s="323">
        <f t="shared" ref="BJ386" si="2378">+BI386+BH386</f>
        <v>-0.16350679516534161</v>
      </c>
      <c r="BL386" s="420">
        <f>+BL369 + (BL372+BL375) *BL369/BL363</f>
        <v>-8.3508422940984678E-2</v>
      </c>
      <c r="BM386" s="420">
        <f>+BM369 + (BM372+BM375) *BM369/BM363</f>
        <v>-8.3629529653892545E-2</v>
      </c>
      <c r="BN386" s="323">
        <f t="shared" ref="BN386" si="2379">+BM386+BL386</f>
        <v>-0.16713795259487724</v>
      </c>
      <c r="BP386" s="420">
        <f>+BP369 + (BP372+BP375) *BP369/BP363</f>
        <v>-8.5355904681603562E-2</v>
      </c>
      <c r="BQ386" s="420">
        <f>+BQ369 + (BQ372+BQ375) *BQ369/BQ363</f>
        <v>-8.5480553579934573E-2</v>
      </c>
      <c r="BR386" s="323">
        <f t="shared" ref="BR386" si="2380">+BQ386+BP386</f>
        <v>-0.17083645826153815</v>
      </c>
      <c r="BT386" s="420">
        <f>+BT369 + (BT372+BT375) *BT369/BT363</f>
        <v>-8.7237903238130493E-2</v>
      </c>
      <c r="BU386" s="420">
        <f>+BU369 + (BU372+BU375) *BU369/BU363</f>
        <v>-8.7365689341497993E-2</v>
      </c>
      <c r="BV386" s="323">
        <f t="shared" ref="BV386" si="2381">+BU386+BT386</f>
        <v>-0.17460359257962849</v>
      </c>
      <c r="BX386" s="420">
        <f>+BX369 + (BX372+BX375) *BX369/BX363</f>
        <v>-8.9155066088760365E-2</v>
      </c>
      <c r="BY386" s="420">
        <f>+BY369 + (BY372+BY375) *BY369/BY363</f>
        <v>-8.9285604140600494E-2</v>
      </c>
      <c r="BZ386" s="323">
        <f t="shared" ref="BZ386" si="2382">+BY386+BX386</f>
        <v>-0.17844067022936086</v>
      </c>
    </row>
    <row r="387" spans="1:78" s="135" customFormat="1">
      <c r="A387" s="134"/>
      <c r="B387" s="314" t="s">
        <v>367</v>
      </c>
      <c r="D387" s="315"/>
      <c r="E387" s="315"/>
      <c r="F387" s="315">
        <f>+F386/50.146</f>
        <v>4.9778048099549312E-2</v>
      </c>
      <c r="G387" s="133"/>
      <c r="H387" s="315">
        <f>+H386/D382</f>
        <v>3.2158741258741261</v>
      </c>
      <c r="I387" s="315">
        <f>+I386/E382</f>
        <v>-0.22603119584055459</v>
      </c>
      <c r="J387" s="315">
        <f>+J386/F382</f>
        <v>0.45756944444444447</v>
      </c>
      <c r="K387" s="133"/>
      <c r="L387" s="315">
        <f>+L386/H382</f>
        <v>-5.8933280063923302E-2</v>
      </c>
      <c r="M387" s="315">
        <f>+M386/I382</f>
        <v>2.468433490884539E-2</v>
      </c>
      <c r="N387" s="315">
        <f>+N386/J382</f>
        <v>-1.361299176578225E-2</v>
      </c>
      <c r="O387" s="133"/>
      <c r="P387" s="315">
        <f>+P386/L382</f>
        <v>-0.16933477166486874</v>
      </c>
      <c r="Q387" s="315">
        <f>+Q386/M382</f>
        <v>0.74507125571390154</v>
      </c>
      <c r="R387" s="315">
        <f>+R386/N382</f>
        <v>0.35384615384615381</v>
      </c>
      <c r="S387" s="133"/>
      <c r="T387" s="315">
        <f>+T386/P382</f>
        <v>0.5</v>
      </c>
      <c r="U387" s="315">
        <f>+U386/Q382</f>
        <v>0.21666666666666667</v>
      </c>
      <c r="V387" s="315">
        <f>+V386/R382</f>
        <v>0.31521739130434784</v>
      </c>
      <c r="W387" s="133"/>
      <c r="X387" s="315">
        <f>+X386/T382</f>
        <v>6.1224489795918359E-2</v>
      </c>
      <c r="Y387" s="315">
        <f>+Y386/U382</f>
        <v>5.4794520547945209E-2</v>
      </c>
      <c r="Z387" s="315">
        <f>+Z386/V382</f>
        <v>5.737704918032787E-2</v>
      </c>
      <c r="AA387" s="133"/>
      <c r="AB387" s="315">
        <f>+AB386/X382</f>
        <v>3.7735849056603779E-2</v>
      </c>
      <c r="AC387" s="315">
        <f>+AC386/Y386-1</f>
        <v>-1.5</v>
      </c>
      <c r="AD387" s="315">
        <f>+AD386/Z382</f>
        <v>0</v>
      </c>
      <c r="AE387" s="133"/>
      <c r="AF387" s="315">
        <f>+AF386/AB382</f>
        <v>8.771929824561403E-2</v>
      </c>
      <c r="AG387" s="315">
        <f>+AG386/AC386-1</f>
        <v>-6.5</v>
      </c>
      <c r="AH387" s="374">
        <f>+AH386/AD382</f>
        <v>0.17777777777777778</v>
      </c>
      <c r="AI387" s="133"/>
      <c r="AJ387" s="315">
        <f>+AJ386/AF376</f>
        <v>0.20833333333333334</v>
      </c>
      <c r="AK387" s="315">
        <f>+AK386/AG386-1</f>
        <v>-0.54545454545454541</v>
      </c>
      <c r="AL387" s="374">
        <f>+AL386/AH382</f>
        <v>0.1048951048951049</v>
      </c>
      <c r="AM387" s="133"/>
      <c r="AN387" s="909">
        <v>9.1999999999999998E-2</v>
      </c>
      <c r="AO387" s="315">
        <f>+AO386/AK386-1</f>
        <v>0</v>
      </c>
      <c r="AP387" s="374">
        <f>+AP386/AL382</f>
        <v>6.6032752245113568E-2</v>
      </c>
      <c r="AQ387" s="133"/>
      <c r="AR387" s="315">
        <f t="shared" ref="AR387:AT387" si="2383">+AR386/AN382</f>
        <v>-6.1352524399110311E-3</v>
      </c>
      <c r="AS387" s="315">
        <f t="shared" si="2383"/>
        <v>-6.7683823887856407E-3</v>
      </c>
      <c r="AT387" s="315">
        <f t="shared" si="2383"/>
        <v>-6.4354433639464059E-3</v>
      </c>
      <c r="AU387" s="133"/>
      <c r="AV387" s="315">
        <f t="shared" ref="AV387" si="2384">+AV386/AR382</f>
        <v>-5.9110313464510152E-3</v>
      </c>
      <c r="AW387" s="315">
        <f t="shared" ref="AW387" si="2385">+AW386/AS382</f>
        <v>-5.7869448666554883E-3</v>
      </c>
      <c r="AX387" s="315">
        <f t="shared" ref="AX387" si="2386">+AX386/AT382</f>
        <v>-5.8482861082170988E-3</v>
      </c>
      <c r="AY387" s="133"/>
      <c r="AZ387" s="315">
        <f t="shared" ref="AZ387" si="2387">+AZ386/AV382</f>
        <v>-5.6282838170066121E-3</v>
      </c>
      <c r="BA387" s="315">
        <f t="shared" ref="BA387" si="2388">+BA386/AW382</f>
        <v>-5.5059009295103916E-3</v>
      </c>
      <c r="BB387" s="315">
        <f t="shared" ref="BB387" si="2389">+BB386/AX382</f>
        <v>-5.5663775998007975E-3</v>
      </c>
      <c r="BC387" s="133"/>
      <c r="BD387" s="315">
        <f t="shared" ref="BD387" si="2390">+BD386/AZ382</f>
        <v>-5.4322072586269086E-3</v>
      </c>
      <c r="BE387" s="315">
        <f t="shared" ref="BE387" si="2391">+BE386/BA382</f>
        <v>-5.3081205928660977E-3</v>
      </c>
      <c r="BF387" s="315">
        <f t="shared" ref="BF387" si="2392">+BF386/BB382</f>
        <v>-5.3694033959038115E-3</v>
      </c>
      <c r="BG387" s="133"/>
      <c r="BH387" s="315">
        <f t="shared" ref="BH387" si="2393">+BH386/BD382</f>
        <v>-5.3280989519535133E-3</v>
      </c>
      <c r="BI387" s="315">
        <f t="shared" ref="BI387" si="2394">+BI386/BE382</f>
        <v>-5.1983601867737327E-3</v>
      </c>
      <c r="BJ387" s="315">
        <f t="shared" ref="BJ387" si="2395">+BJ386/BF382</f>
        <v>-5.2623835869946541E-3</v>
      </c>
      <c r="BK387" s="133"/>
      <c r="BL387" s="315">
        <f t="shared" ref="BL387" si="2396">+BL386/BH382</f>
        <v>-5.2245645079948841E-3</v>
      </c>
      <c r="BM387" s="315">
        <f t="shared" ref="BM387" si="2397">+BM386/BI382</f>
        <v>-5.0897156036019955E-3</v>
      </c>
      <c r="BN387" s="315">
        <f t="shared" ref="BN387" si="2398">+BN386/BJ382</f>
        <v>-5.1562097021092155E-3</v>
      </c>
      <c r="BO387" s="133"/>
      <c r="BP387" s="315">
        <f t="shared" ref="BP387" si="2399">+BP386/BL382</f>
        <v>-5.1216800146321653E-3</v>
      </c>
      <c r="BQ387" s="315">
        <f t="shared" ref="BQ387" si="2400">+BQ386/BM382</f>
        <v>-4.982238925636334E-3</v>
      </c>
      <c r="BR387" s="315">
        <f t="shared" ref="BR387" si="2401">+BR386/BN382</f>
        <v>-5.0509464176558107E-3</v>
      </c>
      <c r="BS387" s="133"/>
      <c r="BT387" s="315">
        <f t="shared" ref="BT387" si="2402">+BT386/BP382</f>
        <v>-5.0195175050390135E-3</v>
      </c>
      <c r="BU387" s="315">
        <f t="shared" ref="BU387" si="2403">+BU386/BQ382</f>
        <v>-4.8759783733138672E-3</v>
      </c>
      <c r="BV387" s="315">
        <f t="shared" ref="BV387" si="2404">+BV386/BR382</f>
        <v>-4.9466543716606094E-3</v>
      </c>
      <c r="BW387" s="133"/>
      <c r="BX387" s="315">
        <f t="shared" ref="BX387" si="2405">+BX386/BT382</f>
        <v>-4.9181449665168823E-3</v>
      </c>
      <c r="BY387" s="315">
        <f t="shared" ref="BY387" si="2406">+BY386/BU382</f>
        <v>-4.7709783883516793E-3</v>
      </c>
      <c r="BZ387" s="315">
        <f t="shared" ref="BZ387" si="2407">+BZ386/BV382</f>
        <v>-4.8433902156254744E-3</v>
      </c>
    </row>
    <row r="388" spans="1:78" s="135" customFormat="1">
      <c r="A388" s="134"/>
      <c r="B388" s="386" t="s">
        <v>363</v>
      </c>
      <c r="D388" s="323"/>
      <c r="E388" s="323"/>
      <c r="F388" s="313">
        <f>F384+F386+0.293</f>
        <v>2.88</v>
      </c>
      <c r="G388" s="133"/>
      <c r="H388" s="323">
        <f>+D382+H384+H386</f>
        <v>2.5030000000000001</v>
      </c>
      <c r="I388" s="323">
        <f>+J388-H388</f>
        <v>2.9619999999999997</v>
      </c>
      <c r="J388" s="323">
        <f>+F382+J384+J386</f>
        <v>5.4649999999999999</v>
      </c>
      <c r="K388" s="133"/>
      <c r="L388" s="323">
        <f>+H382+L384+L386</f>
        <v>2.7810000000000001</v>
      </c>
      <c r="M388" s="323">
        <f>+N388-L388</f>
        <v>3.7189999999999999</v>
      </c>
      <c r="N388" s="323">
        <f>+J382+N384+N386</f>
        <v>6.5</v>
      </c>
      <c r="O388" s="133"/>
      <c r="P388" s="323">
        <f>+L382+P384+P386</f>
        <v>3.2</v>
      </c>
      <c r="Q388" s="323">
        <f>+R388-P388</f>
        <v>5.8</v>
      </c>
      <c r="R388" s="323">
        <f>+N382+R384+R386</f>
        <v>9</v>
      </c>
      <c r="S388" s="133"/>
      <c r="T388" s="323">
        <f>+P382+T384+T386</f>
        <v>4.9000000000000004</v>
      </c>
      <c r="U388" s="323">
        <f>+V388-T388</f>
        <v>7.6</v>
      </c>
      <c r="V388" s="323">
        <f>+R382+V384+V386</f>
        <v>12.5</v>
      </c>
      <c r="W388" s="133"/>
      <c r="X388" s="323">
        <f>+T382+X384+X386</f>
        <v>5.2</v>
      </c>
      <c r="Y388" s="323">
        <f>+Z388-X388</f>
        <v>10</v>
      </c>
      <c r="Z388" s="323">
        <f>+V382+Z384+Z386</f>
        <v>15.2</v>
      </c>
      <c r="AA388" s="133"/>
      <c r="AB388" s="323">
        <f>+X382+AB384+AB386</f>
        <v>5.7</v>
      </c>
      <c r="AC388" s="323">
        <f>+AD388-AB388</f>
        <v>7.8</v>
      </c>
      <c r="AD388" s="323">
        <f>+Z382+AD384+AD386</f>
        <v>13.5</v>
      </c>
      <c r="AE388" s="133"/>
      <c r="AF388" s="323">
        <f>+AB382+AF384+AF386</f>
        <v>7.4</v>
      </c>
      <c r="AG388" s="323">
        <f>+AH388-AF388</f>
        <v>7</v>
      </c>
      <c r="AH388" s="323">
        <f>+AD382+AH384+AH386</f>
        <v>14.4</v>
      </c>
      <c r="AI388" s="133"/>
      <c r="AJ388" s="323">
        <f>+AF376+AJ384+AJ386</f>
        <v>9.1999999999999993</v>
      </c>
      <c r="AK388" s="323">
        <f>+AL388-AJ388</f>
        <v>10.3</v>
      </c>
      <c r="AL388" s="323">
        <f>+AH382+AL384+AL386</f>
        <v>19.5</v>
      </c>
      <c r="AM388" s="133"/>
      <c r="AN388" s="232">
        <f>+AJ376+AN384+AN386</f>
        <v>13.700000000000001</v>
      </c>
      <c r="AO388" s="323">
        <f>+AP388-AN388</f>
        <v>11.616000000000001</v>
      </c>
      <c r="AP388" s="323">
        <f>+AL382+AP384+AP386</f>
        <v>25.316000000000003</v>
      </c>
      <c r="AQ388" s="133"/>
      <c r="AR388" s="323">
        <f t="shared" ref="AR388" si="2408">+AN382+AR384+AR386</f>
        <v>12.905224736250005</v>
      </c>
      <c r="AS388" s="323">
        <f t="shared" ref="AS388" si="2409">+AT388-AR388</f>
        <v>13.200603377500002</v>
      </c>
      <c r="AT388" s="323">
        <f t="shared" ref="AT388" si="2410">+AP382+AT384+AT386</f>
        <v>26.105828113750007</v>
      </c>
      <c r="AU388" s="133"/>
      <c r="AV388" s="323">
        <f t="shared" ref="AV388" si="2411">+AR382+AV384+AV386</f>
        <v>13.888223077320223</v>
      </c>
      <c r="AW388" s="323">
        <f t="shared" ref="AW388" si="2412">+AX388-AV388</f>
        <v>14.216512752750003</v>
      </c>
      <c r="AX388" s="323">
        <f t="shared" ref="AX388" si="2413">+AT382+AX384+AX386</f>
        <v>28.104735830070226</v>
      </c>
      <c r="AY388" s="133"/>
      <c r="AZ388" s="323">
        <f t="shared" ref="AZ388" si="2414">+AV382+AZ384+AZ386</f>
        <v>14.71124024449704</v>
      </c>
      <c r="BA388" s="323">
        <f t="shared" ref="BA388" si="2415">+BB388-AZ388</f>
        <v>15.076378151849442</v>
      </c>
      <c r="BB388" s="323">
        <f t="shared" ref="BB388" si="2416">+AX382+BB384+BB386</f>
        <v>29.787618396346481</v>
      </c>
      <c r="BC388" s="133"/>
      <c r="BD388" s="323">
        <f t="shared" ref="BD388" si="2417">+AZ382+BD384+BD386</f>
        <v>15.332828563215912</v>
      </c>
      <c r="BE388" s="323">
        <f t="shared" ref="BE388" si="2418">+BF388-BD388</f>
        <v>15.738033615935933</v>
      </c>
      <c r="BF388" s="323">
        <f t="shared" ref="BF388" si="2419">+BB382+BF384+BF386</f>
        <v>31.070862179151845</v>
      </c>
      <c r="BG388" s="133"/>
      <c r="BH388" s="323">
        <f t="shared" ref="BH388" si="2420">+BD382+BH384+BH386</f>
        <v>15.983805504400605</v>
      </c>
      <c r="BI388" s="323">
        <f t="shared" ref="BI388" si="2421">+BJ388-BH388</f>
        <v>16.431081059756636</v>
      </c>
      <c r="BJ388" s="323">
        <f t="shared" ref="BJ388" si="2422">+BF382+BJ384+BJ386</f>
        <v>32.414886564157243</v>
      </c>
      <c r="BK388" s="133"/>
      <c r="BL388" s="323">
        <f t="shared" ref="BL388" si="2423">+BH382+BL384+BL386</f>
        <v>16.665606683305018</v>
      </c>
      <c r="BM388" s="323">
        <f t="shared" ref="BM388" si="2424">+BN388-BL388</f>
        <v>17.157056266428842</v>
      </c>
      <c r="BN388" s="323">
        <f t="shared" ref="BN388" si="2425">+BJ382+BN384+BN386</f>
        <v>33.822662949733861</v>
      </c>
      <c r="BO388" s="133"/>
      <c r="BP388" s="323">
        <f t="shared" ref="BP388" si="2426">+BL382+BP384+BP386</f>
        <v>17.379738819628333</v>
      </c>
      <c r="BQ388" s="323">
        <f t="shared" ref="BQ388" si="2427">+BR388-BP388</f>
        <v>17.91757113190835</v>
      </c>
      <c r="BR388" s="323">
        <f t="shared" ref="BR388" si="2428">+BN382+BR384+BR386</f>
        <v>35.297309951536683</v>
      </c>
      <c r="BS388" s="133"/>
      <c r="BT388" s="323">
        <f t="shared" ref="BT388" si="2429">+BP382+BT384+BT386</f>
        <v>18.127783279210977</v>
      </c>
      <c r="BU388" s="323">
        <f t="shared" ref="BU388:BU390" si="2430">+BV388-BT388</f>
        <v>18.714317457105</v>
      </c>
      <c r="BV388" s="323">
        <f t="shared" ref="BV388" si="2431">+BR382+BV384+BV386</f>
        <v>36.842100736315977</v>
      </c>
      <c r="BW388" s="133"/>
      <c r="BX388" s="323">
        <f t="shared" ref="BX388" si="2432">+BT382+BX384+BX386</f>
        <v>18.911399792544774</v>
      </c>
      <c r="BY388" s="323">
        <f t="shared" ref="BY388:BY390" si="2433">+BZ388-BX388</f>
        <v>19.549070929333499</v>
      </c>
      <c r="BZ388" s="323">
        <f t="shared" ref="BZ388" si="2434">+BV382+BZ384+BZ386</f>
        <v>38.460470721878274</v>
      </c>
    </row>
    <row r="389" spans="1:78" s="135" customFormat="1">
      <c r="A389" s="134"/>
      <c r="B389" s="385" t="s">
        <v>374</v>
      </c>
      <c r="D389" s="313"/>
      <c r="E389" s="323"/>
      <c r="F389" s="313">
        <v>0</v>
      </c>
      <c r="G389" s="133"/>
      <c r="H389" s="313">
        <v>0</v>
      </c>
      <c r="I389" s="323">
        <f>+J389-H389</f>
        <v>0</v>
      </c>
      <c r="J389" s="313">
        <v>0</v>
      </c>
      <c r="K389" s="133"/>
      <c r="L389" s="313">
        <v>0</v>
      </c>
      <c r="M389" s="323">
        <f>+N389-L389</f>
        <v>0</v>
      </c>
      <c r="N389" s="313">
        <v>0</v>
      </c>
      <c r="O389" s="133"/>
      <c r="P389" s="313">
        <v>0</v>
      </c>
      <c r="Q389" s="323">
        <f>+R389-P389</f>
        <v>0.2</v>
      </c>
      <c r="R389" s="313">
        <v>0.2</v>
      </c>
      <c r="S389" s="133"/>
      <c r="T389" s="313">
        <v>0.05</v>
      </c>
      <c r="U389" s="323">
        <f>+V389-T389</f>
        <v>-0.43</v>
      </c>
      <c r="V389" s="313">
        <v>-0.38</v>
      </c>
      <c r="W389" s="133"/>
      <c r="X389" s="392">
        <v>-0.7</v>
      </c>
      <c r="Y389" s="323">
        <f>+Z389-X389</f>
        <v>-3.8999999999999995</v>
      </c>
      <c r="Z389" s="392">
        <v>-4.5999999999999996</v>
      </c>
      <c r="AA389" s="133"/>
      <c r="AB389" s="313">
        <v>-2.2000000000000002</v>
      </c>
      <c r="AC389" s="323">
        <f>+AD389-AB389</f>
        <v>-2.3999999999999995</v>
      </c>
      <c r="AD389" s="313">
        <v>-4.5999999999999996</v>
      </c>
      <c r="AE389" s="133"/>
      <c r="AF389" s="313">
        <f>0.8-3.4</f>
        <v>-2.5999999999999996</v>
      </c>
      <c r="AG389" s="323">
        <f>+AH389-AF389</f>
        <v>2.5</v>
      </c>
      <c r="AH389" s="343">
        <f>1.6-1.7</f>
        <v>-9.9999999999999867E-2</v>
      </c>
      <c r="AI389" s="133"/>
      <c r="AJ389" s="343">
        <v>1.7</v>
      </c>
      <c r="AK389" s="323">
        <f>+AL389-AJ389</f>
        <v>1.5000000000000002</v>
      </c>
      <c r="AL389" s="343">
        <v>3.2</v>
      </c>
      <c r="AM389" s="133"/>
      <c r="AN389" s="313">
        <v>-1.5</v>
      </c>
      <c r="AO389" s="323">
        <f>+AP389-AN389</f>
        <v>-0.60000000000000009</v>
      </c>
      <c r="AP389" s="913">
        <v>-2.1</v>
      </c>
      <c r="AQ389" s="133"/>
      <c r="AR389" s="313">
        <v>0</v>
      </c>
      <c r="AS389" s="323">
        <f t="shared" ref="AS389" si="2435">+AT389-AR389</f>
        <v>0</v>
      </c>
      <c r="AT389" s="718">
        <f t="shared" ref="AT389" si="2436">+AR389</f>
        <v>0</v>
      </c>
      <c r="AU389" s="133"/>
      <c r="AV389" s="313">
        <v>0</v>
      </c>
      <c r="AW389" s="323">
        <f t="shared" ref="AW389" si="2437">+AX389-AV389</f>
        <v>0</v>
      </c>
      <c r="AX389" s="718">
        <f t="shared" ref="AX389" si="2438">+AV389</f>
        <v>0</v>
      </c>
      <c r="AY389" s="133"/>
      <c r="AZ389" s="313">
        <v>0</v>
      </c>
      <c r="BA389" s="323">
        <f t="shared" ref="BA389" si="2439">+BB389-AZ389</f>
        <v>0</v>
      </c>
      <c r="BB389" s="718">
        <f t="shared" ref="BB389" si="2440">+AZ389</f>
        <v>0</v>
      </c>
      <c r="BC389" s="133"/>
      <c r="BD389" s="313">
        <v>0</v>
      </c>
      <c r="BE389" s="323">
        <f t="shared" ref="BE389" si="2441">+BF389-BD389</f>
        <v>0</v>
      </c>
      <c r="BF389" s="718">
        <f t="shared" ref="BF389" si="2442">+BD389</f>
        <v>0</v>
      </c>
      <c r="BG389" s="133"/>
      <c r="BH389" s="313">
        <v>0</v>
      </c>
      <c r="BI389" s="323">
        <f t="shared" ref="BI389" si="2443">+BJ389-BH389</f>
        <v>0</v>
      </c>
      <c r="BJ389" s="718">
        <f t="shared" ref="BJ389" si="2444">+BH389</f>
        <v>0</v>
      </c>
      <c r="BK389" s="133"/>
      <c r="BL389" s="313">
        <v>0</v>
      </c>
      <c r="BM389" s="323">
        <f t="shared" ref="BM389" si="2445">+BN389-BL389</f>
        <v>0</v>
      </c>
      <c r="BN389" s="718">
        <f t="shared" ref="BN389" si="2446">+BL389</f>
        <v>0</v>
      </c>
      <c r="BO389" s="133"/>
      <c r="BP389" s="313">
        <v>0</v>
      </c>
      <c r="BQ389" s="323">
        <f t="shared" ref="BQ389" si="2447">+BR389-BP389</f>
        <v>0</v>
      </c>
      <c r="BR389" s="718">
        <f t="shared" ref="BR389" si="2448">+BP389</f>
        <v>0</v>
      </c>
      <c r="BS389" s="133"/>
      <c r="BT389" s="313">
        <v>0</v>
      </c>
      <c r="BU389" s="323">
        <f t="shared" si="2430"/>
        <v>0</v>
      </c>
      <c r="BV389" s="718">
        <f t="shared" ref="BV389" si="2449">+BT389</f>
        <v>0</v>
      </c>
      <c r="BW389" s="133"/>
      <c r="BX389" s="313">
        <v>0</v>
      </c>
      <c r="BY389" s="323">
        <f t="shared" si="2433"/>
        <v>0</v>
      </c>
      <c r="BZ389" s="718">
        <f t="shared" ref="BZ389" si="2450">+BX389</f>
        <v>0</v>
      </c>
    </row>
    <row r="390" spans="1:78" s="135" customFormat="1">
      <c r="A390" s="134"/>
      <c r="B390" s="386" t="s">
        <v>373</v>
      </c>
      <c r="D390" s="313"/>
      <c r="E390" s="323"/>
      <c r="F390" s="313">
        <f>+F388+F389</f>
        <v>2.88</v>
      </c>
      <c r="G390" s="133"/>
      <c r="H390" s="323">
        <f>+H388+H389</f>
        <v>2.5030000000000001</v>
      </c>
      <c r="I390" s="323">
        <f>+J390-H390</f>
        <v>2.9619999999999997</v>
      </c>
      <c r="J390" s="323">
        <f>+J388+J389</f>
        <v>5.4649999999999999</v>
      </c>
      <c r="K390" s="489">
        <f>+J390-J376</f>
        <v>0</v>
      </c>
      <c r="L390" s="323">
        <f>+L388+L389</f>
        <v>2.7810000000000001</v>
      </c>
      <c r="M390" s="323">
        <f>+N390-L390</f>
        <v>3.7189999999999999</v>
      </c>
      <c r="N390" s="323">
        <f>+N388+N389</f>
        <v>6.5</v>
      </c>
      <c r="O390" s="489">
        <f>+N390-N376</f>
        <v>0</v>
      </c>
      <c r="P390" s="323">
        <f>+P388+P389</f>
        <v>3.2</v>
      </c>
      <c r="Q390" s="323">
        <f>+R390-P390</f>
        <v>5.9999999999999991</v>
      </c>
      <c r="R390" s="323">
        <f>+R388+R389</f>
        <v>9.1999999999999993</v>
      </c>
      <c r="S390" s="489">
        <f>+R390-R376</f>
        <v>0</v>
      </c>
      <c r="T390" s="323">
        <f>+T388+T389</f>
        <v>4.95</v>
      </c>
      <c r="U390" s="323">
        <f>+V390-T390</f>
        <v>7.169999999999999</v>
      </c>
      <c r="V390" s="323">
        <f>+V388+V389</f>
        <v>12.12</v>
      </c>
      <c r="W390" s="489">
        <f>+V390-V376</f>
        <v>-8.0000000000000071E-2</v>
      </c>
      <c r="X390" s="323">
        <f>+X388+X389</f>
        <v>4.5</v>
      </c>
      <c r="Y390" s="323">
        <f>+Z390-X390</f>
        <v>6.1</v>
      </c>
      <c r="Z390" s="323">
        <f>+Z388+Z389</f>
        <v>10.6</v>
      </c>
      <c r="AA390" s="489">
        <f>+Z390-Z376</f>
        <v>0</v>
      </c>
      <c r="AB390" s="323">
        <f>+AB388+AB389</f>
        <v>3.5</v>
      </c>
      <c r="AC390" s="323">
        <f>+AD390-AB390</f>
        <v>5.4</v>
      </c>
      <c r="AD390" s="323">
        <f>+AD388+AD389</f>
        <v>8.9</v>
      </c>
      <c r="AE390" s="489">
        <f>+AD390-AD376</f>
        <v>-9.9999999999999645E-2</v>
      </c>
      <c r="AF390" s="323">
        <f>+AF388+AF389</f>
        <v>4.8000000000000007</v>
      </c>
      <c r="AG390" s="323">
        <f>+AH390-AF390</f>
        <v>9.5</v>
      </c>
      <c r="AH390" s="323">
        <f>+AH388+AH389</f>
        <v>14.3</v>
      </c>
      <c r="AI390" s="489">
        <f>+AH390-AH376</f>
        <v>0</v>
      </c>
      <c r="AJ390" s="323">
        <f>+AJ388+AJ389</f>
        <v>10.899999999999999</v>
      </c>
      <c r="AK390" s="323">
        <f>+AL390-AJ390</f>
        <v>11.8</v>
      </c>
      <c r="AL390" s="323">
        <f>+AL388+AL389</f>
        <v>22.7</v>
      </c>
      <c r="AM390" s="489">
        <f>+AL390-AL376</f>
        <v>-1.6000000000001791E-2</v>
      </c>
      <c r="AN390" s="232">
        <f>+AN388+AN389</f>
        <v>12.200000000000001</v>
      </c>
      <c r="AO390" s="323">
        <f>+AP390-AN390</f>
        <v>11.016</v>
      </c>
      <c r="AP390" s="323">
        <f>+AP388+AP389</f>
        <v>23.216000000000001</v>
      </c>
      <c r="AQ390" s="489">
        <f t="shared" ref="AQ390" si="2451">+AP390-AP376</f>
        <v>1.6000000000001791E-2</v>
      </c>
      <c r="AR390" s="323">
        <f t="shared" ref="AR390" si="2452">+AR388+AR389</f>
        <v>12.905224736250005</v>
      </c>
      <c r="AS390" s="323">
        <f t="shared" ref="AS390" si="2453">+AT390-AR390</f>
        <v>13.200603377500002</v>
      </c>
      <c r="AT390" s="323">
        <f t="shared" ref="AT390" si="2454">+AT388+AT389</f>
        <v>26.105828113750007</v>
      </c>
      <c r="AU390" s="489">
        <f t="shared" ref="AU390" si="2455">+AT390-AT376</f>
        <v>0</v>
      </c>
      <c r="AV390" s="323">
        <f t="shared" ref="AV390" si="2456">+AV388+AV389</f>
        <v>13.888223077320223</v>
      </c>
      <c r="AW390" s="323">
        <f t="shared" ref="AW390" si="2457">+AX390-AV390</f>
        <v>14.216512752750003</v>
      </c>
      <c r="AX390" s="323">
        <f t="shared" ref="AX390" si="2458">+AX388+AX389</f>
        <v>28.104735830070226</v>
      </c>
      <c r="AY390" s="489">
        <f t="shared" ref="AY390" si="2459">+AX390-AX376</f>
        <v>0</v>
      </c>
      <c r="AZ390" s="323">
        <f t="shared" ref="AZ390" si="2460">+AZ388+AZ389</f>
        <v>14.71124024449704</v>
      </c>
      <c r="BA390" s="323">
        <f t="shared" ref="BA390" si="2461">+BB390-AZ390</f>
        <v>15.076378151849442</v>
      </c>
      <c r="BB390" s="323">
        <f t="shared" ref="BB390" si="2462">+BB388+BB389</f>
        <v>29.787618396346481</v>
      </c>
      <c r="BC390" s="489">
        <f t="shared" ref="BC390" si="2463">+BB390-BB376</f>
        <v>0</v>
      </c>
      <c r="BD390" s="323">
        <f t="shared" ref="BD390" si="2464">+BD388+BD389</f>
        <v>15.332828563215912</v>
      </c>
      <c r="BE390" s="323">
        <f t="shared" ref="BE390" si="2465">+BF390-BD390</f>
        <v>15.738033615935933</v>
      </c>
      <c r="BF390" s="323">
        <f t="shared" ref="BF390" si="2466">+BF388+BF389</f>
        <v>31.070862179151845</v>
      </c>
      <c r="BG390" s="489">
        <f t="shared" ref="BG390" si="2467">+BF390-BF376</f>
        <v>0</v>
      </c>
      <c r="BH390" s="323">
        <f t="shared" ref="BH390" si="2468">+BH388+BH389</f>
        <v>15.983805504400605</v>
      </c>
      <c r="BI390" s="323">
        <f t="shared" ref="BI390" si="2469">+BJ390-BH390</f>
        <v>16.431081059756636</v>
      </c>
      <c r="BJ390" s="323">
        <f t="shared" ref="BJ390" si="2470">+BJ388+BJ389</f>
        <v>32.414886564157243</v>
      </c>
      <c r="BK390" s="489">
        <f t="shared" ref="BK390" si="2471">+BJ390-BJ376</f>
        <v>0</v>
      </c>
      <c r="BL390" s="323">
        <f t="shared" ref="BL390" si="2472">+BL388+BL389</f>
        <v>16.665606683305018</v>
      </c>
      <c r="BM390" s="323">
        <f t="shared" ref="BM390" si="2473">+BN390-BL390</f>
        <v>17.157056266428842</v>
      </c>
      <c r="BN390" s="323">
        <f t="shared" ref="BN390" si="2474">+BN388+BN389</f>
        <v>33.822662949733861</v>
      </c>
      <c r="BO390" s="489">
        <f t="shared" ref="BO390" si="2475">+BN390-BN376</f>
        <v>0</v>
      </c>
      <c r="BP390" s="323">
        <f t="shared" ref="BP390" si="2476">+BP388+BP389</f>
        <v>17.379738819628333</v>
      </c>
      <c r="BQ390" s="323">
        <f t="shared" ref="BQ390" si="2477">+BR390-BP390</f>
        <v>17.91757113190835</v>
      </c>
      <c r="BR390" s="323">
        <f t="shared" ref="BR390" si="2478">+BR388+BR389</f>
        <v>35.297309951536683</v>
      </c>
      <c r="BS390" s="489">
        <f t="shared" ref="BS390" si="2479">+BR390-BR376</f>
        <v>0</v>
      </c>
      <c r="BT390" s="323">
        <f t="shared" ref="BT390" si="2480">+BT388+BT389</f>
        <v>18.127783279210977</v>
      </c>
      <c r="BU390" s="323">
        <f t="shared" si="2430"/>
        <v>18.714317457105</v>
      </c>
      <c r="BV390" s="323">
        <f t="shared" ref="BV390" si="2481">+BV388+BV389</f>
        <v>36.842100736315977</v>
      </c>
      <c r="BW390" s="489">
        <f t="shared" ref="BW390" si="2482">+BV390-BV376</f>
        <v>0</v>
      </c>
      <c r="BX390" s="323">
        <f t="shared" ref="BX390" si="2483">+BX388+BX389</f>
        <v>18.911399792544774</v>
      </c>
      <c r="BY390" s="323">
        <f t="shared" si="2433"/>
        <v>19.549070929333499</v>
      </c>
      <c r="BZ390" s="323">
        <f t="shared" ref="BZ390" si="2484">+BZ388+BZ389</f>
        <v>38.460470721878274</v>
      </c>
    </row>
    <row r="391" spans="1:78" s="346" customFormat="1">
      <c r="B391" s="345" t="s">
        <v>107</v>
      </c>
      <c r="D391" s="347"/>
      <c r="E391" s="347"/>
      <c r="F391" s="347">
        <f>+F390-F376</f>
        <v>0</v>
      </c>
      <c r="H391" s="347">
        <f>+H390-H376</f>
        <v>0</v>
      </c>
      <c r="I391" s="347">
        <f>+I390-I376</f>
        <v>0</v>
      </c>
      <c r="J391" s="347">
        <f>+J390-J376</f>
        <v>0</v>
      </c>
      <c r="L391" s="347">
        <f>+L390-L376</f>
        <v>0</v>
      </c>
      <c r="M391" s="347">
        <f>+M390-M376</f>
        <v>0</v>
      </c>
      <c r="N391" s="347">
        <f>+N390-N376</f>
        <v>0</v>
      </c>
      <c r="P391" s="347">
        <f>+P390-P376</f>
        <v>0</v>
      </c>
      <c r="Q391" s="347">
        <f>+Q390-Q376</f>
        <v>0</v>
      </c>
      <c r="R391" s="347">
        <f>+R390-R376</f>
        <v>0</v>
      </c>
      <c r="T391" s="347">
        <f>+T390-T376</f>
        <v>4.9999999999999822E-2</v>
      </c>
      <c r="U391" s="347">
        <f>+U390-U376</f>
        <v>-0.12999999999999989</v>
      </c>
      <c r="V391" s="347">
        <f>+V390-V376</f>
        <v>-8.0000000000000071E-2</v>
      </c>
      <c r="X391" s="347">
        <f>+X390-X376</f>
        <v>0</v>
      </c>
      <c r="Y391" s="347">
        <f>+Y390-Y376</f>
        <v>0</v>
      </c>
      <c r="Z391" s="347">
        <f>+Z390-Z376</f>
        <v>0</v>
      </c>
      <c r="AB391" s="347">
        <f>+AB390-AB376</f>
        <v>0</v>
      </c>
      <c r="AC391" s="347">
        <f>+AC390-AC376</f>
        <v>-9.9999999999999645E-2</v>
      </c>
      <c r="AD391" s="347">
        <f>+AD390-AD376</f>
        <v>-9.9999999999999645E-2</v>
      </c>
      <c r="AF391" s="347">
        <f>+AF390-AF376</f>
        <v>0</v>
      </c>
      <c r="AG391" s="347">
        <f>+AG390-AG376</f>
        <v>0</v>
      </c>
      <c r="AH391" s="347">
        <f>+AH390-AH376</f>
        <v>0</v>
      </c>
      <c r="AJ391" s="347">
        <f>+AJ390-AJ376</f>
        <v>0</v>
      </c>
      <c r="AK391" s="347">
        <f>+AK390-AK376</f>
        <v>-1.6000000000000014E-2</v>
      </c>
      <c r="AL391" s="347">
        <f>+AL390-AL376</f>
        <v>-1.6000000000001791E-2</v>
      </c>
      <c r="AN391" s="347">
        <f>+AN390-AN376</f>
        <v>0</v>
      </c>
      <c r="AO391" s="347">
        <f>+AO390-AO376</f>
        <v>1.6000000000000014E-2</v>
      </c>
      <c r="AP391" s="347">
        <f>+AP390-AP376</f>
        <v>1.6000000000001791E-2</v>
      </c>
      <c r="AR391" s="345"/>
      <c r="AS391" s="345"/>
      <c r="AT391" s="345"/>
      <c r="AV391" s="345"/>
      <c r="AW391" s="345"/>
      <c r="AX391" s="345"/>
      <c r="AZ391" s="345"/>
      <c r="BA391" s="345"/>
      <c r="BB391" s="345"/>
      <c r="BD391" s="345"/>
      <c r="BE391" s="345"/>
      <c r="BF391" s="345"/>
      <c r="BH391" s="345"/>
      <c r="BI391" s="345"/>
      <c r="BJ391" s="345"/>
      <c r="BL391" s="345"/>
      <c r="BM391" s="345"/>
      <c r="BN391" s="345"/>
      <c r="BP391" s="345"/>
      <c r="BQ391" s="345"/>
      <c r="BR391" s="345"/>
      <c r="BT391" s="345"/>
      <c r="BU391" s="345"/>
      <c r="BV391" s="345"/>
      <c r="BX391" s="345"/>
      <c r="BY391" s="345"/>
      <c r="BZ391" s="345"/>
    </row>
    <row r="392" spans="1:78" s="135" customFormat="1">
      <c r="A392" s="134"/>
      <c r="B392" s="385"/>
      <c r="D392" s="313"/>
      <c r="E392" s="323"/>
      <c r="F392" s="313"/>
      <c r="G392" s="133"/>
      <c r="H392" s="313"/>
      <c r="I392" s="323"/>
      <c r="J392" s="313"/>
      <c r="K392" s="133"/>
      <c r="L392" s="313"/>
      <c r="M392" s="323"/>
      <c r="N392" s="313"/>
      <c r="O392" s="133"/>
      <c r="P392" s="313"/>
      <c r="Q392" s="323"/>
      <c r="R392" s="313"/>
      <c r="S392" s="133"/>
      <c r="T392" s="313"/>
      <c r="U392" s="323"/>
      <c r="V392" s="392"/>
      <c r="W392" s="133"/>
      <c r="X392" s="392"/>
      <c r="Y392" s="323"/>
      <c r="Z392" s="313"/>
      <c r="AA392" s="133"/>
      <c r="AB392" s="313"/>
      <c r="AC392" s="323"/>
      <c r="AD392" s="313"/>
      <c r="AE392" s="133"/>
      <c r="AF392" s="313"/>
      <c r="AG392" s="232"/>
      <c r="AH392" s="232"/>
      <c r="AI392" s="133"/>
      <c r="AJ392" s="232"/>
      <c r="AK392" s="232"/>
      <c r="AL392" s="232"/>
      <c r="AM392" s="133"/>
      <c r="AN392" s="232"/>
      <c r="AO392" s="232"/>
      <c r="AP392" s="232"/>
      <c r="AQ392" s="133"/>
      <c r="AR392" s="232"/>
      <c r="AS392" s="232"/>
      <c r="AT392" s="232"/>
      <c r="AU392" s="133"/>
      <c r="AV392" s="232"/>
      <c r="AW392" s="232"/>
      <c r="AX392" s="232"/>
      <c r="AY392" s="133"/>
      <c r="AZ392" s="232"/>
      <c r="BA392" s="232"/>
      <c r="BB392" s="232"/>
      <c r="BC392" s="133"/>
      <c r="BD392" s="232"/>
      <c r="BE392" s="232"/>
      <c r="BF392" s="232"/>
      <c r="BG392" s="133"/>
      <c r="BH392" s="232"/>
      <c r="BI392" s="232"/>
      <c r="BJ392" s="232"/>
      <c r="BK392" s="133"/>
      <c r="BL392" s="232"/>
      <c r="BM392" s="232"/>
      <c r="BN392" s="232"/>
      <c r="BO392" s="133"/>
      <c r="BP392" s="232"/>
      <c r="BQ392" s="232"/>
      <c r="BR392" s="232"/>
      <c r="BS392" s="133"/>
      <c r="BT392" s="232"/>
      <c r="BU392" s="232"/>
      <c r="BV392" s="232"/>
      <c r="BW392" s="133"/>
      <c r="BX392" s="232"/>
      <c r="BY392" s="232"/>
      <c r="BZ392" s="232"/>
    </row>
    <row r="393" spans="1:78" s="135" customFormat="1">
      <c r="A393" s="134"/>
      <c r="B393" s="150"/>
      <c r="D393" s="315"/>
      <c r="E393" s="315"/>
      <c r="F393" s="315"/>
      <c r="G393" s="133"/>
      <c r="H393" s="315"/>
      <c r="I393" s="315"/>
      <c r="J393" s="315"/>
      <c r="K393" s="133"/>
      <c r="L393" s="315"/>
      <c r="M393" s="315"/>
      <c r="N393" s="315"/>
      <c r="O393" s="133"/>
      <c r="P393" s="315"/>
      <c r="Q393" s="315"/>
      <c r="R393" s="315"/>
      <c r="S393" s="133"/>
      <c r="T393" s="315"/>
      <c r="U393" s="315"/>
      <c r="V393" s="315"/>
      <c r="W393" s="133"/>
      <c r="X393" s="315"/>
      <c r="Y393" s="315"/>
      <c r="Z393" s="315"/>
      <c r="AA393" s="133"/>
      <c r="AB393" s="315"/>
      <c r="AC393" s="315"/>
      <c r="AD393" s="384"/>
      <c r="AE393" s="133"/>
      <c r="AF393" s="384"/>
      <c r="AG393" s="232"/>
      <c r="AH393" s="232"/>
      <c r="AI393" s="133"/>
      <c r="AJ393" s="232"/>
      <c r="AK393" s="232"/>
      <c r="AL393" s="232"/>
      <c r="AM393" s="133"/>
      <c r="AN393" s="232"/>
      <c r="AO393" s="232"/>
      <c r="AP393" s="232"/>
      <c r="AQ393" s="133"/>
      <c r="AR393" s="232"/>
      <c r="AS393" s="232"/>
      <c r="AT393" s="232"/>
      <c r="AU393" s="133"/>
      <c r="AV393" s="232"/>
      <c r="AW393" s="232"/>
      <c r="AX393" s="232"/>
      <c r="AY393" s="133"/>
      <c r="AZ393" s="232"/>
      <c r="BA393" s="232"/>
      <c r="BB393" s="232"/>
      <c r="BC393" s="133"/>
      <c r="BD393" s="232"/>
      <c r="BE393" s="232"/>
      <c r="BF393" s="232"/>
      <c r="BG393" s="133"/>
      <c r="BH393" s="232"/>
      <c r="BI393" s="232"/>
      <c r="BJ393" s="232"/>
      <c r="BK393" s="133"/>
      <c r="BL393" s="232"/>
      <c r="BM393" s="232"/>
      <c r="BN393" s="232"/>
      <c r="BO393" s="133"/>
      <c r="BP393" s="232"/>
      <c r="BQ393" s="232"/>
      <c r="BR393" s="232"/>
      <c r="BS393" s="133"/>
      <c r="BT393" s="232"/>
      <c r="BU393" s="232"/>
      <c r="BV393" s="232"/>
      <c r="BW393" s="133"/>
      <c r="BX393" s="232"/>
      <c r="BY393" s="232"/>
      <c r="BZ393" s="232"/>
    </row>
    <row r="394" spans="1:78" s="135" customFormat="1">
      <c r="A394" s="134"/>
      <c r="B394" s="686" t="s">
        <v>611</v>
      </c>
      <c r="D394" s="315"/>
      <c r="E394" s="315"/>
      <c r="F394" s="315"/>
      <c r="G394" s="133"/>
      <c r="H394" s="687">
        <f>+H356+H360+H372+H375-H376</f>
        <v>0</v>
      </c>
      <c r="I394" s="687">
        <f>+I356+I360+I372+I375-I376</f>
        <v>0</v>
      </c>
      <c r="J394" s="687">
        <f>+J356+J360+J372+J375-J376</f>
        <v>0</v>
      </c>
      <c r="K394" s="133"/>
      <c r="L394" s="687">
        <f>+L356+L360+L372+L375-L376</f>
        <v>0</v>
      </c>
      <c r="M394" s="687">
        <f>+M356+M360+M372+M375-M376</f>
        <v>0</v>
      </c>
      <c r="N394" s="687">
        <f>+N356+N360+N372+N375-N376</f>
        <v>0</v>
      </c>
      <c r="O394" s="133"/>
      <c r="P394" s="687">
        <f>+P356+P360+P372+P375-P376</f>
        <v>0</v>
      </c>
      <c r="Q394" s="687">
        <f>+Q356+Q360+Q372+Q375-Q376</f>
        <v>0</v>
      </c>
      <c r="R394" s="687">
        <f>+R356+R360+R372+R375-R376</f>
        <v>0</v>
      </c>
      <c r="S394" s="133"/>
      <c r="T394" s="687">
        <f>+T356+T360+T372+T375-T376</f>
        <v>0</v>
      </c>
      <c r="U394" s="687">
        <f>+U356+U360+U372+U375-U376</f>
        <v>0</v>
      </c>
      <c r="V394" s="687">
        <f>+V356+V360+V372+V375-V376</f>
        <v>0</v>
      </c>
      <c r="W394" s="133"/>
      <c r="X394" s="687">
        <f>+X356+X360+X372+X375-X376</f>
        <v>0</v>
      </c>
      <c r="Y394" s="687">
        <f>+Y356+Y360+Y372+Y375-Y376</f>
        <v>0</v>
      </c>
      <c r="Z394" s="687">
        <f>+Z356+Z360+Z372+Z375-Z376</f>
        <v>0</v>
      </c>
      <c r="AA394" s="133"/>
      <c r="AB394" s="687">
        <f>+AB356+AB360+AB372+AB375-AB376</f>
        <v>0</v>
      </c>
      <c r="AC394" s="687">
        <f>+AC356+AC360+AC372+AC375-AC376</f>
        <v>0</v>
      </c>
      <c r="AD394" s="687">
        <f>+AD356+AD360+AD372+AD375-AD376</f>
        <v>0</v>
      </c>
      <c r="AE394" s="133"/>
      <c r="AF394" s="687">
        <f>+AF356+AF360+AF372+AF375-AF376</f>
        <v>0</v>
      </c>
      <c r="AG394" s="687">
        <f>+AG356+AG360+AG372+AG375-AG376</f>
        <v>0</v>
      </c>
      <c r="AH394" s="687">
        <f>+AH356+AH360+AH372+AH375-AH376</f>
        <v>0</v>
      </c>
      <c r="AI394" s="133"/>
      <c r="AJ394" s="687">
        <f>+AJ356+AJ360+AJ372+AJ375-AJ376</f>
        <v>0</v>
      </c>
      <c r="AK394" s="687">
        <f>+AK356+AK360+AK372+AK375-AK376</f>
        <v>0</v>
      </c>
      <c r="AL394" s="687">
        <f>+AL356+AL360+AL372+AL375-AL376</f>
        <v>2.2000000000005571E-2</v>
      </c>
      <c r="AM394" s="133"/>
      <c r="AN394" s="687">
        <f>+AN356+AN360+AN372+AN375-AN376</f>
        <v>0</v>
      </c>
      <c r="AO394" s="687">
        <f>+AO356+AO360+AO372+AO375-AO376</f>
        <v>0</v>
      </c>
      <c r="AP394" s="687">
        <f>+AP356+AP360+AP372+AP375-AP376</f>
        <v>2.2000000000005571E-2</v>
      </c>
      <c r="AQ394" s="133"/>
      <c r="AR394" s="687">
        <f>+AR356+AR360+AR372+AR375-AR376</f>
        <v>0</v>
      </c>
      <c r="AS394" s="687">
        <f>+AS356+AS360+AS372+AS375-AS376</f>
        <v>0</v>
      </c>
      <c r="AT394" s="687">
        <f>+AT356+AT360+AT372+AT375-AT376</f>
        <v>0</v>
      </c>
      <c r="AU394" s="133"/>
      <c r="AV394" s="687">
        <f>+AV356+AV360+AV372+AV375-AV376</f>
        <v>0</v>
      </c>
      <c r="AW394" s="687">
        <f>+AW356+AW360+AW372+AW375-AW376</f>
        <v>0</v>
      </c>
      <c r="AX394" s="687">
        <f>+AX356+AX360+AX372+AX375-AX376</f>
        <v>0</v>
      </c>
      <c r="AY394" s="133"/>
      <c r="AZ394" s="687">
        <f>+AZ356+AZ360+AZ372+AZ375-AZ376</f>
        <v>0</v>
      </c>
      <c r="BA394" s="687">
        <f>+BA356+BA360+BA372+BA375-BA376</f>
        <v>0</v>
      </c>
      <c r="BB394" s="687">
        <f>+BB356+BB360+BB372+BB375-BB376</f>
        <v>0</v>
      </c>
      <c r="BC394" s="133"/>
      <c r="BD394" s="687">
        <f>+BD356+BD360+BD372+BD375-BD376</f>
        <v>0</v>
      </c>
      <c r="BE394" s="687">
        <f>+BE356+BE360+BE372+BE375-BE376</f>
        <v>0</v>
      </c>
      <c r="BF394" s="687">
        <f>+BF356+BF360+BF372+BF375-BF376</f>
        <v>0</v>
      </c>
      <c r="BG394" s="133"/>
      <c r="BH394" s="687">
        <f>+BH356+BH360+BH372+BH375-BH376</f>
        <v>0</v>
      </c>
      <c r="BI394" s="687">
        <f>+BI356+BI360+BI372+BI375-BI376</f>
        <v>0</v>
      </c>
      <c r="BJ394" s="687">
        <f>+BJ356+BJ360+BJ372+BJ375-BJ376</f>
        <v>0</v>
      </c>
      <c r="BK394" s="133"/>
      <c r="BL394" s="687">
        <f>+BL356+BL360+BL372+BL375-BL376</f>
        <v>0</v>
      </c>
      <c r="BM394" s="687">
        <f>+BM356+BM360+BM372+BM375-BM376</f>
        <v>0</v>
      </c>
      <c r="BN394" s="687">
        <f>+BN356+BN360+BN372+BN375-BN376</f>
        <v>0</v>
      </c>
      <c r="BO394" s="133"/>
      <c r="BP394" s="687">
        <f>+BP356+BP360+BP372+BP375-BP376</f>
        <v>0</v>
      </c>
      <c r="BQ394" s="687">
        <f>+BQ356+BQ360+BQ372+BQ375-BQ376</f>
        <v>0</v>
      </c>
      <c r="BR394" s="687">
        <f>+BR356+BR360+BR372+BR375-BR376</f>
        <v>0</v>
      </c>
      <c r="BS394" s="133"/>
      <c r="BT394" s="687">
        <f>+BT356+BT360+BT372+BT375-BT376</f>
        <v>0</v>
      </c>
      <c r="BU394" s="687">
        <f>+BU356+BU360+BU372+BU375-BU376</f>
        <v>0</v>
      </c>
      <c r="BV394" s="687">
        <f>+BV356+BV360+BV372+BV375-BV376</f>
        <v>6.3948846218409017E-14</v>
      </c>
      <c r="BW394" s="133"/>
      <c r="BX394" s="687">
        <f>+BX356+BX360+BX372+BX375-BX376</f>
        <v>0</v>
      </c>
      <c r="BY394" s="687">
        <f>+BY356+BY360+BY372+BY375-BY376</f>
        <v>0</v>
      </c>
      <c r="BZ394" s="687">
        <f>+BZ356+BZ360+BZ372+BZ375-BZ376</f>
        <v>0</v>
      </c>
    </row>
    <row r="395" spans="1:78" s="180" customFormat="1">
      <c r="A395" s="179"/>
      <c r="B395" s="178" t="s">
        <v>34</v>
      </c>
      <c r="D395" s="131">
        <f>+D356+D360+D372+D375-D376</f>
        <v>0</v>
      </c>
      <c r="E395" s="131">
        <f>+E356+E360+E372+E375-E376</f>
        <v>0</v>
      </c>
      <c r="F395" s="131">
        <f>+F356+F360+F372+F375-F376</f>
        <v>0</v>
      </c>
      <c r="H395" s="131">
        <f>+H356+H360+H372+H375-H376</f>
        <v>0</v>
      </c>
      <c r="I395" s="131">
        <f>+I356+I360+I372+I375-I376</f>
        <v>0</v>
      </c>
      <c r="J395" s="131">
        <f>+J356+J360+J372+J375-J376</f>
        <v>0</v>
      </c>
      <c r="L395" s="131">
        <f>+L356+L360+L372+L375-L376</f>
        <v>0</v>
      </c>
      <c r="M395" s="131">
        <f>+M356+M360+M372+M375-M376</f>
        <v>0</v>
      </c>
      <c r="N395" s="131">
        <f>+N356+N360+N372+N375-N376</f>
        <v>0</v>
      </c>
      <c r="P395" s="131">
        <f>+P356+P360+P372+P375-P376</f>
        <v>0</v>
      </c>
      <c r="Q395" s="131">
        <f>+Q356+Q360+Q372+Q375-Q376</f>
        <v>0</v>
      </c>
      <c r="R395" s="131">
        <f>+R356+R360+R372+R375-R376</f>
        <v>0</v>
      </c>
      <c r="T395" s="131">
        <f>+T356+T360+T372+T375-T376</f>
        <v>0</v>
      </c>
      <c r="U395" s="131">
        <f>+U356+U360+U372+U375-U376</f>
        <v>0</v>
      </c>
      <c r="V395" s="131">
        <f>+V356+V360+V372+V375-V376</f>
        <v>0</v>
      </c>
      <c r="X395" s="131">
        <f>+X356+X360+X372+X375-X376</f>
        <v>0</v>
      </c>
      <c r="Y395" s="131">
        <f>+Y356+Y360+Y372+Y375-Y376</f>
        <v>0</v>
      </c>
      <c r="Z395" s="131">
        <f>+Z356+Z360+Z372+Z375-Z376</f>
        <v>0</v>
      </c>
      <c r="AB395" s="131">
        <f>+AB356+AB360+AB372+AB375-AB376</f>
        <v>0</v>
      </c>
      <c r="AC395" s="131">
        <f>+AC356+AC360+AC372+AC375-AC376</f>
        <v>0</v>
      </c>
      <c r="AD395" s="131">
        <f>+AD356+AD360+AD372+AD375-AD376</f>
        <v>0</v>
      </c>
      <c r="AF395" s="131">
        <f>+AF356+AF360+AF372+AF375-AF376</f>
        <v>0</v>
      </c>
      <c r="AG395" s="131">
        <f>+AG356+AG360+AG372+AG375-AG376</f>
        <v>0</v>
      </c>
      <c r="AH395" s="131">
        <f>+AH356+AH360+AH372+AH375-AH376</f>
        <v>0</v>
      </c>
      <c r="AJ395" s="131">
        <f>+AJ356+AJ360+AJ372+AJ375-AJ376</f>
        <v>0</v>
      </c>
      <c r="AK395" s="131">
        <f>+AK356+AK360+AK372+AK375-AK376</f>
        <v>0</v>
      </c>
      <c r="AL395" s="131">
        <f>+AL356+AL360+AL372+AL375-AL376</f>
        <v>2.2000000000005571E-2</v>
      </c>
      <c r="AN395" s="131">
        <f>+AN356+AN360+AN372+AN375-AN376</f>
        <v>0</v>
      </c>
      <c r="AO395" s="131">
        <f>+AO356+AO360+AO372+AO375-AO376</f>
        <v>0</v>
      </c>
      <c r="AP395" s="131">
        <f>+AP356+AP360+AP372+AP375-AP376</f>
        <v>2.2000000000005571E-2</v>
      </c>
      <c r="AR395" s="131">
        <f>+AR356+AR360+AR372+AR375-AR376</f>
        <v>0</v>
      </c>
      <c r="AS395" s="131">
        <f>+AS356+AS360+AS372+AS375-AS376</f>
        <v>0</v>
      </c>
      <c r="AT395" s="131">
        <f>+AT356+AT360+AT372+AT375-AT376</f>
        <v>0</v>
      </c>
      <c r="AV395" s="131">
        <f>+AV356+AV360+AV372+AV375-AV376</f>
        <v>0</v>
      </c>
      <c r="AW395" s="131">
        <f>+AW356+AW360+AW372+AW375-AW376</f>
        <v>0</v>
      </c>
      <c r="AX395" s="131">
        <f>+AX356+AX360+AX372+AX375-AX376</f>
        <v>0</v>
      </c>
      <c r="AZ395" s="131">
        <f>+AZ356+AZ360+AZ372+AZ375-AZ376</f>
        <v>0</v>
      </c>
      <c r="BA395" s="131">
        <f>+BA356+BA360+BA372+BA375-BA376</f>
        <v>0</v>
      </c>
      <c r="BB395" s="131">
        <f>+BB356+BB360+BB372+BB375-BB376</f>
        <v>0</v>
      </c>
      <c r="BD395" s="131">
        <f>+BD356+BD360+BD372+BD375-BD376</f>
        <v>0</v>
      </c>
      <c r="BE395" s="131">
        <f>+BE356+BE360+BE372+BE375-BE376</f>
        <v>0</v>
      </c>
      <c r="BF395" s="131">
        <f>+BF356+BF360+BF372+BF375-BF376</f>
        <v>0</v>
      </c>
      <c r="BH395" s="131">
        <f>+BH356+BH360+BH372+BH375-BH376</f>
        <v>0</v>
      </c>
      <c r="BI395" s="131">
        <f>+BI356+BI360+BI372+BI375-BI376</f>
        <v>0</v>
      </c>
      <c r="BJ395" s="131">
        <f>+BJ356+BJ360+BJ372+BJ375-BJ376</f>
        <v>0</v>
      </c>
      <c r="BL395" s="131">
        <f>+BL356+BL360+BL372+BL375-BL376</f>
        <v>0</v>
      </c>
      <c r="BM395" s="131">
        <f>+BM356+BM360+BM372+BM375-BM376</f>
        <v>0</v>
      </c>
      <c r="BN395" s="131">
        <f>+BN356+BN360+BN372+BN375-BN376</f>
        <v>0</v>
      </c>
      <c r="BP395" s="131">
        <f>+BP356+BP360+BP372+BP375-BP376</f>
        <v>0</v>
      </c>
      <c r="BQ395" s="131">
        <f>+BQ356+BQ360+BQ372+BQ375-BQ376</f>
        <v>0</v>
      </c>
      <c r="BR395" s="131">
        <f>+BR356+BR360+BR372+BR375-BR376</f>
        <v>0</v>
      </c>
      <c r="BT395" s="131">
        <f>+BT356+BT360+BT372+BT375-BT376</f>
        <v>0</v>
      </c>
      <c r="BU395" s="131">
        <f>+BU356+BU360+BU372+BU375-BU376</f>
        <v>0</v>
      </c>
      <c r="BV395" s="131">
        <f>+BV356+BV360+BV372+BV375-BV376</f>
        <v>6.3948846218409017E-14</v>
      </c>
      <c r="BX395" s="131">
        <f>+BX356+BX360+BX372+BX375-BX376</f>
        <v>0</v>
      </c>
      <c r="BY395" s="131">
        <f>+BY356+BY360+BY372+BY375-BY376</f>
        <v>0</v>
      </c>
      <c r="BZ395" s="131">
        <f>+BZ356+BZ360+BZ372+BZ375-BZ376</f>
        <v>0</v>
      </c>
    </row>
    <row r="396" spans="1:78">
      <c r="B396" s="141"/>
      <c r="C396" s="138"/>
      <c r="D396" s="138"/>
      <c r="E396" s="138"/>
      <c r="F396" s="138"/>
      <c r="H396" s="138"/>
      <c r="I396" s="138"/>
      <c r="J396" s="138"/>
      <c r="L396" s="138"/>
      <c r="M396" s="138"/>
      <c r="N396" s="138"/>
      <c r="P396" s="138"/>
      <c r="Q396" s="138"/>
      <c r="R396" s="138"/>
      <c r="T396" s="138"/>
      <c r="U396" s="138"/>
      <c r="V396" s="138"/>
      <c r="X396" s="138"/>
      <c r="Y396" s="138"/>
      <c r="Z396" s="138"/>
      <c r="AB396" s="138"/>
      <c r="AC396" s="138"/>
      <c r="AD396" s="138"/>
      <c r="AF396" s="138"/>
      <c r="AG396" s="138"/>
      <c r="AH396" s="138"/>
      <c r="AJ396" s="138"/>
      <c r="AK396" s="138"/>
      <c r="AL396" s="138"/>
      <c r="AN396" s="138"/>
      <c r="AO396" s="138"/>
      <c r="AP396" s="138"/>
      <c r="AR396" s="138"/>
      <c r="AS396" s="138"/>
      <c r="AT396" s="138"/>
      <c r="AV396" s="138"/>
      <c r="AW396" s="138"/>
      <c r="AX396" s="138"/>
      <c r="AZ396" s="138"/>
      <c r="BA396" s="138"/>
      <c r="BB396" s="138"/>
      <c r="BD396" s="138"/>
      <c r="BE396" s="138"/>
      <c r="BF396" s="138"/>
      <c r="BH396" s="138"/>
      <c r="BI396" s="138"/>
      <c r="BJ396" s="138"/>
      <c r="BL396" s="138"/>
      <c r="BM396" s="138"/>
      <c r="BN396" s="138"/>
      <c r="BP396" s="138"/>
      <c r="BQ396" s="138"/>
      <c r="BR396" s="138"/>
      <c r="BT396" s="138"/>
      <c r="BU396" s="138"/>
      <c r="BV396" s="138"/>
      <c r="BX396" s="138"/>
      <c r="BY396" s="138"/>
      <c r="BZ396" s="138"/>
    </row>
    <row r="397" spans="1:78">
      <c r="B397" s="141"/>
      <c r="C397" s="138"/>
      <c r="D397" s="138"/>
      <c r="E397" s="138"/>
      <c r="F397" s="138"/>
      <c r="G397" s="153"/>
      <c r="H397" s="138"/>
      <c r="I397" s="138"/>
      <c r="J397" s="138"/>
      <c r="K397" s="153"/>
      <c r="L397" s="138"/>
      <c r="M397" s="138"/>
      <c r="N397" s="138"/>
      <c r="O397" s="153"/>
      <c r="P397" s="138"/>
      <c r="Q397" s="138"/>
      <c r="R397" s="138"/>
      <c r="S397" s="153"/>
      <c r="T397" s="138"/>
      <c r="U397" s="138"/>
      <c r="V397" s="138"/>
      <c r="W397" s="153"/>
      <c r="X397" s="138"/>
      <c r="Y397" s="138"/>
      <c r="Z397" s="138"/>
      <c r="AA397" s="153"/>
      <c r="AB397" s="138"/>
      <c r="AC397" s="138"/>
      <c r="AD397" s="138"/>
      <c r="AE397" s="153"/>
      <c r="AF397" s="138"/>
      <c r="AG397" s="138"/>
      <c r="AH397" s="138"/>
      <c r="AI397" s="153"/>
      <c r="AJ397" s="138"/>
      <c r="AK397" s="138"/>
      <c r="AL397" s="138"/>
      <c r="AM397" s="153"/>
      <c r="AN397" s="138"/>
      <c r="AO397" s="138"/>
      <c r="AP397" s="138"/>
      <c r="AQ397" s="153"/>
      <c r="AR397" s="138"/>
      <c r="AS397" s="138"/>
      <c r="AT397" s="138"/>
      <c r="AU397" s="153"/>
      <c r="AV397" s="138"/>
      <c r="AW397" s="138"/>
      <c r="AX397" s="138"/>
      <c r="AY397" s="153"/>
      <c r="AZ397" s="138"/>
      <c r="BA397" s="138"/>
      <c r="BB397" s="138"/>
      <c r="BC397" s="153"/>
      <c r="BD397" s="138"/>
      <c r="BE397" s="138"/>
      <c r="BF397" s="138"/>
      <c r="BG397" s="153"/>
      <c r="BH397" s="138"/>
      <c r="BI397" s="138"/>
      <c r="BJ397" s="138"/>
      <c r="BK397" s="153"/>
      <c r="BL397" s="138"/>
      <c r="BM397" s="138"/>
      <c r="BN397" s="138"/>
      <c r="BO397" s="153"/>
      <c r="BP397" s="138"/>
      <c r="BQ397" s="138"/>
      <c r="BR397" s="138"/>
      <c r="BS397" s="153"/>
      <c r="BT397" s="138"/>
      <c r="BU397" s="138"/>
      <c r="BV397" s="138"/>
      <c r="BW397" s="153"/>
      <c r="BX397" s="138"/>
      <c r="BY397" s="138"/>
      <c r="BZ397" s="138"/>
    </row>
    <row r="398" spans="1:78" s="376" customFormat="1" ht="15.6">
      <c r="A398" s="375"/>
      <c r="B398" s="577" t="s">
        <v>224</v>
      </c>
    </row>
    <row r="399" spans="1:78" s="218" customFormat="1">
      <c r="A399" s="242"/>
      <c r="B399" s="242"/>
      <c r="D399" s="240"/>
      <c r="E399" s="212"/>
      <c r="F399" s="212"/>
      <c r="H399" s="240"/>
      <c r="I399" s="212"/>
      <c r="J399" s="212"/>
      <c r="L399" s="240"/>
      <c r="M399" s="212"/>
      <c r="N399" s="212"/>
      <c r="P399" s="240"/>
      <c r="Q399" s="212"/>
      <c r="R399" s="212"/>
      <c r="T399" s="240"/>
      <c r="U399" s="212"/>
      <c r="V399" s="212"/>
      <c r="X399" s="240"/>
      <c r="Y399" s="212"/>
      <c r="Z399" s="212"/>
      <c r="AB399" s="320" t="s">
        <v>276</v>
      </c>
      <c r="AC399" s="240"/>
      <c r="AD399" s="212"/>
      <c r="AE399" s="212"/>
      <c r="AF399" s="212"/>
      <c r="AG399" s="240"/>
      <c r="AH399" s="212"/>
      <c r="AJ399" s="240"/>
      <c r="AK399" s="240"/>
      <c r="AL399" s="212"/>
      <c r="AN399" s="240"/>
      <c r="AO399" s="240"/>
      <c r="AP399" s="212"/>
      <c r="AR399" s="240"/>
      <c r="AS399" s="240"/>
      <c r="AT399" s="212"/>
      <c r="AV399" s="240"/>
      <c r="AW399" s="240"/>
      <c r="AX399" s="212"/>
      <c r="AZ399" s="240"/>
      <c r="BA399" s="240"/>
      <c r="BB399" s="212"/>
      <c r="BD399" s="240"/>
      <c r="BE399" s="240"/>
      <c r="BF399" s="212"/>
      <c r="BH399" s="240"/>
      <c r="BI399" s="240"/>
      <c r="BJ399" s="212"/>
      <c r="BL399" s="240"/>
      <c r="BM399" s="240"/>
      <c r="BN399" s="212"/>
      <c r="BP399" s="240"/>
      <c r="BQ399" s="240"/>
      <c r="BR399" s="212"/>
      <c r="BT399" s="240"/>
      <c r="BU399" s="240"/>
      <c r="BV399" s="212"/>
      <c r="BX399" s="240"/>
      <c r="BY399" s="240"/>
      <c r="BZ399" s="212"/>
    </row>
    <row r="400" spans="1:78" s="218" customFormat="1">
      <c r="A400" s="242"/>
      <c r="B400" s="149" t="s">
        <v>184</v>
      </c>
      <c r="D400" s="168">
        <v>28.754000000000001</v>
      </c>
      <c r="E400" s="136">
        <f>F400-D400</f>
        <v>32.072000000000003</v>
      </c>
      <c r="F400" s="168">
        <v>60.826000000000001</v>
      </c>
      <c r="H400" s="168">
        <v>27.065999999999999</v>
      </c>
      <c r="I400" s="136">
        <f>J400-H400</f>
        <v>29.69</v>
      </c>
      <c r="J400" s="168">
        <v>56.756</v>
      </c>
      <c r="L400" s="168">
        <v>29.396999999999998</v>
      </c>
      <c r="M400" s="136">
        <f>N400-L400</f>
        <v>29.349000000000004</v>
      </c>
      <c r="N400" s="168">
        <v>58.746000000000002</v>
      </c>
      <c r="P400" s="264">
        <v>26.167000000000002</v>
      </c>
      <c r="Q400" s="136">
        <f>R400-P400</f>
        <v>25.033000000000001</v>
      </c>
      <c r="R400" s="264">
        <v>51.2</v>
      </c>
      <c r="T400" s="264">
        <v>27.533000000000001</v>
      </c>
      <c r="U400" s="136">
        <f>V400-T400</f>
        <v>23.884999999999998</v>
      </c>
      <c r="V400" s="264">
        <v>51.417999999999999</v>
      </c>
      <c r="X400" s="264">
        <v>20.943999999999999</v>
      </c>
      <c r="Y400" s="136">
        <f>Z400-X400</f>
        <v>10.814</v>
      </c>
      <c r="Z400" s="264">
        <v>31.757999999999999</v>
      </c>
      <c r="AB400" s="222"/>
      <c r="AC400" s="222"/>
      <c r="AD400" s="222"/>
      <c r="AE400" s="222"/>
      <c r="AF400" s="222"/>
      <c r="AG400" s="222"/>
      <c r="AH400" s="222"/>
      <c r="AI400" s="222"/>
      <c r="AJ400" s="222"/>
      <c r="AK400" s="222"/>
      <c r="AL400" s="222"/>
      <c r="AM400" s="222"/>
      <c r="AN400" s="222"/>
      <c r="AO400" s="222"/>
      <c r="AP400" s="222"/>
      <c r="AQ400" s="222"/>
      <c r="AR400" s="222"/>
      <c r="AS400" s="222"/>
      <c r="AT400" s="222"/>
      <c r="AU400" s="222"/>
      <c r="AV400" s="222"/>
      <c r="AW400" s="222"/>
      <c r="AX400" s="222"/>
      <c r="AY400" s="222"/>
      <c r="AZ400" s="222"/>
      <c r="BA400" s="222"/>
      <c r="BB400" s="222"/>
      <c r="BC400" s="222"/>
      <c r="BD400" s="222"/>
      <c r="BE400" s="222"/>
      <c r="BF400" s="222"/>
      <c r="BG400" s="222"/>
      <c r="BH400" s="222"/>
      <c r="BI400" s="222"/>
      <c r="BJ400" s="222"/>
      <c r="BK400" s="222"/>
      <c r="BL400" s="222"/>
      <c r="BM400" s="222"/>
      <c r="BN400" s="222"/>
      <c r="BO400" s="222"/>
      <c r="BP400" s="222"/>
      <c r="BQ400" s="222"/>
      <c r="BR400" s="222"/>
      <c r="BT400" s="222"/>
      <c r="BU400" s="222"/>
      <c r="BV400" s="222"/>
      <c r="BX400" s="222"/>
      <c r="BY400" s="222"/>
      <c r="BZ400" s="222"/>
    </row>
    <row r="401" spans="1:78" s="218" customFormat="1">
      <c r="A401" s="242"/>
      <c r="B401" s="314" t="s">
        <v>249</v>
      </c>
      <c r="D401" s="136"/>
      <c r="E401" s="136"/>
      <c r="F401" s="136"/>
      <c r="H401" s="136"/>
      <c r="I401" s="136"/>
      <c r="J401" s="136"/>
      <c r="L401" s="136"/>
      <c r="M401" s="136"/>
      <c r="N401" s="136"/>
      <c r="P401" s="136"/>
      <c r="Q401" s="136"/>
      <c r="R401" s="136"/>
      <c r="T401" s="136"/>
      <c r="U401" s="136"/>
      <c r="V401" s="136"/>
      <c r="X401" s="136"/>
      <c r="Y401" s="136"/>
      <c r="Z401" s="136"/>
      <c r="AB401" s="222"/>
      <c r="AC401" s="222"/>
      <c r="AD401" s="222"/>
      <c r="AE401" s="222"/>
      <c r="AF401" s="222"/>
      <c r="AG401" s="222"/>
      <c r="AH401" s="222"/>
      <c r="AI401" s="222"/>
      <c r="AJ401" s="222"/>
      <c r="AK401" s="222"/>
      <c r="AL401" s="222"/>
      <c r="AM401" s="222"/>
      <c r="AN401" s="222"/>
      <c r="AO401" s="222"/>
      <c r="AP401" s="222"/>
      <c r="AQ401" s="222"/>
      <c r="AR401" s="222"/>
      <c r="AS401" s="222"/>
      <c r="AT401" s="222"/>
      <c r="AU401" s="222"/>
      <c r="AV401" s="222"/>
      <c r="AW401" s="222"/>
      <c r="AX401" s="222"/>
      <c r="AY401" s="222"/>
      <c r="AZ401" s="222"/>
      <c r="BA401" s="222"/>
      <c r="BB401" s="222"/>
      <c r="BC401" s="222"/>
      <c r="BD401" s="222"/>
      <c r="BE401" s="222"/>
      <c r="BF401" s="222"/>
      <c r="BG401" s="222"/>
      <c r="BH401" s="222"/>
      <c r="BI401" s="222"/>
      <c r="BJ401" s="222"/>
      <c r="BK401" s="222"/>
      <c r="BL401" s="222"/>
      <c r="BM401" s="222"/>
      <c r="BN401" s="222"/>
      <c r="BO401" s="222"/>
      <c r="BP401" s="222"/>
      <c r="BQ401" s="222"/>
      <c r="BR401" s="222"/>
      <c r="BT401" s="222"/>
      <c r="BU401" s="222"/>
      <c r="BV401" s="222"/>
      <c r="BX401" s="222"/>
      <c r="BY401" s="222"/>
      <c r="BZ401" s="222"/>
    </row>
    <row r="402" spans="1:78" s="218" customFormat="1">
      <c r="A402" s="242"/>
      <c r="B402" s="242"/>
      <c r="D402" s="136"/>
      <c r="E402" s="136"/>
      <c r="F402" s="136"/>
      <c r="H402" s="136"/>
      <c r="I402" s="136"/>
      <c r="J402" s="136"/>
      <c r="L402" s="136"/>
      <c r="M402" s="136"/>
      <c r="N402" s="136"/>
      <c r="P402" s="136"/>
      <c r="Q402" s="136"/>
      <c r="R402" s="136"/>
      <c r="T402" s="136"/>
      <c r="U402" s="136"/>
      <c r="V402" s="136"/>
      <c r="X402" s="136"/>
      <c r="Y402" s="136"/>
      <c r="Z402" s="136"/>
      <c r="AB402" s="222"/>
      <c r="AC402" s="222"/>
      <c r="AD402" s="222"/>
      <c r="AE402" s="222"/>
      <c r="AF402" s="222"/>
      <c r="AG402" s="222"/>
      <c r="AH402" s="222"/>
      <c r="AI402" s="222"/>
      <c r="AJ402" s="222"/>
      <c r="AK402" s="222"/>
      <c r="AL402" s="222"/>
      <c r="AM402" s="222"/>
      <c r="AN402" s="222"/>
      <c r="AO402" s="222"/>
      <c r="AP402" s="222"/>
      <c r="AQ402" s="222"/>
      <c r="AR402" s="222"/>
      <c r="AS402" s="222"/>
      <c r="AT402" s="222"/>
      <c r="AU402" s="222"/>
      <c r="AV402" s="222"/>
      <c r="AW402" s="222"/>
      <c r="AX402" s="222"/>
      <c r="AY402" s="222"/>
      <c r="AZ402" s="222"/>
      <c r="BA402" s="222"/>
      <c r="BB402" s="222"/>
      <c r="BC402" s="222"/>
      <c r="BD402" s="222"/>
      <c r="BE402" s="222"/>
      <c r="BF402" s="222"/>
      <c r="BG402" s="222"/>
      <c r="BH402" s="222"/>
      <c r="BI402" s="222"/>
      <c r="BJ402" s="222"/>
      <c r="BK402" s="222"/>
      <c r="BL402" s="222"/>
      <c r="BM402" s="222"/>
      <c r="BN402" s="222"/>
      <c r="BO402" s="222"/>
      <c r="BP402" s="222"/>
      <c r="BQ402" s="222"/>
      <c r="BR402" s="222"/>
      <c r="BT402" s="222"/>
      <c r="BU402" s="222"/>
      <c r="BV402" s="222"/>
      <c r="BX402" s="222"/>
      <c r="BY402" s="222"/>
      <c r="BZ402" s="222"/>
    </row>
    <row r="403" spans="1:78" s="218" customFormat="1">
      <c r="A403" s="242"/>
      <c r="B403" s="150" t="s">
        <v>1</v>
      </c>
      <c r="D403" s="168">
        <v>-23.158999999999999</v>
      </c>
      <c r="E403" s="136">
        <f>F403-D403</f>
        <v>-24.908999999999999</v>
      </c>
      <c r="F403" s="168">
        <v>-48.067999999999998</v>
      </c>
      <c r="H403" s="168">
        <v>-21.754000000000001</v>
      </c>
      <c r="I403" s="136">
        <f>J403-H403</f>
        <v>-23.416999999999998</v>
      </c>
      <c r="J403" s="168">
        <v>-45.170999999999999</v>
      </c>
      <c r="L403" s="168">
        <v>-23.350999999999999</v>
      </c>
      <c r="M403" s="136">
        <f>N403-L403</f>
        <v>-25.334000000000003</v>
      </c>
      <c r="N403" s="168">
        <v>-48.685000000000002</v>
      </c>
      <c r="P403" s="264">
        <v>-24.533999999999999</v>
      </c>
      <c r="Q403" s="136">
        <f>R403-P403</f>
        <v>-24.512</v>
      </c>
      <c r="R403" s="264">
        <v>-49.045999999999999</v>
      </c>
      <c r="T403" s="264">
        <v>-24.178000000000001</v>
      </c>
      <c r="U403" s="136">
        <f>V403-T403</f>
        <v>-19.964000000000002</v>
      </c>
      <c r="V403" s="264">
        <v>-44.142000000000003</v>
      </c>
      <c r="X403" s="264">
        <v>-16.951000000000001</v>
      </c>
      <c r="Y403" s="136">
        <f>Z403-X403</f>
        <v>-8.9770000000000003</v>
      </c>
      <c r="Z403" s="264">
        <v>-25.928000000000001</v>
      </c>
      <c r="AB403" s="222"/>
      <c r="AC403" s="222"/>
      <c r="AD403" s="222"/>
      <c r="AE403" s="222"/>
      <c r="AF403" s="222"/>
      <c r="AG403" s="222"/>
      <c r="AH403" s="222"/>
      <c r="AI403" s="222"/>
      <c r="AJ403" s="222"/>
      <c r="AK403" s="222"/>
      <c r="AL403" s="222"/>
      <c r="AM403" s="222"/>
      <c r="AN403" s="222"/>
      <c r="AO403" s="222"/>
      <c r="AP403" s="222"/>
      <c r="AQ403" s="222"/>
      <c r="AR403" s="222"/>
      <c r="AS403" s="222"/>
      <c r="AT403" s="222"/>
      <c r="AU403" s="222"/>
      <c r="AV403" s="222"/>
      <c r="AW403" s="222"/>
      <c r="AX403" s="222"/>
      <c r="AY403" s="222"/>
      <c r="AZ403" s="222"/>
      <c r="BA403" s="222"/>
      <c r="BB403" s="222"/>
      <c r="BC403" s="222"/>
      <c r="BD403" s="222"/>
      <c r="BE403" s="222"/>
      <c r="BF403" s="222"/>
      <c r="BG403" s="222"/>
      <c r="BH403" s="222"/>
      <c r="BI403" s="222"/>
      <c r="BJ403" s="222"/>
      <c r="BK403" s="222"/>
      <c r="BL403" s="222"/>
      <c r="BM403" s="222"/>
      <c r="BN403" s="222"/>
      <c r="BO403" s="222"/>
      <c r="BP403" s="222"/>
      <c r="BQ403" s="222"/>
      <c r="BR403" s="222"/>
      <c r="BT403" s="222"/>
      <c r="BU403" s="222"/>
      <c r="BV403" s="222"/>
      <c r="BX403" s="222"/>
      <c r="BY403" s="222"/>
      <c r="BZ403" s="222"/>
    </row>
    <row r="404" spans="1:78" s="218" customFormat="1">
      <c r="A404" s="242"/>
      <c r="B404" s="151" t="s">
        <v>180</v>
      </c>
      <c r="D404" s="232">
        <f>SUM(D400:D403)</f>
        <v>5.5950000000000024</v>
      </c>
      <c r="E404" s="232">
        <f>SUM(E400:E403)</f>
        <v>7.1630000000000038</v>
      </c>
      <c r="F404" s="232">
        <f>SUM(F400:F403)</f>
        <v>12.758000000000003</v>
      </c>
      <c r="H404" s="232">
        <f>SUM(H400:H403)</f>
        <v>5.3119999999999976</v>
      </c>
      <c r="I404" s="232">
        <f>SUM(I400:I403)</f>
        <v>6.2730000000000032</v>
      </c>
      <c r="J404" s="232">
        <f>SUM(J400:J403)</f>
        <v>11.585000000000001</v>
      </c>
      <c r="L404" s="232">
        <f>SUM(L400:L403)</f>
        <v>6.0459999999999994</v>
      </c>
      <c r="M404" s="232">
        <f>SUM(M400:M403)</f>
        <v>4.0150000000000006</v>
      </c>
      <c r="N404" s="232">
        <f>SUM(N400:N403)</f>
        <v>10.061</v>
      </c>
      <c r="P404" s="232">
        <f>SUM(P400:P403)</f>
        <v>1.6330000000000027</v>
      </c>
      <c r="Q404" s="232">
        <f>SUM(Q400:Q403)</f>
        <v>0.5210000000000008</v>
      </c>
      <c r="R404" s="232">
        <f>SUM(R400:R403)</f>
        <v>2.1540000000000035</v>
      </c>
      <c r="T404" s="232">
        <f>SUM(T400:T403)</f>
        <v>3.3550000000000004</v>
      </c>
      <c r="U404" s="232">
        <f>SUM(U400:U403)</f>
        <v>3.9209999999999958</v>
      </c>
      <c r="V404" s="232">
        <f>SUM(V400:V403)</f>
        <v>7.2759999999999962</v>
      </c>
      <c r="X404" s="232">
        <f>SUM(X400:X403)</f>
        <v>3.9929999999999986</v>
      </c>
      <c r="Y404" s="232">
        <f>SUM(Y400:Y403)</f>
        <v>1.8369999999999997</v>
      </c>
      <c r="Z404" s="232">
        <f>SUM(Z400:Z403)</f>
        <v>5.8299999999999983</v>
      </c>
      <c r="AB404" s="317"/>
      <c r="AC404" s="317"/>
      <c r="AD404" s="317"/>
      <c r="AE404" s="317"/>
      <c r="AF404" s="317"/>
      <c r="AG404" s="317"/>
      <c r="AH404" s="317"/>
      <c r="AI404" s="317"/>
      <c r="AJ404" s="317"/>
      <c r="AK404" s="317"/>
      <c r="AL404" s="317"/>
      <c r="AM404" s="317"/>
      <c r="AN404" s="317"/>
      <c r="AO404" s="317"/>
      <c r="AP404" s="317"/>
      <c r="AQ404" s="317"/>
      <c r="AR404" s="317"/>
      <c r="AS404" s="317"/>
      <c r="AT404" s="317"/>
      <c r="AU404" s="317"/>
      <c r="AV404" s="317"/>
      <c r="AW404" s="317"/>
      <c r="AX404" s="317"/>
      <c r="AY404" s="317"/>
      <c r="AZ404" s="317"/>
      <c r="BA404" s="317"/>
      <c r="BB404" s="317"/>
      <c r="BC404" s="317"/>
      <c r="BD404" s="317"/>
      <c r="BE404" s="317"/>
      <c r="BF404" s="317"/>
      <c r="BG404" s="317"/>
      <c r="BH404" s="317"/>
      <c r="BI404" s="317"/>
      <c r="BJ404" s="317"/>
      <c r="BK404" s="317"/>
      <c r="BL404" s="317"/>
      <c r="BM404" s="317"/>
      <c r="BN404" s="317"/>
      <c r="BO404" s="317"/>
      <c r="BP404" s="317"/>
      <c r="BQ404" s="317"/>
      <c r="BR404" s="317"/>
      <c r="BT404" s="317"/>
      <c r="BU404" s="317"/>
      <c r="BV404" s="317"/>
      <c r="BX404" s="317"/>
      <c r="BY404" s="317"/>
      <c r="BZ404" s="317"/>
    </row>
    <row r="405" spans="1:78" s="218" customFormat="1">
      <c r="A405" s="242"/>
      <c r="B405" s="314" t="s">
        <v>247</v>
      </c>
      <c r="C405" s="135"/>
      <c r="D405" s="315">
        <f>+D404/D400</f>
        <v>0.19458162342630597</v>
      </c>
      <c r="E405" s="315">
        <f>+E404/E400</f>
        <v>0.22334123222748825</v>
      </c>
      <c r="F405" s="315">
        <f>+F404/F400</f>
        <v>0.20974583237431366</v>
      </c>
      <c r="G405" s="133"/>
      <c r="H405" s="315">
        <f>+H404/H400</f>
        <v>0.19626099165004057</v>
      </c>
      <c r="I405" s="315">
        <f>+I404/I400</f>
        <v>0.21128326035702266</v>
      </c>
      <c r="J405" s="315">
        <f>+J404/J400</f>
        <v>0.20411938825851011</v>
      </c>
      <c r="K405" s="133"/>
      <c r="L405" s="315">
        <f>+L404/L400</f>
        <v>0.20566724495696839</v>
      </c>
      <c r="M405" s="315">
        <f>+M404/M400</f>
        <v>0.13680193532999421</v>
      </c>
      <c r="N405" s="315">
        <f>+N404/N400</f>
        <v>0.17126272427058864</v>
      </c>
      <c r="O405" s="133"/>
      <c r="P405" s="315">
        <f>+P404/P400</f>
        <v>6.2406848320403663E-2</v>
      </c>
      <c r="Q405" s="315">
        <f>+Q404/Q400</f>
        <v>2.0812527463747885E-2</v>
      </c>
      <c r="R405" s="315">
        <f>+R404/R400</f>
        <v>4.2070312500000068E-2</v>
      </c>
      <c r="S405" s="133"/>
      <c r="T405" s="315">
        <f>+T404/T400</f>
        <v>0.12185377546943668</v>
      </c>
      <c r="U405" s="315">
        <f>+U404/U400</f>
        <v>0.16416160770357949</v>
      </c>
      <c r="V405" s="315">
        <f>+V404/V400</f>
        <v>0.14150686530008938</v>
      </c>
      <c r="W405" s="133"/>
      <c r="X405" s="315">
        <f>+X404/X400</f>
        <v>0.19065126050420161</v>
      </c>
      <c r="Y405" s="315">
        <f>+Y404/Y400</f>
        <v>0.16987238764564452</v>
      </c>
      <c r="Z405" s="315">
        <f>+Z404/Z400</f>
        <v>0.18357579192644369</v>
      </c>
      <c r="AA405" s="133"/>
      <c r="AB405" s="222"/>
      <c r="AC405" s="222"/>
      <c r="AD405" s="222"/>
      <c r="AE405" s="222"/>
      <c r="AF405" s="222"/>
      <c r="AG405" s="222"/>
      <c r="AH405" s="222"/>
      <c r="AI405" s="222"/>
      <c r="AJ405" s="222"/>
      <c r="AK405" s="222"/>
      <c r="AL405" s="222"/>
      <c r="AM405" s="222"/>
      <c r="AN405" s="222"/>
      <c r="AO405" s="222"/>
      <c r="AP405" s="222"/>
      <c r="AQ405" s="222"/>
      <c r="AR405" s="222"/>
      <c r="AS405" s="222"/>
      <c r="AT405" s="222"/>
      <c r="AU405" s="222"/>
      <c r="AV405" s="222"/>
      <c r="AW405" s="222"/>
      <c r="AX405" s="222"/>
      <c r="AY405" s="222"/>
      <c r="AZ405" s="222"/>
      <c r="BA405" s="222"/>
      <c r="BB405" s="222"/>
      <c r="BC405" s="222"/>
      <c r="BD405" s="222"/>
      <c r="BE405" s="222"/>
      <c r="BF405" s="222"/>
      <c r="BG405" s="222"/>
      <c r="BH405" s="222"/>
      <c r="BI405" s="222"/>
      <c r="BJ405" s="222"/>
      <c r="BK405" s="222"/>
      <c r="BL405" s="222"/>
      <c r="BM405" s="222"/>
      <c r="BN405" s="222"/>
      <c r="BO405" s="222"/>
      <c r="BP405" s="222"/>
      <c r="BQ405" s="222"/>
      <c r="BR405" s="222"/>
      <c r="BT405" s="222"/>
      <c r="BU405" s="222"/>
      <c r="BV405" s="222"/>
      <c r="BX405" s="222"/>
      <c r="BY405" s="222"/>
      <c r="BZ405" s="222"/>
    </row>
    <row r="406" spans="1:78" s="218" customFormat="1">
      <c r="A406" s="242"/>
      <c r="B406" s="242"/>
      <c r="D406" s="240"/>
      <c r="E406" s="212"/>
      <c r="F406" s="212"/>
      <c r="H406" s="240"/>
      <c r="I406" s="212"/>
      <c r="J406" s="212"/>
      <c r="L406" s="240"/>
      <c r="M406" s="212"/>
      <c r="N406" s="212"/>
      <c r="P406" s="240"/>
      <c r="Q406" s="212"/>
      <c r="R406" s="212"/>
      <c r="T406" s="232"/>
      <c r="U406" s="232"/>
      <c r="V406" s="232"/>
      <c r="X406" s="232"/>
      <c r="Y406" s="232"/>
      <c r="Z406" s="232"/>
      <c r="AB406" s="317"/>
      <c r="AC406" s="317"/>
      <c r="AD406" s="317"/>
      <c r="AE406" s="317"/>
      <c r="AF406" s="317"/>
      <c r="AG406" s="317"/>
      <c r="AH406" s="317"/>
      <c r="AI406" s="317"/>
      <c r="AJ406" s="317"/>
      <c r="AK406" s="317"/>
      <c r="AL406" s="317"/>
      <c r="AM406" s="317"/>
      <c r="AN406" s="317"/>
      <c r="AO406" s="317"/>
      <c r="AP406" s="317"/>
      <c r="AQ406" s="317"/>
      <c r="AR406" s="317"/>
      <c r="AS406" s="317"/>
      <c r="AT406" s="317"/>
      <c r="AU406" s="317"/>
      <c r="AV406" s="317"/>
      <c r="AW406" s="317"/>
      <c r="AX406" s="317"/>
      <c r="AY406" s="317"/>
      <c r="AZ406" s="317"/>
      <c r="BA406" s="317"/>
      <c r="BB406" s="317"/>
      <c r="BC406" s="317"/>
      <c r="BD406" s="317"/>
      <c r="BE406" s="317"/>
      <c r="BF406" s="317"/>
      <c r="BG406" s="317"/>
      <c r="BH406" s="317"/>
      <c r="BI406" s="317"/>
      <c r="BJ406" s="317"/>
      <c r="BK406" s="317"/>
      <c r="BL406" s="317"/>
      <c r="BM406" s="317"/>
      <c r="BN406" s="317"/>
      <c r="BO406" s="317"/>
      <c r="BP406" s="317"/>
      <c r="BQ406" s="317"/>
      <c r="BR406" s="317"/>
      <c r="BT406" s="317"/>
      <c r="BU406" s="317"/>
      <c r="BV406" s="317"/>
      <c r="BX406" s="317"/>
      <c r="BY406" s="317"/>
      <c r="BZ406" s="317"/>
    </row>
    <row r="407" spans="1:78" s="218" customFormat="1">
      <c r="A407" s="242"/>
      <c r="B407" s="397" t="s">
        <v>181</v>
      </c>
      <c r="D407" s="343">
        <v>3.99</v>
      </c>
      <c r="E407" s="323">
        <f>F407-D407</f>
        <v>8.7059999999999995</v>
      </c>
      <c r="F407" s="343">
        <v>12.696</v>
      </c>
      <c r="H407" s="343">
        <v>5.3120000000000003</v>
      </c>
      <c r="I407" s="323">
        <f>J407-H407</f>
        <v>6.2730000000000006</v>
      </c>
      <c r="J407" s="343">
        <v>11.585000000000001</v>
      </c>
      <c r="L407" s="343">
        <v>6.0460000000000003</v>
      </c>
      <c r="M407" s="323">
        <f>N407-L407</f>
        <v>4.0149999999999997</v>
      </c>
      <c r="N407" s="343">
        <v>10.061</v>
      </c>
      <c r="P407" s="343">
        <v>1.633</v>
      </c>
      <c r="Q407" s="323">
        <f>R407-P407</f>
        <v>0.504</v>
      </c>
      <c r="R407" s="343">
        <v>2.137</v>
      </c>
      <c r="T407" s="343">
        <v>3.157</v>
      </c>
      <c r="U407" s="323">
        <f>V407-T407</f>
        <v>4.0229999999999997</v>
      </c>
      <c r="V407" s="343">
        <v>7.18</v>
      </c>
      <c r="X407" s="343">
        <v>3.99</v>
      </c>
      <c r="Y407" s="323">
        <f>Z407-X407</f>
        <v>1.835</v>
      </c>
      <c r="Z407" s="343">
        <v>5.8250000000000002</v>
      </c>
      <c r="AB407" s="317"/>
      <c r="AC407" s="317"/>
      <c r="AD407" s="317"/>
      <c r="AE407" s="317"/>
      <c r="AF407" s="317"/>
      <c r="AG407" s="317"/>
      <c r="AH407" s="317"/>
      <c r="AI407" s="317"/>
      <c r="AJ407" s="317"/>
      <c r="AK407" s="317"/>
      <c r="AL407" s="317"/>
      <c r="AM407" s="317"/>
      <c r="AN407" s="317"/>
      <c r="AO407" s="317"/>
      <c r="AP407" s="317"/>
      <c r="AQ407" s="317"/>
      <c r="AR407" s="317"/>
      <c r="AS407" s="317"/>
      <c r="AT407" s="317"/>
      <c r="AU407" s="317"/>
      <c r="AV407" s="317"/>
      <c r="AW407" s="317"/>
      <c r="AX407" s="317"/>
      <c r="AY407" s="317"/>
      <c r="AZ407" s="317"/>
      <c r="BA407" s="317"/>
      <c r="BB407" s="317"/>
      <c r="BC407" s="317"/>
      <c r="BD407" s="317"/>
      <c r="BE407" s="317"/>
      <c r="BF407" s="317"/>
      <c r="BG407" s="317"/>
      <c r="BH407" s="317"/>
      <c r="BI407" s="317"/>
      <c r="BJ407" s="317"/>
      <c r="BK407" s="317"/>
      <c r="BL407" s="317"/>
      <c r="BM407" s="317"/>
      <c r="BN407" s="317"/>
      <c r="BO407" s="317"/>
      <c r="BP407" s="317"/>
      <c r="BQ407" s="317"/>
      <c r="BR407" s="317"/>
      <c r="BT407" s="317"/>
      <c r="BU407" s="317"/>
      <c r="BV407" s="317"/>
      <c r="BX407" s="317"/>
      <c r="BY407" s="317"/>
      <c r="BZ407" s="317"/>
    </row>
    <row r="408" spans="1:78" s="218" customFormat="1">
      <c r="A408" s="242"/>
      <c r="B408" s="397"/>
      <c r="D408" s="240"/>
      <c r="E408" s="212"/>
      <c r="F408" s="212"/>
      <c r="H408" s="398">
        <f>+H407-H404</f>
        <v>0</v>
      </c>
      <c r="I408" s="398">
        <f>+I407-I404</f>
        <v>0</v>
      </c>
      <c r="J408" s="398">
        <f>+J407-J404</f>
        <v>0</v>
      </c>
      <c r="L408" s="398">
        <f>+L407-L404</f>
        <v>0</v>
      </c>
      <c r="M408" s="398">
        <f>+M407-M404</f>
        <v>0</v>
      </c>
      <c r="N408" s="398">
        <f>+N407-N404</f>
        <v>0</v>
      </c>
      <c r="P408" s="398"/>
      <c r="Q408" s="398"/>
      <c r="R408" s="398"/>
      <c r="T408" s="398"/>
      <c r="U408" s="398"/>
      <c r="V408" s="398"/>
      <c r="X408" s="398"/>
      <c r="Y408" s="398"/>
      <c r="Z408" s="398"/>
      <c r="AB408" s="317"/>
      <c r="AC408" s="317"/>
      <c r="AD408" s="317"/>
      <c r="AE408" s="317"/>
      <c r="AF408" s="317"/>
      <c r="AG408" s="317"/>
      <c r="AH408" s="317"/>
      <c r="AI408" s="317"/>
      <c r="AJ408" s="317"/>
      <c r="AK408" s="317"/>
      <c r="AL408" s="317"/>
      <c r="AM408" s="317"/>
      <c r="AN408" s="317"/>
      <c r="AO408" s="317"/>
      <c r="AP408" s="317"/>
      <c r="AQ408" s="317"/>
      <c r="AR408" s="317"/>
      <c r="AS408" s="317"/>
      <c r="AT408" s="317"/>
      <c r="AU408" s="317"/>
      <c r="AV408" s="317"/>
      <c r="AW408" s="317"/>
      <c r="AX408" s="317"/>
      <c r="AY408" s="317"/>
      <c r="AZ408" s="317"/>
      <c r="BA408" s="317"/>
      <c r="BB408" s="317"/>
      <c r="BC408" s="317"/>
      <c r="BD408" s="317"/>
      <c r="BE408" s="317"/>
      <c r="BF408" s="317"/>
      <c r="BG408" s="317"/>
      <c r="BH408" s="317"/>
      <c r="BI408" s="317"/>
      <c r="BJ408" s="317"/>
      <c r="BK408" s="317"/>
      <c r="BL408" s="317"/>
      <c r="BM408" s="317"/>
      <c r="BN408" s="317"/>
      <c r="BO408" s="317"/>
      <c r="BP408" s="317"/>
      <c r="BQ408" s="317"/>
      <c r="BR408" s="317"/>
      <c r="BT408" s="317"/>
      <c r="BU408" s="317"/>
      <c r="BV408" s="317"/>
      <c r="BX408" s="317"/>
      <c r="BY408" s="317"/>
      <c r="BZ408" s="317"/>
    </row>
    <row r="409" spans="1:78" s="218" customFormat="1">
      <c r="A409" s="242"/>
      <c r="B409" s="255" t="s">
        <v>163</v>
      </c>
      <c r="D409" s="264"/>
      <c r="E409" s="262">
        <f>F409-D409</f>
        <v>-5.5380000000000003</v>
      </c>
      <c r="F409" s="264">
        <v>-5.5380000000000003</v>
      </c>
      <c r="H409" s="264">
        <v>-2.294</v>
      </c>
      <c r="I409" s="262">
        <f>J409-H409</f>
        <v>-2.839</v>
      </c>
      <c r="J409" s="264">
        <v>-5.133</v>
      </c>
      <c r="L409" s="264">
        <v>-2.6509999999999998</v>
      </c>
      <c r="M409" s="262">
        <f>N409-L409</f>
        <v>-1.9350000000000005</v>
      </c>
      <c r="N409" s="264">
        <v>-4.5860000000000003</v>
      </c>
      <c r="P409" s="264">
        <v>-0.84299999999999997</v>
      </c>
      <c r="Q409" s="262">
        <f>R409-P409</f>
        <v>-0.32800000000000007</v>
      </c>
      <c r="R409" s="264">
        <v>-1.171</v>
      </c>
      <c r="T409" s="264">
        <v>-1.381</v>
      </c>
      <c r="U409" s="262">
        <f>V409-T409</f>
        <v>-1.6439999999999999</v>
      </c>
      <c r="V409" s="264">
        <v>-3.0249999999999999</v>
      </c>
      <c r="X409" s="264">
        <v>-1.177</v>
      </c>
      <c r="Y409" s="262">
        <f>Z409-X409</f>
        <v>-0.3879999999999999</v>
      </c>
      <c r="Z409" s="264">
        <v>-1.5649999999999999</v>
      </c>
      <c r="AB409" s="317"/>
      <c r="AC409" s="317"/>
      <c r="AD409" s="317"/>
      <c r="AE409" s="317"/>
      <c r="AF409" s="317"/>
      <c r="AG409" s="317"/>
      <c r="AH409" s="317"/>
      <c r="AI409" s="317"/>
      <c r="AJ409" s="317"/>
      <c r="AK409" s="317"/>
      <c r="AL409" s="317"/>
      <c r="AM409" s="317"/>
      <c r="AN409" s="317"/>
      <c r="AO409" s="317"/>
      <c r="AP409" s="317"/>
      <c r="AQ409" s="317"/>
      <c r="AR409" s="317"/>
      <c r="AS409" s="317"/>
      <c r="AT409" s="317"/>
      <c r="AU409" s="317"/>
      <c r="AV409" s="317"/>
      <c r="AW409" s="317"/>
      <c r="AX409" s="317"/>
      <c r="AY409" s="317"/>
      <c r="AZ409" s="317"/>
      <c r="BA409" s="317"/>
      <c r="BB409" s="317"/>
      <c r="BC409" s="317"/>
      <c r="BD409" s="317"/>
      <c r="BE409" s="317"/>
      <c r="BF409" s="317"/>
      <c r="BG409" s="317"/>
      <c r="BH409" s="317"/>
      <c r="BI409" s="317"/>
      <c r="BJ409" s="317"/>
      <c r="BK409" s="317"/>
      <c r="BL409" s="317"/>
      <c r="BM409" s="317"/>
      <c r="BN409" s="317"/>
      <c r="BO409" s="317"/>
      <c r="BP409" s="317"/>
      <c r="BQ409" s="317"/>
      <c r="BR409" s="317"/>
      <c r="BT409" s="317"/>
      <c r="BU409" s="317"/>
      <c r="BV409" s="317"/>
      <c r="BX409" s="317"/>
      <c r="BY409" s="317"/>
      <c r="BZ409" s="317"/>
    </row>
    <row r="410" spans="1:78" s="218" customFormat="1">
      <c r="A410" s="242"/>
      <c r="B410" s="397" t="s">
        <v>182</v>
      </c>
      <c r="D410" s="323">
        <f>+D407+D409</f>
        <v>3.99</v>
      </c>
      <c r="E410" s="323">
        <f>F410-D410</f>
        <v>3.1679999999999993</v>
      </c>
      <c r="F410" s="323">
        <f>+F407+F409</f>
        <v>7.1579999999999995</v>
      </c>
      <c r="H410" s="323">
        <f>+H407+H409</f>
        <v>3.0180000000000002</v>
      </c>
      <c r="I410" s="323">
        <f>J410-H410</f>
        <v>3.4340000000000006</v>
      </c>
      <c r="J410" s="323">
        <f>+J407+J409</f>
        <v>6.4520000000000008</v>
      </c>
      <c r="L410" s="323">
        <f>+L407+L409</f>
        <v>3.3950000000000005</v>
      </c>
      <c r="M410" s="323">
        <f>N410-L410</f>
        <v>2.0799999999999992</v>
      </c>
      <c r="N410" s="323">
        <f>+N407+N409</f>
        <v>5.4749999999999996</v>
      </c>
      <c r="P410" s="323">
        <f>+P407+P409</f>
        <v>0.79</v>
      </c>
      <c r="Q410" s="323">
        <f>R410-P410</f>
        <v>0.17599999999999993</v>
      </c>
      <c r="R410" s="323">
        <f>+R407+R409</f>
        <v>0.96599999999999997</v>
      </c>
      <c r="T410" s="323">
        <f>+T407+T409</f>
        <v>1.776</v>
      </c>
      <c r="U410" s="323">
        <f>V410-T410</f>
        <v>2.3789999999999996</v>
      </c>
      <c r="V410" s="323">
        <f>+V407+V409</f>
        <v>4.1549999999999994</v>
      </c>
      <c r="X410" s="323">
        <f>+X407+X409</f>
        <v>2.8130000000000002</v>
      </c>
      <c r="Y410" s="323">
        <f>Z410-X410</f>
        <v>1.4469999999999996</v>
      </c>
      <c r="Z410" s="323">
        <f>+Z407+Z409</f>
        <v>4.26</v>
      </c>
      <c r="AB410" s="317"/>
      <c r="AC410" s="317"/>
      <c r="AD410" s="317"/>
      <c r="AE410" s="317"/>
      <c r="AF410" s="317"/>
      <c r="AG410" s="317"/>
      <c r="AH410" s="317"/>
      <c r="AI410" s="317"/>
      <c r="AJ410" s="317"/>
      <c r="AK410" s="317"/>
      <c r="AL410" s="317"/>
      <c r="AM410" s="317"/>
      <c r="AN410" s="317"/>
      <c r="AO410" s="317"/>
      <c r="AP410" s="317"/>
      <c r="AQ410" s="317"/>
      <c r="AR410" s="317"/>
      <c r="AS410" s="317"/>
      <c r="AT410" s="317"/>
      <c r="AU410" s="317"/>
      <c r="AV410" s="317"/>
      <c r="AW410" s="317"/>
      <c r="AX410" s="317"/>
      <c r="AY410" s="317"/>
      <c r="AZ410" s="317"/>
      <c r="BA410" s="317"/>
      <c r="BB410" s="317"/>
      <c r="BC410" s="317"/>
      <c r="BD410" s="317"/>
      <c r="BE410" s="317"/>
      <c r="BF410" s="317"/>
      <c r="BG410" s="317"/>
      <c r="BH410" s="317"/>
      <c r="BI410" s="317"/>
      <c r="BJ410" s="317"/>
      <c r="BK410" s="317"/>
      <c r="BL410" s="317"/>
      <c r="BM410" s="317"/>
      <c r="BN410" s="317"/>
      <c r="BO410" s="317"/>
      <c r="BP410" s="317"/>
      <c r="BQ410" s="317"/>
      <c r="BR410" s="317"/>
      <c r="BT410" s="317"/>
      <c r="BU410" s="317"/>
      <c r="BV410" s="317"/>
      <c r="BX410" s="317"/>
      <c r="BY410" s="317"/>
      <c r="BZ410" s="317"/>
    </row>
    <row r="411" spans="1:78" s="218" customFormat="1">
      <c r="A411" s="242"/>
      <c r="B411" s="151"/>
      <c r="D411" s="240"/>
      <c r="E411" s="212"/>
      <c r="F411" s="212"/>
      <c r="H411" s="240"/>
      <c r="I411" s="212"/>
      <c r="J411" s="212"/>
      <c r="L411" s="240"/>
      <c r="M411" s="212"/>
      <c r="N411" s="212"/>
      <c r="P411" s="240"/>
      <c r="Q411" s="212"/>
      <c r="R411" s="212"/>
      <c r="T411" s="240"/>
      <c r="U411" s="212"/>
      <c r="V411" s="212"/>
      <c r="X411" s="240"/>
      <c r="Y411" s="212"/>
      <c r="Z411" s="212"/>
      <c r="AB411" s="240"/>
      <c r="AC411" s="240"/>
      <c r="AD411" s="212"/>
      <c r="AF411" s="240"/>
      <c r="AG411" s="240"/>
      <c r="AH411" s="212"/>
      <c r="AJ411" s="240"/>
      <c r="AK411" s="240"/>
      <c r="AL411" s="212"/>
      <c r="AN411" s="240"/>
      <c r="AO411" s="240"/>
      <c r="AP411" s="212"/>
      <c r="AR411" s="240"/>
      <c r="AS411" s="240"/>
      <c r="AT411" s="212"/>
      <c r="AV411" s="240"/>
      <c r="AW411" s="240"/>
      <c r="AX411" s="212"/>
      <c r="AZ411" s="240"/>
      <c r="BA411" s="240"/>
      <c r="BB411" s="212"/>
      <c r="BD411" s="240"/>
      <c r="BE411" s="240"/>
      <c r="BF411" s="212"/>
      <c r="BH411" s="240"/>
      <c r="BI411" s="240"/>
      <c r="BJ411" s="212"/>
      <c r="BL411" s="240"/>
      <c r="BM411" s="240"/>
      <c r="BN411" s="212"/>
      <c r="BP411" s="240"/>
      <c r="BQ411" s="240"/>
      <c r="BR411" s="212"/>
      <c r="BT411" s="240"/>
      <c r="BU411" s="240"/>
      <c r="BV411" s="212"/>
      <c r="BX411" s="240"/>
      <c r="BY411" s="240"/>
      <c r="BZ411" s="212"/>
    </row>
    <row r="412" spans="1:78" s="229" customFormat="1" ht="15.6">
      <c r="A412" s="228"/>
      <c r="B412" s="576" t="s">
        <v>695</v>
      </c>
    </row>
    <row r="413" spans="1:78" s="218" customFormat="1" ht="29.4" customHeight="1">
      <c r="A413" s="242"/>
      <c r="B413" s="242"/>
      <c r="D413" s="240"/>
      <c r="E413" s="212"/>
      <c r="F413" s="212"/>
      <c r="H413" s="240"/>
      <c r="I413" s="212"/>
      <c r="J413" s="212"/>
      <c r="L413" s="240"/>
      <c r="M413" s="212"/>
      <c r="N413" s="212"/>
      <c r="P413" s="240"/>
      <c r="Q413" s="212"/>
      <c r="R413" s="212"/>
      <c r="T413" s="240"/>
      <c r="U413" s="212"/>
      <c r="V413" s="212"/>
      <c r="X413" s="240"/>
      <c r="Y413" s="212"/>
      <c r="Z413" s="212"/>
      <c r="AB413" s="367" t="s">
        <v>292</v>
      </c>
      <c r="AD413" s="654"/>
      <c r="AE413" s="655" t="s">
        <v>601</v>
      </c>
      <c r="AF413" s="653" t="s">
        <v>369</v>
      </c>
      <c r="AG413" s="136"/>
      <c r="AH413" s="136"/>
      <c r="AJ413" s="136"/>
      <c r="AK413" s="136"/>
      <c r="AL413" s="136"/>
      <c r="AN413" s="136"/>
      <c r="AO413" s="136"/>
      <c r="AP413" s="136"/>
      <c r="AR413" s="240"/>
      <c r="AS413" s="240"/>
      <c r="AT413" s="212"/>
      <c r="AV413" s="240"/>
      <c r="AW413" s="240"/>
      <c r="AX413" s="212"/>
      <c r="AZ413" s="240"/>
      <c r="BA413" s="240"/>
      <c r="BB413" s="212"/>
      <c r="BD413" s="240"/>
      <c r="BE413" s="240"/>
      <c r="BF413" s="212"/>
      <c r="BH413" s="240"/>
      <c r="BI413" s="240"/>
      <c r="BJ413" s="212"/>
      <c r="BL413" s="240"/>
      <c r="BM413" s="240"/>
      <c r="BN413" s="212"/>
      <c r="BP413" s="240"/>
      <c r="BQ413" s="240"/>
      <c r="BR413" s="212"/>
      <c r="BT413" s="240"/>
      <c r="BU413" s="240"/>
      <c r="BV413" s="212"/>
      <c r="BX413" s="240"/>
      <c r="BY413" s="240"/>
      <c r="BZ413" s="212"/>
    </row>
    <row r="414" spans="1:78">
      <c r="A414" s="133"/>
      <c r="B414" s="151" t="s">
        <v>325</v>
      </c>
      <c r="C414" s="135"/>
      <c r="D414" s="135"/>
      <c r="E414" s="135"/>
      <c r="F414" s="313">
        <v>520</v>
      </c>
      <c r="G414" s="135"/>
      <c r="H414" s="135"/>
      <c r="I414" s="135"/>
      <c r="K414" s="135"/>
      <c r="L414" s="135"/>
      <c r="M414" s="313"/>
      <c r="N414" s="313"/>
      <c r="O414" s="135"/>
      <c r="P414" s="313"/>
      <c r="Q414" s="313"/>
      <c r="R414" s="313"/>
      <c r="S414" s="135"/>
      <c r="T414" s="135"/>
      <c r="U414" s="135"/>
      <c r="V414" s="313"/>
      <c r="W414" s="135"/>
      <c r="X414" s="135"/>
      <c r="Y414" s="805"/>
      <c r="Z414" s="313"/>
      <c r="AA414" s="377"/>
      <c r="AB414" s="135"/>
      <c r="AC414" s="805"/>
      <c r="AD414" s="803"/>
      <c r="AE414" s="804"/>
      <c r="AF414" s="804"/>
      <c r="AG414" s="805"/>
      <c r="AH414" s="383"/>
      <c r="AI414" s="804"/>
      <c r="AJ414" s="804"/>
      <c r="AK414" s="805">
        <f>+AL414</f>
        <v>4100</v>
      </c>
      <c r="AL414" s="383">
        <v>4100</v>
      </c>
      <c r="AN414" s="804"/>
      <c r="AO414" s="805">
        <f>+AP414</f>
        <v>4700</v>
      </c>
      <c r="AP414" s="918">
        <v>4700</v>
      </c>
    </row>
    <row r="415" spans="1:78" s="218" customFormat="1" ht="15.75" customHeight="1">
      <c r="A415" s="242"/>
      <c r="B415" s="242"/>
      <c r="D415" s="240"/>
      <c r="E415" s="212"/>
      <c r="F415" s="212"/>
      <c r="H415" s="240"/>
      <c r="I415" s="212"/>
      <c r="J415" s="212"/>
      <c r="L415" s="240"/>
      <c r="M415" s="212"/>
      <c r="N415" s="212"/>
      <c r="P415" s="240"/>
      <c r="Q415" s="212"/>
      <c r="R415" s="212"/>
      <c r="T415" s="240"/>
      <c r="U415" s="212"/>
      <c r="V415" s="212"/>
      <c r="X415" s="240"/>
      <c r="Y415" s="212"/>
      <c r="Z415" s="212"/>
      <c r="AB415" s="367"/>
      <c r="AD415" s="654"/>
      <c r="AE415" s="655"/>
      <c r="AF415" s="461">
        <f>AF416/$AH$416</f>
        <v>0.2992014196983141</v>
      </c>
      <c r="AG415" s="461">
        <f>AG416/$AH$416</f>
        <v>0.70079858030168585</v>
      </c>
      <c r="AH415" s="136"/>
      <c r="AJ415" s="461">
        <f>AJ416/$AL$416</f>
        <v>0.4670929922728484</v>
      </c>
      <c r="AK415" s="461">
        <f>AK416/$AL$416</f>
        <v>0.5329070077271516</v>
      </c>
      <c r="AL415" s="136"/>
      <c r="AN415" s="136"/>
      <c r="AO415" s="136"/>
      <c r="AP415" s="136"/>
      <c r="AR415" s="934">
        <f>AR416/$AT$416</f>
        <v>0.45363404696870285</v>
      </c>
      <c r="AS415" s="934">
        <f>AS416/$AT$416</f>
        <v>0.5463659530312972</v>
      </c>
      <c r="AT415" s="212"/>
      <c r="AV415" s="240"/>
      <c r="AW415" s="240"/>
      <c r="AX415" s="212"/>
      <c r="AZ415" s="240"/>
      <c r="BA415" s="240"/>
      <c r="BB415" s="212"/>
      <c r="BD415" s="240"/>
      <c r="BE415" s="240"/>
      <c r="BF415" s="212"/>
      <c r="BH415" s="240"/>
      <c r="BI415" s="240"/>
      <c r="BJ415" s="212"/>
      <c r="BL415" s="240"/>
      <c r="BM415" s="240"/>
      <c r="BN415" s="212"/>
      <c r="BP415" s="240"/>
      <c r="BQ415" s="240"/>
      <c r="BR415" s="212"/>
      <c r="BT415" s="240"/>
      <c r="BU415" s="240"/>
      <c r="BV415" s="212"/>
      <c r="BX415" s="240"/>
      <c r="BY415" s="240"/>
      <c r="BZ415" s="212"/>
    </row>
    <row r="416" spans="1:78" ht="14.4" thickBot="1">
      <c r="B416" s="150" t="s">
        <v>177</v>
      </c>
      <c r="D416" s="399"/>
      <c r="E416" s="222"/>
      <c r="F416" s="399"/>
      <c r="G416" s="400"/>
      <c r="H416" s="399"/>
      <c r="I416" s="222"/>
      <c r="J416" s="399"/>
      <c r="K416" s="400"/>
      <c r="L416" s="399"/>
      <c r="M416" s="222"/>
      <c r="N416" s="399"/>
      <c r="O416" s="400"/>
      <c r="P416" s="399"/>
      <c r="Q416" s="222"/>
      <c r="R416" s="399"/>
      <c r="S416" s="400"/>
      <c r="T416" s="399"/>
      <c r="U416" s="222"/>
      <c r="V416" s="399"/>
      <c r="W416" s="400"/>
      <c r="X416" s="399"/>
      <c r="Y416" s="222"/>
      <c r="Z416" s="399"/>
      <c r="AA416" s="400"/>
      <c r="AB416" s="401" t="s">
        <v>312</v>
      </c>
      <c r="AC416" s="222"/>
      <c r="AD416" s="222"/>
      <c r="AE416" s="652">
        <f>+AD421-AF421</f>
        <v>-90.8</v>
      </c>
      <c r="AF416" s="264">
        <v>84.3</v>
      </c>
      <c r="AG416" s="262">
        <f>+AH416-AF416</f>
        <v>197.45</v>
      </c>
      <c r="AH416" s="801">
        <v>281.75</v>
      </c>
      <c r="AI416" s="136"/>
      <c r="AJ416" s="264">
        <v>175.3</v>
      </c>
      <c r="AK416" s="262">
        <f>+AL416-AJ416</f>
        <v>200</v>
      </c>
      <c r="AL416" s="801">
        <v>375.3</v>
      </c>
      <c r="AN416" s="168">
        <v>185.8</v>
      </c>
      <c r="AO416" s="262">
        <f>+AP416-AN416</f>
        <v>238.7</v>
      </c>
      <c r="AP416" s="921">
        <v>424.5</v>
      </c>
      <c r="AR416" s="136">
        <f t="shared" ref="AR416" si="2485">+AN416*(1+AR417)</f>
        <v>208.09600000000003</v>
      </c>
      <c r="AS416" s="136">
        <f t="shared" ref="AS416" si="2486">+AO416*(1+AS417)</f>
        <v>250.63499999999999</v>
      </c>
      <c r="AT416" s="136">
        <f t="shared" ref="AT416" si="2487">+AR416+AS416</f>
        <v>458.73099999999999</v>
      </c>
      <c r="AV416" s="136">
        <f t="shared" ref="AV416" si="2488">+AR416*(1+AV417)</f>
        <v>218.50080000000005</v>
      </c>
      <c r="AW416" s="136">
        <f t="shared" ref="AW416" si="2489">+AS416*(1+AW417)</f>
        <v>263.16674999999998</v>
      </c>
      <c r="AX416" s="136">
        <f t="shared" ref="AX416" si="2490">+AV416+AW416</f>
        <v>481.66755000000001</v>
      </c>
      <c r="AZ416" s="136">
        <f t="shared" ref="AZ416" si="2491">+AV416*(1+AZ417)</f>
        <v>229.42584000000008</v>
      </c>
      <c r="BA416" s="136">
        <f t="shared" ref="BA416" si="2492">+AW416*(1+BA417)</f>
        <v>276.3250875</v>
      </c>
      <c r="BB416" s="136">
        <f t="shared" ref="BB416" si="2493">+AZ416+BA416</f>
        <v>505.7509275000001</v>
      </c>
      <c r="BD416" s="136">
        <f t="shared" ref="BD416" si="2494">+AZ416*(1+BD417)</f>
        <v>240.89713200000008</v>
      </c>
      <c r="BE416" s="136">
        <f t="shared" ref="BE416" si="2495">+BA416*(1+BE417)</f>
        <v>290.14134187500002</v>
      </c>
      <c r="BF416" s="136">
        <f t="shared" ref="BF416" si="2496">+BD416+BE416</f>
        <v>531.03847387500014</v>
      </c>
      <c r="BH416" s="136">
        <f t="shared" ref="BH416" si="2497">+BD416*(1+BH417)</f>
        <v>252.94198860000009</v>
      </c>
      <c r="BI416" s="136">
        <f t="shared" ref="BI416" si="2498">+BE416*(1+BI417)</f>
        <v>304.64840896875006</v>
      </c>
      <c r="BJ416" s="136">
        <f t="shared" ref="BJ416" si="2499">+BH416+BI416</f>
        <v>557.59039756875018</v>
      </c>
      <c r="BL416" s="136">
        <f t="shared" ref="BL416" si="2500">+BH416*(1+BL417)</f>
        <v>265.58908803000008</v>
      </c>
      <c r="BM416" s="136">
        <f t="shared" ref="BM416" si="2501">+BI416*(1+BM417)</f>
        <v>319.88082941718756</v>
      </c>
      <c r="BN416" s="136">
        <f t="shared" ref="BN416" si="2502">+BL416+BM416</f>
        <v>585.46991744718764</v>
      </c>
      <c r="BP416" s="136">
        <f t="shared" ref="BP416" si="2503">+BL416*(1+BP417)</f>
        <v>278.86854243150009</v>
      </c>
      <c r="BQ416" s="136">
        <f t="shared" ref="BQ416" si="2504">+BM416*(1+BQ417)</f>
        <v>335.87487088804693</v>
      </c>
      <c r="BR416" s="136">
        <f t="shared" ref="BR416" si="2505">+BP416+BQ416</f>
        <v>614.74341331954702</v>
      </c>
      <c r="BT416" s="136">
        <f t="shared" ref="BT416" si="2506">+BP416*(1+BT417)</f>
        <v>292.81196955307513</v>
      </c>
      <c r="BU416" s="136">
        <f t="shared" ref="BU416" si="2507">+BQ416*(1+BU417)</f>
        <v>352.66861443244932</v>
      </c>
      <c r="BV416" s="136">
        <f t="shared" ref="BV416" si="2508">+BT416+BU416</f>
        <v>645.48058398552439</v>
      </c>
      <c r="BX416" s="136">
        <f t="shared" ref="BX416" si="2509">+BT416*(1+BX417)</f>
        <v>307.45256803072891</v>
      </c>
      <c r="BY416" s="136">
        <f t="shared" ref="BY416" si="2510">+BU416*(1+BY417)</f>
        <v>370.30204515407178</v>
      </c>
      <c r="BZ416" s="136">
        <f t="shared" ref="BZ416" si="2511">+BX416+BY416</f>
        <v>677.75461318480075</v>
      </c>
    </row>
    <row r="417" spans="1:78" s="138" customFormat="1" ht="14.4" thickBot="1">
      <c r="A417" s="677"/>
      <c r="B417" s="658" t="s">
        <v>261</v>
      </c>
      <c r="D417" s="678"/>
      <c r="E417" s="678"/>
      <c r="F417" s="678"/>
      <c r="G417" s="678"/>
      <c r="H417" s="678"/>
      <c r="I417" s="678"/>
      <c r="J417" s="678"/>
      <c r="K417" s="678"/>
      <c r="L417" s="678"/>
      <c r="M417" s="678"/>
      <c r="N417" s="678"/>
      <c r="O417" s="678"/>
      <c r="P417" s="678"/>
      <c r="Q417" s="678"/>
      <c r="R417" s="678"/>
      <c r="S417" s="678"/>
      <c r="T417" s="678"/>
      <c r="U417" s="678"/>
      <c r="V417" s="678"/>
      <c r="W417" s="678"/>
      <c r="X417" s="402"/>
      <c r="Y417" s="402"/>
      <c r="Z417" s="402"/>
      <c r="AA417" s="678"/>
      <c r="AB417" s="402"/>
      <c r="AC417" s="402"/>
      <c r="AD417" s="402"/>
      <c r="AE417" s="167"/>
      <c r="AG417" s="262"/>
      <c r="AI417" s="136"/>
      <c r="AJ417" s="315">
        <f t="shared" ref="AJ417" si="2512">+AJ416/AF416-1</f>
        <v>1.0794780545670228</v>
      </c>
      <c r="AK417" s="315">
        <f t="shared" ref="AK417" si="2513">+AK416/AG416-1</f>
        <v>1.2914661939731564E-2</v>
      </c>
      <c r="AL417" s="315">
        <f t="shared" ref="AL417" si="2514">+AL416/AH416-1</f>
        <v>0.33203194321206753</v>
      </c>
      <c r="AN417" s="315">
        <f t="shared" ref="AN417" si="2515">+AN416/AJ416-1</f>
        <v>5.9897318881916739E-2</v>
      </c>
      <c r="AO417" s="315">
        <f t="shared" ref="AO417" si="2516">+AO416/AK416-1</f>
        <v>0.19350000000000001</v>
      </c>
      <c r="AP417" s="315">
        <f t="shared" ref="AP417" si="2517">+AP416/AL416-1</f>
        <v>0.1310951239008793</v>
      </c>
      <c r="AR417" s="659">
        <f>Scenarios!AF31</f>
        <v>0.12</v>
      </c>
      <c r="AS417" s="659">
        <f>Scenarios!AG31</f>
        <v>0.05</v>
      </c>
      <c r="AT417" s="679">
        <f>AT416/AP416-1</f>
        <v>8.0638398115429943E-2</v>
      </c>
      <c r="AV417" s="659">
        <f>Scenarios!AJ31</f>
        <v>0.05</v>
      </c>
      <c r="AW417" s="659">
        <f>Scenarios!AK31</f>
        <v>0.05</v>
      </c>
      <c r="AX417" s="679">
        <f>AX416/AT416-1</f>
        <v>5.0000000000000044E-2</v>
      </c>
      <c r="AZ417" s="659">
        <f>Scenarios!AN31</f>
        <v>0.05</v>
      </c>
      <c r="BA417" s="659">
        <f>Scenarios!AO31</f>
        <v>0.05</v>
      </c>
      <c r="BB417" s="679">
        <f>BB416/AX416-1</f>
        <v>5.0000000000000266E-2</v>
      </c>
      <c r="BD417" s="659">
        <f>Scenarios!AR31</f>
        <v>0.05</v>
      </c>
      <c r="BE417" s="659">
        <f>Scenarios!AS31</f>
        <v>0.05</v>
      </c>
      <c r="BF417" s="679">
        <f>BF416/BB416-1</f>
        <v>5.0000000000000044E-2</v>
      </c>
      <c r="BH417" s="659">
        <f>Scenarios!AV31</f>
        <v>0.05</v>
      </c>
      <c r="BI417" s="659">
        <f>Scenarios!AW31</f>
        <v>0.05</v>
      </c>
      <c r="BJ417" s="679">
        <f>BJ416/BF416-1</f>
        <v>5.0000000000000044E-2</v>
      </c>
      <c r="BL417" s="659">
        <f>Scenarios!AZ31</f>
        <v>0.05</v>
      </c>
      <c r="BM417" s="659">
        <f>Scenarios!BA31</f>
        <v>0.05</v>
      </c>
      <c r="BN417" s="679">
        <f>BN416/BJ416-1</f>
        <v>4.9999999999999822E-2</v>
      </c>
      <c r="BP417" s="659">
        <f>Scenarios!BD31</f>
        <v>0.05</v>
      </c>
      <c r="BQ417" s="659">
        <f>Scenarios!BE31</f>
        <v>0.05</v>
      </c>
      <c r="BR417" s="679">
        <f>BR416/BN416-1</f>
        <v>5.0000000000000044E-2</v>
      </c>
      <c r="BT417" s="659">
        <f>Scenarios!BH31</f>
        <v>0.05</v>
      </c>
      <c r="BU417" s="659">
        <f>Scenarios!BI31</f>
        <v>0.05</v>
      </c>
      <c r="BV417" s="679">
        <f>BV416/BR416-1</f>
        <v>5.0000000000000044E-2</v>
      </c>
      <c r="BX417" s="659">
        <f>Scenarios!BL31</f>
        <v>0.05</v>
      </c>
      <c r="BY417" s="659">
        <f>Scenarios!BM31</f>
        <v>0.05</v>
      </c>
      <c r="BZ417" s="679">
        <f>BZ416/BV416-1</f>
        <v>5.0000000000000266E-2</v>
      </c>
    </row>
    <row r="418" spans="1:78">
      <c r="B418" s="150" t="s">
        <v>178</v>
      </c>
      <c r="D418" s="399"/>
      <c r="E418" s="222"/>
      <c r="F418" s="399"/>
      <c r="G418" s="400"/>
      <c r="H418" s="399"/>
      <c r="I418" s="222"/>
      <c r="J418" s="399"/>
      <c r="K418" s="400"/>
      <c r="L418" s="399"/>
      <c r="M418" s="222"/>
      <c r="N418" s="399"/>
      <c r="O418" s="400"/>
      <c r="P418" s="399"/>
      <c r="Q418" s="222"/>
      <c r="R418" s="399"/>
      <c r="S418" s="400"/>
      <c r="T418" s="399"/>
      <c r="U418" s="222"/>
      <c r="V418" s="399"/>
      <c r="W418" s="400"/>
      <c r="X418" s="399"/>
      <c r="Y418" s="222"/>
      <c r="Z418" s="399"/>
      <c r="AA418" s="400"/>
      <c r="AB418" s="399"/>
      <c r="AC418" s="222"/>
      <c r="AD418" s="222"/>
      <c r="AE418" s="656"/>
      <c r="AF418" s="264">
        <v>0.2</v>
      </c>
      <c r="AG418" s="262">
        <f t="shared" ref="AG418:AG420" si="2518">+AH418-AF418</f>
        <v>0.60000000000000009</v>
      </c>
      <c r="AH418" s="264">
        <v>0.8</v>
      </c>
      <c r="AI418" s="136"/>
      <c r="AJ418" s="264">
        <v>0.7</v>
      </c>
      <c r="AK418" s="262">
        <f t="shared" ref="AK418:AK420" si="2519">+AL418-AJ418</f>
        <v>0.54100000000000015</v>
      </c>
      <c r="AL418" s="264">
        <f>1.3-0.059</f>
        <v>1.2410000000000001</v>
      </c>
      <c r="AN418" s="168">
        <v>0</v>
      </c>
      <c r="AO418" s="262">
        <f t="shared" ref="AO418:AO420" si="2520">+AP418-AN418</f>
        <v>0</v>
      </c>
      <c r="AP418" s="912">
        <v>0</v>
      </c>
      <c r="AR418" s="321">
        <f t="shared" ref="AR418:AR420" si="2521">+AN418</f>
        <v>0</v>
      </c>
      <c r="AS418" s="321">
        <f t="shared" ref="AS418:AS420" si="2522">AR418</f>
        <v>0</v>
      </c>
      <c r="AT418" s="136">
        <f t="shared" ref="AT418:AT420" si="2523">+AR418+AS418</f>
        <v>0</v>
      </c>
      <c r="AV418" s="321">
        <f t="shared" ref="AV418:AV420" si="2524">+AR418</f>
        <v>0</v>
      </c>
      <c r="AW418" s="321">
        <f t="shared" ref="AW418:AW420" si="2525">AV418</f>
        <v>0</v>
      </c>
      <c r="AX418" s="136">
        <f t="shared" ref="AX418:AX420" si="2526">+AV418+AW418</f>
        <v>0</v>
      </c>
      <c r="AZ418" s="321">
        <f t="shared" ref="AZ418:AZ420" si="2527">+AV418</f>
        <v>0</v>
      </c>
      <c r="BA418" s="321">
        <f t="shared" ref="BA418:BA420" si="2528">AZ418</f>
        <v>0</v>
      </c>
      <c r="BB418" s="136">
        <f t="shared" ref="BB418:BB420" si="2529">+AZ418+BA418</f>
        <v>0</v>
      </c>
      <c r="BD418" s="321">
        <f t="shared" ref="BD418:BD420" si="2530">+AZ418</f>
        <v>0</v>
      </c>
      <c r="BE418" s="321">
        <f t="shared" ref="BE418:BE420" si="2531">BD418</f>
        <v>0</v>
      </c>
      <c r="BF418" s="136">
        <f t="shared" ref="BF418:BF420" si="2532">+BD418+BE418</f>
        <v>0</v>
      </c>
      <c r="BH418" s="321">
        <f t="shared" ref="BH418:BH420" si="2533">+BD418</f>
        <v>0</v>
      </c>
      <c r="BI418" s="321">
        <f t="shared" ref="BI418:BI420" si="2534">BH418</f>
        <v>0</v>
      </c>
      <c r="BJ418" s="136">
        <f t="shared" ref="BJ418:BJ420" si="2535">+BH418+BI418</f>
        <v>0</v>
      </c>
      <c r="BL418" s="321">
        <f t="shared" ref="BL418:BL420" si="2536">+BH418</f>
        <v>0</v>
      </c>
      <c r="BM418" s="321">
        <f t="shared" ref="BM418:BM420" si="2537">BL418</f>
        <v>0</v>
      </c>
      <c r="BN418" s="136">
        <f t="shared" ref="BN418:BN420" si="2538">+BL418+BM418</f>
        <v>0</v>
      </c>
      <c r="BP418" s="321">
        <f t="shared" ref="BP418:BP420" si="2539">+BL418</f>
        <v>0</v>
      </c>
      <c r="BQ418" s="321">
        <f t="shared" ref="BQ418:BQ420" si="2540">BP418</f>
        <v>0</v>
      </c>
      <c r="BR418" s="136">
        <f t="shared" ref="BR418:BR420" si="2541">+BP418+BQ418</f>
        <v>0</v>
      </c>
      <c r="BT418" s="321">
        <f t="shared" ref="BT418:BT420" si="2542">+BP418</f>
        <v>0</v>
      </c>
      <c r="BU418" s="321">
        <f t="shared" ref="BU418:BU420" si="2543">BT418</f>
        <v>0</v>
      </c>
      <c r="BV418" s="136">
        <f t="shared" ref="BV418:BV420" si="2544">+BT418+BU418</f>
        <v>0</v>
      </c>
      <c r="BX418" s="321">
        <f t="shared" ref="BX418:BX420" si="2545">+BT418</f>
        <v>0</v>
      </c>
      <c r="BY418" s="321">
        <f t="shared" ref="BY418:BY420" si="2546">BX418</f>
        <v>0</v>
      </c>
      <c r="BZ418" s="136">
        <f t="shared" ref="BZ418:BZ420" si="2547">+BX418+BY418</f>
        <v>0</v>
      </c>
    </row>
    <row r="419" spans="1:78" ht="14.4" customHeight="1">
      <c r="B419" s="150" t="s">
        <v>179</v>
      </c>
      <c r="D419" s="399"/>
      <c r="E419" s="222"/>
      <c r="F419" s="399"/>
      <c r="G419" s="400"/>
      <c r="H419" s="399"/>
      <c r="I419" s="222"/>
      <c r="J419" s="399"/>
      <c r="K419" s="400"/>
      <c r="L419" s="399"/>
      <c r="M419" s="222"/>
      <c r="N419" s="399"/>
      <c r="O419" s="400"/>
      <c r="P419" s="399"/>
      <c r="Q419" s="222"/>
      <c r="R419" s="399"/>
      <c r="S419" s="400"/>
      <c r="T419" s="399"/>
      <c r="U419" s="222"/>
      <c r="V419" s="399"/>
      <c r="W419" s="400"/>
      <c r="X419" s="399"/>
      <c r="Y419" s="222"/>
      <c r="Z419" s="399"/>
      <c r="AA419" s="400"/>
      <c r="AB419" s="399"/>
      <c r="AC419" s="222"/>
      <c r="AD419" s="222"/>
      <c r="AE419" s="654" t="s">
        <v>600</v>
      </c>
      <c r="AF419" s="264">
        <v>2.8</v>
      </c>
      <c r="AG419" s="262">
        <f t="shared" si="2518"/>
        <v>6.8</v>
      </c>
      <c r="AH419" s="264">
        <v>9.6</v>
      </c>
      <c r="AI419" s="136"/>
      <c r="AJ419" s="264">
        <v>8.6</v>
      </c>
      <c r="AK419" s="262">
        <f t="shared" si="2519"/>
        <v>7.9</v>
      </c>
      <c r="AL419" s="264">
        <v>16.5</v>
      </c>
      <c r="AN419" s="168">
        <v>8.3000000000000007</v>
      </c>
      <c r="AO419" s="262">
        <f t="shared" si="2520"/>
        <v>8.0999999999999979</v>
      </c>
      <c r="AP419" s="912">
        <v>16.399999999999999</v>
      </c>
      <c r="AR419" s="321">
        <f t="shared" si="2521"/>
        <v>8.3000000000000007</v>
      </c>
      <c r="AS419" s="321">
        <f t="shared" si="2522"/>
        <v>8.3000000000000007</v>
      </c>
      <c r="AT419" s="136">
        <f t="shared" si="2523"/>
        <v>16.600000000000001</v>
      </c>
      <c r="AV419" s="321">
        <f t="shared" si="2524"/>
        <v>8.3000000000000007</v>
      </c>
      <c r="AW419" s="321">
        <f t="shared" si="2525"/>
        <v>8.3000000000000007</v>
      </c>
      <c r="AX419" s="136">
        <f t="shared" si="2526"/>
        <v>16.600000000000001</v>
      </c>
      <c r="AZ419" s="321">
        <f t="shared" si="2527"/>
        <v>8.3000000000000007</v>
      </c>
      <c r="BA419" s="321">
        <f t="shared" si="2528"/>
        <v>8.3000000000000007</v>
      </c>
      <c r="BB419" s="136">
        <f t="shared" si="2529"/>
        <v>16.600000000000001</v>
      </c>
      <c r="BD419" s="321">
        <f t="shared" si="2530"/>
        <v>8.3000000000000007</v>
      </c>
      <c r="BE419" s="321">
        <f t="shared" si="2531"/>
        <v>8.3000000000000007</v>
      </c>
      <c r="BF419" s="136">
        <f t="shared" si="2532"/>
        <v>16.600000000000001</v>
      </c>
      <c r="BH419" s="321">
        <f t="shared" si="2533"/>
        <v>8.3000000000000007</v>
      </c>
      <c r="BI419" s="321">
        <f t="shared" si="2534"/>
        <v>8.3000000000000007</v>
      </c>
      <c r="BJ419" s="136">
        <f t="shared" si="2535"/>
        <v>16.600000000000001</v>
      </c>
      <c r="BL419" s="321">
        <f t="shared" si="2536"/>
        <v>8.3000000000000007</v>
      </c>
      <c r="BM419" s="321">
        <f t="shared" si="2537"/>
        <v>8.3000000000000007</v>
      </c>
      <c r="BN419" s="136">
        <f t="shared" si="2538"/>
        <v>16.600000000000001</v>
      </c>
      <c r="BP419" s="321">
        <f t="shared" si="2539"/>
        <v>8.3000000000000007</v>
      </c>
      <c r="BQ419" s="321">
        <f t="shared" si="2540"/>
        <v>8.3000000000000007</v>
      </c>
      <c r="BR419" s="136">
        <f t="shared" si="2541"/>
        <v>16.600000000000001</v>
      </c>
      <c r="BT419" s="321">
        <f t="shared" si="2542"/>
        <v>8.3000000000000007</v>
      </c>
      <c r="BU419" s="321">
        <f t="shared" si="2543"/>
        <v>8.3000000000000007</v>
      </c>
      <c r="BV419" s="136">
        <f t="shared" si="2544"/>
        <v>16.600000000000001</v>
      </c>
      <c r="BX419" s="321">
        <f t="shared" si="2545"/>
        <v>8.3000000000000007</v>
      </c>
      <c r="BY419" s="321">
        <f t="shared" si="2546"/>
        <v>8.3000000000000007</v>
      </c>
      <c r="BZ419" s="136">
        <f t="shared" si="2547"/>
        <v>16.600000000000001</v>
      </c>
    </row>
    <row r="420" spans="1:78">
      <c r="B420" s="150" t="s">
        <v>141</v>
      </c>
      <c r="D420" s="399"/>
      <c r="E420" s="222"/>
      <c r="F420" s="399"/>
      <c r="G420" s="400"/>
      <c r="H420" s="399"/>
      <c r="I420" s="222"/>
      <c r="J420" s="399"/>
      <c r="K420" s="400"/>
      <c r="L420" s="399"/>
      <c r="M420" s="222"/>
      <c r="N420" s="399"/>
      <c r="O420" s="400"/>
      <c r="P420" s="399"/>
      <c r="Q420" s="222"/>
      <c r="R420" s="399"/>
      <c r="S420" s="400"/>
      <c r="T420" s="399"/>
      <c r="U420" s="222"/>
      <c r="V420" s="399"/>
      <c r="W420" s="400"/>
      <c r="X420" s="399"/>
      <c r="Y420" s="222"/>
      <c r="Z420" s="399"/>
      <c r="AA420" s="400"/>
      <c r="AB420" s="399"/>
      <c r="AC420" s="222"/>
      <c r="AD420" s="222"/>
      <c r="AF420" s="264">
        <v>3.5</v>
      </c>
      <c r="AG420" s="262">
        <f t="shared" si="2518"/>
        <v>6</v>
      </c>
      <c r="AH420" s="264">
        <v>9.5</v>
      </c>
      <c r="AI420" s="136"/>
      <c r="AJ420" s="264">
        <v>7.8</v>
      </c>
      <c r="AK420" s="262">
        <f t="shared" si="2519"/>
        <v>10.199999999999999</v>
      </c>
      <c r="AL420" s="264">
        <v>18</v>
      </c>
      <c r="AM420" s="841"/>
      <c r="AN420" s="168">
        <v>10.5</v>
      </c>
      <c r="AO420" s="262">
        <f t="shared" si="2520"/>
        <v>14.5</v>
      </c>
      <c r="AP420" s="912">
        <v>25</v>
      </c>
      <c r="AR420" s="321">
        <f t="shared" si="2521"/>
        <v>10.5</v>
      </c>
      <c r="AS420" s="321">
        <f t="shared" si="2522"/>
        <v>10.5</v>
      </c>
      <c r="AT420" s="136">
        <f t="shared" si="2523"/>
        <v>21</v>
      </c>
      <c r="AV420" s="321">
        <f t="shared" si="2524"/>
        <v>10.5</v>
      </c>
      <c r="AW420" s="321">
        <f t="shared" si="2525"/>
        <v>10.5</v>
      </c>
      <c r="AX420" s="136">
        <f t="shared" si="2526"/>
        <v>21</v>
      </c>
      <c r="AZ420" s="321">
        <f t="shared" si="2527"/>
        <v>10.5</v>
      </c>
      <c r="BA420" s="321">
        <f t="shared" si="2528"/>
        <v>10.5</v>
      </c>
      <c r="BB420" s="136">
        <f t="shared" si="2529"/>
        <v>21</v>
      </c>
      <c r="BD420" s="321">
        <f t="shared" si="2530"/>
        <v>10.5</v>
      </c>
      <c r="BE420" s="321">
        <f t="shared" si="2531"/>
        <v>10.5</v>
      </c>
      <c r="BF420" s="136">
        <f t="shared" si="2532"/>
        <v>21</v>
      </c>
      <c r="BH420" s="321">
        <f t="shared" si="2533"/>
        <v>10.5</v>
      </c>
      <c r="BI420" s="321">
        <f t="shared" si="2534"/>
        <v>10.5</v>
      </c>
      <c r="BJ420" s="136">
        <f t="shared" si="2535"/>
        <v>21</v>
      </c>
      <c r="BL420" s="321">
        <f t="shared" si="2536"/>
        <v>10.5</v>
      </c>
      <c r="BM420" s="321">
        <f t="shared" si="2537"/>
        <v>10.5</v>
      </c>
      <c r="BN420" s="136">
        <f t="shared" si="2538"/>
        <v>21</v>
      </c>
      <c r="BP420" s="321">
        <f t="shared" si="2539"/>
        <v>10.5</v>
      </c>
      <c r="BQ420" s="321">
        <f t="shared" si="2540"/>
        <v>10.5</v>
      </c>
      <c r="BR420" s="136">
        <f t="shared" si="2541"/>
        <v>21</v>
      </c>
      <c r="BT420" s="321">
        <f t="shared" si="2542"/>
        <v>10.5</v>
      </c>
      <c r="BU420" s="321">
        <f t="shared" si="2543"/>
        <v>10.5</v>
      </c>
      <c r="BV420" s="136">
        <f t="shared" si="2544"/>
        <v>21</v>
      </c>
      <c r="BX420" s="321">
        <f t="shared" si="2545"/>
        <v>10.5</v>
      </c>
      <c r="BY420" s="321">
        <f t="shared" si="2546"/>
        <v>10.5</v>
      </c>
      <c r="BZ420" s="136">
        <f t="shared" si="2547"/>
        <v>21</v>
      </c>
    </row>
    <row r="421" spans="1:78" s="135" customFormat="1">
      <c r="A421" s="253"/>
      <c r="B421" s="151" t="s">
        <v>156</v>
      </c>
      <c r="D421" s="317"/>
      <c r="E421" s="317"/>
      <c r="F421" s="317"/>
      <c r="G421" s="400"/>
      <c r="H421" s="317"/>
      <c r="I421" s="317"/>
      <c r="J421" s="317"/>
      <c r="K421" s="400"/>
      <c r="L421" s="317"/>
      <c r="M421" s="317"/>
      <c r="N421" s="317"/>
      <c r="O421" s="400"/>
      <c r="P421" s="317"/>
      <c r="Q421" s="317"/>
      <c r="R421" s="317"/>
      <c r="S421" s="400"/>
      <c r="T421" s="317"/>
      <c r="U421" s="317"/>
      <c r="V421" s="317"/>
      <c r="W421" s="317"/>
      <c r="X421" s="317"/>
      <c r="Y421" s="317"/>
      <c r="Z421" s="317"/>
      <c r="AA421" s="317"/>
      <c r="AB421" s="317"/>
      <c r="AC421" s="317"/>
      <c r="AD421" s="317"/>
      <c r="AE421" s="313">
        <v>196.3</v>
      </c>
      <c r="AF421" s="343">
        <f>90.8+90*0</f>
        <v>90.8</v>
      </c>
      <c r="AG421" s="232">
        <f>+AG416+AG418+AG419+AG420</f>
        <v>210.85</v>
      </c>
      <c r="AH421" s="232">
        <f>+AH416+AH418+AH419+AH420</f>
        <v>301.65000000000003</v>
      </c>
      <c r="AI421" s="136"/>
      <c r="AJ421" s="232">
        <f>+AJ416+AJ418+AJ419+AJ420</f>
        <v>192.4</v>
      </c>
      <c r="AK421" s="232">
        <f>+AK416+AK418+AK419+AK420</f>
        <v>218.64099999999999</v>
      </c>
      <c r="AL421" s="323">
        <f>+AL416+AL418+AL419+AL420</f>
        <v>411.041</v>
      </c>
      <c r="AM421" s="133"/>
      <c r="AN421" s="232">
        <f>+AN416+AN418+AN419+AN420</f>
        <v>204.60000000000002</v>
      </c>
      <c r="AO421" s="232">
        <f>+AO416+AO418+AO419+AO420</f>
        <v>261.29999999999995</v>
      </c>
      <c r="AP421" s="323">
        <f>+AP416+AP418+AP419+AP420</f>
        <v>465.9</v>
      </c>
      <c r="AQ421" s="133"/>
      <c r="AR421" s="232">
        <f t="shared" ref="AR421:AT421" si="2548">+AR416+AR418+AR419+AR420</f>
        <v>226.89600000000004</v>
      </c>
      <c r="AS421" s="232">
        <f t="shared" si="2548"/>
        <v>269.435</v>
      </c>
      <c r="AT421" s="232">
        <f t="shared" si="2548"/>
        <v>496.33100000000002</v>
      </c>
      <c r="AU421" s="133"/>
      <c r="AV421" s="232">
        <f t="shared" ref="AV421:AX421" si="2549">+AV416+AV418+AV419+AV420</f>
        <v>237.30080000000007</v>
      </c>
      <c r="AW421" s="232">
        <f t="shared" si="2549"/>
        <v>281.96674999999999</v>
      </c>
      <c r="AX421" s="232">
        <f t="shared" si="2549"/>
        <v>519.26755000000003</v>
      </c>
      <c r="AY421" s="133"/>
      <c r="AZ421" s="232">
        <f t="shared" ref="AZ421:BB421" si="2550">+AZ416+AZ418+AZ419+AZ420</f>
        <v>248.22584000000009</v>
      </c>
      <c r="BA421" s="232">
        <f t="shared" si="2550"/>
        <v>295.12508750000001</v>
      </c>
      <c r="BB421" s="232">
        <f t="shared" si="2550"/>
        <v>543.35092750000013</v>
      </c>
      <c r="BC421" s="133"/>
      <c r="BD421" s="232">
        <f t="shared" ref="BD421:BF421" si="2551">+BD416+BD418+BD419+BD420</f>
        <v>259.69713200000012</v>
      </c>
      <c r="BE421" s="232">
        <f t="shared" si="2551"/>
        <v>308.94134187500003</v>
      </c>
      <c r="BF421" s="232">
        <f t="shared" si="2551"/>
        <v>568.63847387500016</v>
      </c>
      <c r="BG421" s="133"/>
      <c r="BH421" s="232">
        <f t="shared" ref="BH421:BJ421" si="2552">+BH416+BH418+BH419+BH420</f>
        <v>271.74198860000007</v>
      </c>
      <c r="BI421" s="232">
        <f t="shared" si="2552"/>
        <v>323.44840896875007</v>
      </c>
      <c r="BJ421" s="232">
        <f t="shared" si="2552"/>
        <v>595.1903975687502</v>
      </c>
      <c r="BK421" s="133"/>
      <c r="BL421" s="232">
        <f t="shared" ref="BL421:BN421" si="2553">+BL416+BL418+BL419+BL420</f>
        <v>284.3890880300001</v>
      </c>
      <c r="BM421" s="232">
        <f t="shared" si="2553"/>
        <v>338.68082941718757</v>
      </c>
      <c r="BN421" s="232">
        <f t="shared" si="2553"/>
        <v>623.06991744718766</v>
      </c>
      <c r="BO421" s="133"/>
      <c r="BP421" s="232">
        <f t="shared" ref="BP421:BR421" si="2554">+BP416+BP418+BP419+BP420</f>
        <v>297.6685424315001</v>
      </c>
      <c r="BQ421" s="232">
        <f t="shared" si="2554"/>
        <v>354.67487088804694</v>
      </c>
      <c r="BR421" s="232">
        <f t="shared" si="2554"/>
        <v>652.34341331954704</v>
      </c>
      <c r="BS421" s="133"/>
      <c r="BT421" s="232">
        <f t="shared" ref="BT421:BV421" si="2555">+BT416+BT418+BT419+BT420</f>
        <v>311.61196955307514</v>
      </c>
      <c r="BU421" s="232">
        <f t="shared" si="2555"/>
        <v>371.46861443244933</v>
      </c>
      <c r="BV421" s="232">
        <f t="shared" si="2555"/>
        <v>683.08058398552441</v>
      </c>
      <c r="BW421" s="133"/>
      <c r="BX421" s="232">
        <f t="shared" ref="BX421:BZ421" si="2556">+BX416+BX418+BX419+BX420</f>
        <v>326.25256803072892</v>
      </c>
      <c r="BY421" s="232">
        <f t="shared" si="2556"/>
        <v>389.10204515407179</v>
      </c>
      <c r="BZ421" s="232">
        <f t="shared" si="2556"/>
        <v>715.35461318480077</v>
      </c>
    </row>
    <row r="422" spans="1:78" s="140" customFormat="1">
      <c r="A422" s="149"/>
      <c r="B422" s="314" t="s">
        <v>249</v>
      </c>
      <c r="C422" s="171"/>
      <c r="D422" s="403"/>
      <c r="E422" s="317"/>
      <c r="F422" s="317"/>
      <c r="G422" s="404"/>
      <c r="H422" s="403"/>
      <c r="I422" s="317"/>
      <c r="J422" s="317"/>
      <c r="K422" s="404"/>
      <c r="L422" s="403"/>
      <c r="M422" s="317"/>
      <c r="N422" s="317"/>
      <c r="O422" s="404"/>
      <c r="P422" s="403"/>
      <c r="Q422" s="317"/>
      <c r="R422" s="317"/>
      <c r="S422" s="404"/>
      <c r="T422" s="403"/>
      <c r="U422" s="317"/>
      <c r="V422" s="317"/>
      <c r="W422" s="404"/>
      <c r="X422" s="402"/>
      <c r="Y422" s="402"/>
      <c r="Z422" s="402"/>
      <c r="AA422" s="404"/>
      <c r="AB422" s="402"/>
      <c r="AC422" s="402"/>
      <c r="AD422" s="402"/>
      <c r="AF422" s="315"/>
      <c r="AG422" s="315"/>
      <c r="AH422" s="315">
        <f>+AH421/0.75</f>
        <v>402.20000000000005</v>
      </c>
      <c r="AJ422" s="315">
        <f t="shared" ref="AJ422" si="2557">+AJ421/AF421-1</f>
        <v>1.1189427312775333</v>
      </c>
      <c r="AK422" s="315">
        <f t="shared" ref="AK422:AL422" si="2558">+AK421/AG421-1</f>
        <v>3.6950438700497967E-2</v>
      </c>
      <c r="AL422" s="315">
        <f t="shared" si="2558"/>
        <v>0.36264213492458119</v>
      </c>
      <c r="AN422" s="315">
        <f t="shared" ref="AN422" si="2559">+AN421/AJ421-1</f>
        <v>6.3409563409563496E-2</v>
      </c>
      <c r="AO422" s="315">
        <f t="shared" ref="AO422" si="2560">+AO421/AK421-1</f>
        <v>0.19510979185056776</v>
      </c>
      <c r="AP422" s="315">
        <f t="shared" ref="AP422" si="2561">+AP421/AL421-1</f>
        <v>0.13346357176048129</v>
      </c>
      <c r="AR422" s="315">
        <f t="shared" ref="AR422:AT422" si="2562">+AR421/AN421-1</f>
        <v>0.10897360703812331</v>
      </c>
      <c r="AS422" s="315">
        <f t="shared" si="2562"/>
        <v>3.113279755070808E-2</v>
      </c>
      <c r="AT422" s="315">
        <f t="shared" si="2562"/>
        <v>6.5316591543249647E-2</v>
      </c>
      <c r="AV422" s="315">
        <f t="shared" ref="AV422:AX422" si="2563">+AV421/AR421-1</f>
        <v>4.5857132783301724E-2</v>
      </c>
      <c r="AW422" s="315">
        <f t="shared" si="2563"/>
        <v>4.6511217918978609E-2</v>
      </c>
      <c r="AX422" s="315">
        <f t="shared" si="2563"/>
        <v>4.621220516147484E-2</v>
      </c>
      <c r="AZ422" s="315">
        <f t="shared" ref="AZ422:BB422" si="2564">+AZ421/AV421-1</f>
        <v>4.6038782844390003E-2</v>
      </c>
      <c r="BA422" s="315">
        <f t="shared" si="2564"/>
        <v>4.6666273594315744E-2</v>
      </c>
      <c r="BB422" s="315">
        <f t="shared" si="2564"/>
        <v>4.6379515723638187E-2</v>
      </c>
      <c r="BD422" s="315">
        <f t="shared" ref="BD422:BF422" si="2565">+BD421/AZ421-1</f>
        <v>4.6213125917914155E-2</v>
      </c>
      <c r="BE422" s="315">
        <f t="shared" si="2565"/>
        <v>4.6814909881221167E-2</v>
      </c>
      <c r="BF422" s="315">
        <f t="shared" si="2565"/>
        <v>4.653998934233905E-2</v>
      </c>
      <c r="BH422" s="315">
        <f t="shared" ref="BH422:BJ422" si="2566">+BH421/BD421-1</f>
        <v>4.6380398994933625E-2</v>
      </c>
      <c r="BI422" s="315">
        <f t="shared" si="2566"/>
        <v>4.6957351210119791E-2</v>
      </c>
      <c r="BJ422" s="315">
        <f t="shared" si="2566"/>
        <v>4.6693857193325972E-2</v>
      </c>
      <c r="BL422" s="315">
        <f t="shared" ref="BL422:BN422" si="2567">+BL421/BH421-1</f>
        <v>4.6540836383649031E-2</v>
      </c>
      <c r="BM422" s="315">
        <f t="shared" si="2567"/>
        <v>4.7093817827093432E-2</v>
      </c>
      <c r="BN422" s="315">
        <f t="shared" si="2567"/>
        <v>4.6841346890541979E-2</v>
      </c>
      <c r="BP422" s="315">
        <f t="shared" ref="BP422:BR422" si="2568">+BP421/BL421-1</f>
        <v>4.669466924166632E-2</v>
      </c>
      <c r="BQ422" s="315">
        <f t="shared" si="2568"/>
        <v>4.7224525516789351E-2</v>
      </c>
      <c r="BR422" s="315">
        <f t="shared" si="2568"/>
        <v>4.6982682123857478E-2</v>
      </c>
      <c r="BT422" s="315">
        <f t="shared" ref="BT422" si="2569">+BT421/BP421-1</f>
        <v>4.6842125162700698E-2</v>
      </c>
      <c r="BU422" s="315">
        <f t="shared" ref="BU422" si="2570">+BU421/BQ421-1</f>
        <v>4.7349685367766847E-2</v>
      </c>
      <c r="BV422" s="315">
        <f t="shared" ref="BV422" si="2571">+BV421/BR421-1</f>
        <v>4.7118082344951739E-2</v>
      </c>
      <c r="BX422" s="315">
        <f t="shared" ref="BX422" si="2572">+BX421/BT421-1</f>
        <v>4.6983427814572876E-2</v>
      </c>
      <c r="BY422" s="315">
        <f t="shared" ref="BY422" si="2573">+BY421/BU421-1</f>
        <v>4.7469503577210137E-2</v>
      </c>
      <c r="BZ422" s="315">
        <f t="shared" ref="BZ422" si="2574">+BZ421/BV421-1</f>
        <v>4.7247762498194845E-2</v>
      </c>
    </row>
    <row r="423" spans="1:78" s="135" customFormat="1">
      <c r="A423" s="134"/>
      <c r="B423" s="151"/>
      <c r="D423" s="317"/>
      <c r="E423" s="317"/>
      <c r="F423" s="317"/>
      <c r="G423" s="400"/>
      <c r="H423" s="317"/>
      <c r="I423" s="317"/>
      <c r="J423" s="317"/>
      <c r="K423" s="400"/>
      <c r="L423" s="317"/>
      <c r="M423" s="317"/>
      <c r="N423" s="317"/>
      <c r="O423" s="400"/>
      <c r="P423" s="317"/>
      <c r="Q423" s="317"/>
      <c r="R423" s="317"/>
      <c r="S423" s="400"/>
      <c r="T423" s="317"/>
      <c r="U423" s="317"/>
      <c r="V423" s="317"/>
      <c r="W423" s="400"/>
      <c r="X423" s="317"/>
      <c r="Y423" s="317"/>
      <c r="Z423" s="317"/>
      <c r="AA423" s="400"/>
      <c r="AB423" s="317"/>
      <c r="AC423" s="317"/>
      <c r="AD423" s="317"/>
      <c r="AF423" s="232"/>
      <c r="AG423" s="232"/>
      <c r="AH423" s="657"/>
      <c r="AI423" s="133"/>
      <c r="AJ423" s="232"/>
      <c r="AK423" s="232"/>
      <c r="AL423" s="843"/>
      <c r="AM423" s="133"/>
      <c r="AN423" s="220"/>
      <c r="AO423" s="232"/>
      <c r="AP423" s="843"/>
      <c r="AQ423" s="133"/>
      <c r="AR423" s="232"/>
      <c r="AS423" s="232"/>
      <c r="AT423" s="232"/>
      <c r="AU423" s="133"/>
      <c r="AV423" s="232"/>
      <c r="AW423" s="232"/>
      <c r="AX423" s="232"/>
      <c r="AY423" s="133"/>
      <c r="AZ423" s="232"/>
      <c r="BA423" s="232"/>
      <c r="BB423" s="232"/>
      <c r="BC423" s="133"/>
      <c r="BD423" s="232"/>
      <c r="BE423" s="232"/>
      <c r="BF423" s="232"/>
      <c r="BG423" s="133"/>
      <c r="BH423" s="232"/>
      <c r="BI423" s="232"/>
      <c r="BJ423" s="232"/>
      <c r="BK423" s="133"/>
      <c r="BL423" s="232"/>
      <c r="BM423" s="232"/>
      <c r="BN423" s="232"/>
      <c r="BO423" s="133"/>
      <c r="BP423" s="232"/>
      <c r="BQ423" s="232"/>
      <c r="BR423" s="232"/>
      <c r="BS423" s="133"/>
      <c r="BT423" s="232"/>
      <c r="BU423" s="232"/>
      <c r="BV423" s="232"/>
      <c r="BW423" s="133"/>
      <c r="BX423" s="232"/>
      <c r="BY423" s="232"/>
      <c r="BZ423" s="232"/>
    </row>
    <row r="424" spans="1:78">
      <c r="B424" s="150" t="s">
        <v>1</v>
      </c>
      <c r="D424" s="399"/>
      <c r="E424" s="222"/>
      <c r="F424" s="399"/>
      <c r="G424" s="400"/>
      <c r="H424" s="399"/>
      <c r="I424" s="222"/>
      <c r="J424" s="399"/>
      <c r="K424" s="400"/>
      <c r="L424" s="399"/>
      <c r="M424" s="222"/>
      <c r="N424" s="399"/>
      <c r="O424" s="400"/>
      <c r="P424" s="399"/>
      <c r="Q424" s="222"/>
      <c r="R424" s="399"/>
      <c r="S424" s="400"/>
      <c r="T424" s="399"/>
      <c r="U424" s="399"/>
      <c r="V424" s="399"/>
      <c r="W424" s="399"/>
      <c r="X424" s="399"/>
      <c r="Y424" s="399"/>
      <c r="Z424" s="399"/>
      <c r="AA424" s="399"/>
      <c r="AB424" s="399"/>
      <c r="AC424" s="399"/>
      <c r="AD424" s="399"/>
      <c r="AF424" s="264">
        <v>-72.484999999999999</v>
      </c>
      <c r="AG424" s="262">
        <f t="shared" ref="AG424" si="2575">+AH424-AF424</f>
        <v>-150.45499999999998</v>
      </c>
      <c r="AH424" s="802">
        <v>-222.94</v>
      </c>
      <c r="AI424" s="136"/>
      <c r="AJ424" s="264">
        <v>-153.19999999999999</v>
      </c>
      <c r="AK424" s="262">
        <f t="shared" ref="AK424" si="2576">+AL424-AJ424</f>
        <v>-158.42500000000001</v>
      </c>
      <c r="AL424" s="802">
        <v>-311.625</v>
      </c>
      <c r="AN424" s="168">
        <v>-172.7</v>
      </c>
      <c r="AO424" s="262">
        <f t="shared" ref="AO424" si="2577">+AP424-AN424</f>
        <v>-183.60000000000002</v>
      </c>
      <c r="AP424" s="922">
        <v>-356.3</v>
      </c>
      <c r="AR424" s="136">
        <f t="shared" ref="AR424:AS424" si="2578">+AR426-AR421</f>
        <v>-181.51680000000005</v>
      </c>
      <c r="AS424" s="136">
        <f t="shared" si="2578"/>
        <v>-187.25732500000001</v>
      </c>
      <c r="AT424" s="136">
        <f t="shared" ref="AT424" si="2579">+AR424+AS424</f>
        <v>-368.77412500000003</v>
      </c>
      <c r="AV424" s="136">
        <f t="shared" ref="AV424:AW424" si="2580">+AV426-AV421</f>
        <v>-188.65413600000005</v>
      </c>
      <c r="AW424" s="136">
        <f t="shared" si="2580"/>
        <v>-191.73739</v>
      </c>
      <c r="AX424" s="136">
        <f t="shared" ref="AX424" si="2581">+AV424+AW424</f>
        <v>-380.39152600000006</v>
      </c>
      <c r="AZ424" s="136">
        <f t="shared" ref="AZ424:BA424" si="2582">+AZ426-AZ421</f>
        <v>-194.85728440000008</v>
      </c>
      <c r="BA424" s="136">
        <f t="shared" si="2582"/>
        <v>-197.73380862499999</v>
      </c>
      <c r="BB424" s="136">
        <f t="shared" ref="BB424" si="2583">+AZ424+BA424</f>
        <v>-392.59109302500008</v>
      </c>
      <c r="BD424" s="136">
        <f t="shared" ref="BD424:BE424" si="2584">+BD426-BD421</f>
        <v>-203.86224862000009</v>
      </c>
      <c r="BE424" s="136">
        <f t="shared" si="2584"/>
        <v>-206.99069905625004</v>
      </c>
      <c r="BF424" s="136">
        <f t="shared" ref="BF424" si="2585">+BD424+BE424</f>
        <v>-410.8529476762501</v>
      </c>
      <c r="BH424" s="136">
        <f t="shared" ref="BH424:BI424" si="2586">+BH426-BH421</f>
        <v>-213.31746105100007</v>
      </c>
      <c r="BI424" s="136">
        <f t="shared" si="2586"/>
        <v>-216.71043400906254</v>
      </c>
      <c r="BJ424" s="136">
        <f t="shared" ref="BJ424" si="2587">+BH424+BI424</f>
        <v>-430.02789506006263</v>
      </c>
      <c r="BL424" s="136">
        <f t="shared" ref="BL424:BM424" si="2588">+BL426-BL421</f>
        <v>-223.24543410355008</v>
      </c>
      <c r="BM424" s="136">
        <f t="shared" si="2588"/>
        <v>-226.91615570951566</v>
      </c>
      <c r="BN424" s="136">
        <f t="shared" ref="BN424" si="2589">+BL424+BM424</f>
        <v>-450.16158981306575</v>
      </c>
      <c r="BP424" s="136">
        <f t="shared" ref="BP424:BQ424" si="2590">+BP426-BP421</f>
        <v>-233.66980580872757</v>
      </c>
      <c r="BQ424" s="136">
        <f t="shared" si="2590"/>
        <v>-237.63216349499146</v>
      </c>
      <c r="BR424" s="136">
        <f t="shared" ref="BR424" si="2591">+BP424+BQ424</f>
        <v>-471.30196930371903</v>
      </c>
      <c r="BT424" s="136">
        <f t="shared" ref="BT424:BU424" si="2592">+BT426-BT421</f>
        <v>-244.615396099164</v>
      </c>
      <c r="BU424" s="136">
        <f t="shared" si="2592"/>
        <v>-248.88397166974104</v>
      </c>
      <c r="BV424" s="136">
        <f t="shared" ref="BV424" si="2593">+BT424+BU424</f>
        <v>-493.49936776890502</v>
      </c>
      <c r="BX424" s="136">
        <f t="shared" ref="BX424:BY424" si="2594">+BX426-BX421</f>
        <v>-256.10826590412222</v>
      </c>
      <c r="BY424" s="136">
        <f t="shared" si="2594"/>
        <v>-260.69837025322806</v>
      </c>
      <c r="BZ424" s="136">
        <f t="shared" ref="BZ424" si="2595">+BX424+BY424</f>
        <v>-516.80663615735034</v>
      </c>
    </row>
    <row r="425" spans="1:78" s="135" customFormat="1">
      <c r="A425" s="134"/>
      <c r="B425" s="314" t="s">
        <v>248</v>
      </c>
      <c r="D425" s="402"/>
      <c r="E425" s="402"/>
      <c r="F425" s="402"/>
      <c r="G425" s="400"/>
      <c r="H425" s="402"/>
      <c r="I425" s="402"/>
      <c r="J425" s="402"/>
      <c r="K425" s="400"/>
      <c r="L425" s="402"/>
      <c r="M425" s="402"/>
      <c r="N425" s="402"/>
      <c r="O425" s="400"/>
      <c r="P425" s="402"/>
      <c r="Q425" s="402"/>
      <c r="R425" s="402"/>
      <c r="S425" s="400"/>
      <c r="T425" s="402"/>
      <c r="U425" s="402"/>
      <c r="V425" s="402"/>
      <c r="W425" s="400"/>
      <c r="X425" s="402"/>
      <c r="Y425" s="402"/>
      <c r="Z425" s="402"/>
      <c r="AA425" s="400"/>
      <c r="AB425" s="402"/>
      <c r="AC425" s="402"/>
      <c r="AD425" s="402"/>
      <c r="AE425" s="133"/>
      <c r="AF425" s="315">
        <f>-AF424/AF421</f>
        <v>0.7982929515418502</v>
      </c>
      <c r="AG425" s="315">
        <f>-AG424/AG421</f>
        <v>0.71356414512686739</v>
      </c>
      <c r="AH425" s="315">
        <f>-AH424/AH421</f>
        <v>0.73906845682081879</v>
      </c>
      <c r="AI425" s="133"/>
      <c r="AJ425" s="315">
        <f>-AJ424/AJ421</f>
        <v>0.79625779625779614</v>
      </c>
      <c r="AK425" s="315">
        <f>-AK424/AK421</f>
        <v>0.72458962408697369</v>
      </c>
      <c r="AL425" s="374">
        <f>-AL424/AL421</f>
        <v>0.75813604968847392</v>
      </c>
      <c r="AM425" s="133"/>
      <c r="AN425" s="315">
        <f>-AN424/AN421</f>
        <v>0.84408602150537615</v>
      </c>
      <c r="AO425" s="315">
        <f>-AO424/AO421</f>
        <v>0.70264064293915063</v>
      </c>
      <c r="AP425" s="374">
        <f>-AP424/AP421</f>
        <v>0.76475638549044866</v>
      </c>
      <c r="AQ425" s="133"/>
      <c r="AR425" s="315">
        <f t="shared" ref="AR425:AT425" si="2596">-AR424/AR421</f>
        <v>0.8</v>
      </c>
      <c r="AS425" s="315">
        <f t="shared" si="2596"/>
        <v>0.69500000000000006</v>
      </c>
      <c r="AT425" s="315">
        <f t="shared" si="2596"/>
        <v>0.7430003868386218</v>
      </c>
      <c r="AU425" s="133"/>
      <c r="AV425" s="315">
        <f t="shared" ref="AV425:AX425" si="2597">-AV424/AV421</f>
        <v>0.79500000000000004</v>
      </c>
      <c r="AW425" s="315">
        <f t="shared" si="2597"/>
        <v>0.68</v>
      </c>
      <c r="AX425" s="315">
        <f t="shared" si="2597"/>
        <v>0.73255400997039011</v>
      </c>
      <c r="AY425" s="133"/>
      <c r="AZ425" s="315">
        <f t="shared" ref="AZ425:BB425" si="2598">-AZ424/AZ421</f>
        <v>0.78500000000000003</v>
      </c>
      <c r="BA425" s="315">
        <f t="shared" si="2598"/>
        <v>0.66999999999999993</v>
      </c>
      <c r="BB425" s="315">
        <f t="shared" si="2598"/>
        <v>0.72253689679217481</v>
      </c>
      <c r="BC425" s="133"/>
      <c r="BD425" s="315">
        <f t="shared" ref="BD425:BF425" si="2599">-BD424/BD421</f>
        <v>0.78499999999999992</v>
      </c>
      <c r="BE425" s="315">
        <f t="shared" si="2599"/>
        <v>0.67</v>
      </c>
      <c r="BF425" s="315">
        <f t="shared" si="2599"/>
        <v>0.72252048806420555</v>
      </c>
      <c r="BG425" s="133"/>
      <c r="BH425" s="315">
        <f t="shared" ref="BH425:BJ425" si="2600">-BH424/BH421</f>
        <v>0.78500000000000003</v>
      </c>
      <c r="BI425" s="315">
        <f t="shared" si="2600"/>
        <v>0.66999999999999993</v>
      </c>
      <c r="BJ425" s="315">
        <f t="shared" si="2600"/>
        <v>0.72250475951334592</v>
      </c>
      <c r="BK425" s="133"/>
      <c r="BL425" s="315">
        <f t="shared" ref="BL425:BN425" si="2601">-BL424/BL421</f>
        <v>0.78500000000000003</v>
      </c>
      <c r="BM425" s="315">
        <f t="shared" si="2601"/>
        <v>0.66999999999999993</v>
      </c>
      <c r="BN425" s="315">
        <f t="shared" si="2601"/>
        <v>0.72248968728493002</v>
      </c>
      <c r="BO425" s="133"/>
      <c r="BP425" s="315">
        <f t="shared" ref="BP425:BR425" si="2602">-BP424/BP421</f>
        <v>0.78500000000000003</v>
      </c>
      <c r="BQ425" s="315">
        <f t="shared" si="2602"/>
        <v>0.67</v>
      </c>
      <c r="BR425" s="315">
        <f t="shared" si="2602"/>
        <v>0.72247524797625906</v>
      </c>
      <c r="BS425" s="133"/>
      <c r="BT425" s="315">
        <f t="shared" ref="BT425:BV425" si="2603">-BT424/BT421</f>
        <v>0.78500000000000003</v>
      </c>
      <c r="BU425" s="315">
        <f t="shared" si="2603"/>
        <v>0.66999999999999993</v>
      </c>
      <c r="BV425" s="315">
        <f t="shared" si="2603"/>
        <v>0.72246141866530211</v>
      </c>
      <c r="BW425" s="133"/>
      <c r="BX425" s="315">
        <f t="shared" ref="BX425:BZ425" si="2604">-BX424/BX421</f>
        <v>0.78500000000000003</v>
      </c>
      <c r="BY425" s="315">
        <f t="shared" si="2604"/>
        <v>0.66999999999999993</v>
      </c>
      <c r="BZ425" s="315">
        <f t="shared" si="2604"/>
        <v>0.72244817693492858</v>
      </c>
    </row>
    <row r="426" spans="1:78" s="135" customFormat="1" ht="14.4" thickBot="1">
      <c r="A426" s="134"/>
      <c r="B426" s="151" t="s">
        <v>180</v>
      </c>
      <c r="D426" s="317"/>
      <c r="E426" s="317"/>
      <c r="F426" s="317"/>
      <c r="G426" s="400"/>
      <c r="H426" s="317"/>
      <c r="I426" s="317"/>
      <c r="J426" s="317"/>
      <c r="K426" s="400"/>
      <c r="L426" s="317"/>
      <c r="M426" s="317"/>
      <c r="N426" s="317"/>
      <c r="O426" s="400"/>
      <c r="P426" s="317"/>
      <c r="Q426" s="317"/>
      <c r="R426" s="317"/>
      <c r="S426" s="400"/>
      <c r="T426" s="317"/>
      <c r="U426" s="317"/>
      <c r="V426" s="317"/>
      <c r="W426" s="400"/>
      <c r="X426" s="317"/>
      <c r="Y426" s="317"/>
      <c r="Z426" s="317"/>
      <c r="AA426" s="400"/>
      <c r="AB426" s="317"/>
      <c r="AC426" s="317"/>
      <c r="AD426" s="317"/>
      <c r="AE426" s="133"/>
      <c r="AF426" s="232">
        <f>AF424+AF421</f>
        <v>18.314999999999998</v>
      </c>
      <c r="AG426" s="232">
        <f>AG424+AG421</f>
        <v>60.39500000000001</v>
      </c>
      <c r="AH426" s="232">
        <f>AH424+AH421</f>
        <v>78.710000000000036</v>
      </c>
      <c r="AI426" s="136"/>
      <c r="AJ426" s="232">
        <f>AJ424+AJ421</f>
        <v>39.200000000000017</v>
      </c>
      <c r="AK426" s="232">
        <f>AK424+AK421</f>
        <v>60.21599999999998</v>
      </c>
      <c r="AL426" s="219">
        <f>AL424+AL421</f>
        <v>99.415999999999997</v>
      </c>
      <c r="AM426" s="136"/>
      <c r="AN426" s="232">
        <f>AN424+AN421</f>
        <v>31.900000000000034</v>
      </c>
      <c r="AO426" s="232">
        <f>AO424+AO421</f>
        <v>77.699999999999932</v>
      </c>
      <c r="AP426" s="219">
        <f>AP424+AP421</f>
        <v>109.59999999999997</v>
      </c>
      <c r="AQ426" s="161">
        <f>AN426+AO426-AP426</f>
        <v>0</v>
      </c>
      <c r="AR426" s="232">
        <f t="shared" ref="AR426:AS426" si="2605">AR421*AR427</f>
        <v>45.379200000000012</v>
      </c>
      <c r="AS426" s="232">
        <f t="shared" si="2605"/>
        <v>82.177674999999994</v>
      </c>
      <c r="AT426" s="232">
        <f t="shared" ref="AT426" si="2606">AT424+AT421</f>
        <v>127.55687499999999</v>
      </c>
      <c r="AU426" s="133"/>
      <c r="AV426" s="232">
        <f t="shared" ref="AV426:AW426" si="2607">AV421*AV427</f>
        <v>48.646664000000008</v>
      </c>
      <c r="AW426" s="232">
        <f t="shared" si="2607"/>
        <v>90.22936</v>
      </c>
      <c r="AX426" s="232">
        <f t="shared" ref="AX426" si="2608">AX424+AX421</f>
        <v>138.87602399999997</v>
      </c>
      <c r="AY426" s="133"/>
      <c r="AZ426" s="232">
        <f t="shared" ref="AZ426:BA426" si="2609">AZ421*AZ427</f>
        <v>53.368555600000022</v>
      </c>
      <c r="BA426" s="232">
        <f t="shared" si="2609"/>
        <v>97.391278875000012</v>
      </c>
      <c r="BB426" s="232">
        <f t="shared" ref="BB426" si="2610">BB424+BB421</f>
        <v>150.75983447500005</v>
      </c>
      <c r="BC426" s="133"/>
      <c r="BD426" s="232">
        <f t="shared" ref="BD426:BE426" si="2611">BD421*BD427</f>
        <v>55.834883380000029</v>
      </c>
      <c r="BE426" s="232">
        <f t="shared" si="2611"/>
        <v>101.95064281875001</v>
      </c>
      <c r="BF426" s="232">
        <f t="shared" ref="BF426" si="2612">BF424+BF421</f>
        <v>157.78552619875006</v>
      </c>
      <c r="BG426" s="133"/>
      <c r="BH426" s="232">
        <f t="shared" ref="BH426:BI426" si="2613">BH421*BH427</f>
        <v>58.424527549000011</v>
      </c>
      <c r="BI426" s="232">
        <f t="shared" si="2613"/>
        <v>106.73797495968753</v>
      </c>
      <c r="BJ426" s="232">
        <f t="shared" ref="BJ426" si="2614">BJ424+BJ421</f>
        <v>165.16250250868757</v>
      </c>
      <c r="BK426" s="133"/>
      <c r="BL426" s="232">
        <f t="shared" ref="BL426:BM426" si="2615">BL421*BL427</f>
        <v>61.143653926450021</v>
      </c>
      <c r="BM426" s="232">
        <f t="shared" si="2615"/>
        <v>111.7646737076719</v>
      </c>
      <c r="BN426" s="232">
        <f t="shared" ref="BN426" si="2616">BN424+BN421</f>
        <v>172.90832763412192</v>
      </c>
      <c r="BO426" s="133"/>
      <c r="BP426" s="232">
        <f t="shared" ref="BP426:BQ426" si="2617">BP421*BP427</f>
        <v>63.998736622772519</v>
      </c>
      <c r="BQ426" s="232">
        <f t="shared" si="2617"/>
        <v>117.04270739305549</v>
      </c>
      <c r="BR426" s="232">
        <f t="shared" ref="BR426" si="2618">BR424+BR421</f>
        <v>181.04144401582801</v>
      </c>
      <c r="BS426" s="133"/>
      <c r="BT426" s="232">
        <f t="shared" ref="BT426:BU426" si="2619">BT421*BT427</f>
        <v>66.996573453911154</v>
      </c>
      <c r="BU426" s="232">
        <f t="shared" si="2619"/>
        <v>122.58464276270828</v>
      </c>
      <c r="BV426" s="232">
        <f t="shared" ref="BV426" si="2620">BV424+BV421</f>
        <v>189.5812162166194</v>
      </c>
      <c r="BW426" s="133"/>
      <c r="BX426" s="232">
        <f t="shared" ref="BX426:BY426" si="2621">BX421*BX427</f>
        <v>70.144302126606718</v>
      </c>
      <c r="BY426" s="232">
        <f t="shared" si="2621"/>
        <v>128.4036749008437</v>
      </c>
      <c r="BZ426" s="232">
        <f t="shared" ref="BZ426" si="2622">BZ424+BZ421</f>
        <v>198.54797702745043</v>
      </c>
    </row>
    <row r="427" spans="1:78" s="220" customFormat="1" ht="14.4" thickBot="1">
      <c r="A427" s="660"/>
      <c r="B427" s="661" t="s">
        <v>247</v>
      </c>
      <c r="D427" s="680"/>
      <c r="E427" s="680"/>
      <c r="F427" s="680"/>
      <c r="G427" s="681"/>
      <c r="H427" s="680"/>
      <c r="I427" s="680"/>
      <c r="J427" s="680"/>
      <c r="K427" s="681"/>
      <c r="L427" s="680"/>
      <c r="M427" s="680"/>
      <c r="N427" s="680"/>
      <c r="O427" s="681"/>
      <c r="P427" s="680"/>
      <c r="Q427" s="680"/>
      <c r="R427" s="680"/>
      <c r="S427" s="681"/>
      <c r="T427" s="680"/>
      <c r="U427" s="680"/>
      <c r="V427" s="680"/>
      <c r="W427" s="681"/>
      <c r="X427" s="680"/>
      <c r="Y427" s="680"/>
      <c r="Z427" s="680"/>
      <c r="AA427" s="681"/>
      <c r="AB427" s="680"/>
      <c r="AC427" s="680"/>
      <c r="AD427" s="680"/>
      <c r="AF427" s="388">
        <f>+AF426/AF421</f>
        <v>0.20170704845814977</v>
      </c>
      <c r="AG427" s="388">
        <f>+AG426/AG421</f>
        <v>0.28643585487313261</v>
      </c>
      <c r="AH427" s="220">
        <f>+AH426/AH421</f>
        <v>0.26093154317918127</v>
      </c>
      <c r="AJ427" s="388">
        <f>+AJ426/AJ421</f>
        <v>0.20374220374220384</v>
      </c>
      <c r="AK427" s="388">
        <f>+AK426/AK421</f>
        <v>0.27541037591302631</v>
      </c>
      <c r="AL427" s="304">
        <f>+AL426/AL421</f>
        <v>0.2418639503115261</v>
      </c>
      <c r="AN427" s="387">
        <f>+AN426/AN421</f>
        <v>0.15591397849462379</v>
      </c>
      <c r="AO427" s="388">
        <f>+AO426/AO421</f>
        <v>0.29735935706084937</v>
      </c>
      <c r="AP427" s="304">
        <f>+AP426/AP421</f>
        <v>0.23524361450955134</v>
      </c>
      <c r="AR427" s="662">
        <f>Scenarios!AF32</f>
        <v>0.2</v>
      </c>
      <c r="AS427" s="662">
        <f>Scenarios!AG32</f>
        <v>0.30499999999999999</v>
      </c>
      <c r="AT427" s="220">
        <f t="shared" ref="AT427" si="2623">+AT426/AT421</f>
        <v>0.25699961316137815</v>
      </c>
      <c r="AV427" s="662">
        <f>Scenarios!AJ32</f>
        <v>0.20499999999999999</v>
      </c>
      <c r="AW427" s="662">
        <f>Scenarios!AK32</f>
        <v>0.32</v>
      </c>
      <c r="AX427" s="220">
        <f t="shared" ref="AX427" si="2624">+AX426/AX421</f>
        <v>0.26744599002960989</v>
      </c>
      <c r="AZ427" s="662">
        <f>Scenarios!AN32</f>
        <v>0.215</v>
      </c>
      <c r="BA427" s="662">
        <f>Scenarios!AO32</f>
        <v>0.33</v>
      </c>
      <c r="BB427" s="220">
        <f t="shared" ref="BB427" si="2625">+BB426/BB421</f>
        <v>0.27746310320782513</v>
      </c>
      <c r="BD427" s="662">
        <f>Scenarios!AR32</f>
        <v>0.215</v>
      </c>
      <c r="BE427" s="662">
        <f>Scenarios!AS32</f>
        <v>0.33</v>
      </c>
      <c r="BF427" s="220">
        <f t="shared" ref="BF427" si="2626">+BF426/BF421</f>
        <v>0.27747951193579445</v>
      </c>
      <c r="BH427" s="662">
        <f>Scenarios!AV32</f>
        <v>0.215</v>
      </c>
      <c r="BI427" s="662">
        <f>Scenarios!AW32</f>
        <v>0.33</v>
      </c>
      <c r="BJ427" s="220">
        <f t="shared" ref="BJ427" si="2627">+BJ426/BJ421</f>
        <v>0.27749524048665403</v>
      </c>
      <c r="BL427" s="662">
        <f>Scenarios!AZ32</f>
        <v>0.215</v>
      </c>
      <c r="BM427" s="662">
        <f>Scenarios!BA32</f>
        <v>0.33</v>
      </c>
      <c r="BN427" s="220">
        <f t="shared" ref="BN427" si="2628">+BN426/BN421</f>
        <v>0.27751031271507004</v>
      </c>
      <c r="BP427" s="662">
        <f>Scenarios!BD32</f>
        <v>0.215</v>
      </c>
      <c r="BQ427" s="662">
        <f>Scenarios!BE32</f>
        <v>0.33</v>
      </c>
      <c r="BR427" s="220">
        <f t="shared" ref="BR427" si="2629">+BR426/BR421</f>
        <v>0.27752475202374088</v>
      </c>
      <c r="BT427" s="662">
        <f>Scenarios!BH32</f>
        <v>0.215</v>
      </c>
      <c r="BU427" s="662">
        <f>Scenarios!BI32</f>
        <v>0.33</v>
      </c>
      <c r="BV427" s="220">
        <f t="shared" ref="BV427" si="2630">+BV426/BV421</f>
        <v>0.27753858133469789</v>
      </c>
      <c r="BX427" s="662">
        <f>Scenarios!BL32</f>
        <v>0.215</v>
      </c>
      <c r="BY427" s="662">
        <f>Scenarios!BM32</f>
        <v>0.33</v>
      </c>
      <c r="BZ427" s="220">
        <f t="shared" ref="BZ427" si="2631">+BZ426/BZ421</f>
        <v>0.27755182306507142</v>
      </c>
    </row>
    <row r="428" spans="1:78" s="135" customFormat="1">
      <c r="A428" s="134"/>
      <c r="B428" s="150" t="s">
        <v>360</v>
      </c>
      <c r="D428" s="402"/>
      <c r="E428" s="402"/>
      <c r="F428" s="402"/>
      <c r="G428" s="400"/>
      <c r="H428" s="402"/>
      <c r="I428" s="402"/>
      <c r="J428" s="402"/>
      <c r="K428" s="400"/>
      <c r="L428" s="402"/>
      <c r="M428" s="402"/>
      <c r="N428" s="402"/>
      <c r="O428" s="400"/>
      <c r="P428" s="402"/>
      <c r="Q428" s="402"/>
      <c r="R428" s="402"/>
      <c r="S428" s="400"/>
      <c r="T428" s="402"/>
      <c r="U428" s="402"/>
      <c r="V428" s="402"/>
      <c r="W428" s="400"/>
      <c r="X428" s="402"/>
      <c r="Y428" s="402"/>
      <c r="Z428" s="402"/>
      <c r="AA428" s="400"/>
      <c r="AB428" s="402"/>
      <c r="AC428" s="402"/>
      <c r="AD428" s="402"/>
      <c r="AE428" s="133"/>
      <c r="AF428" s="384">
        <v>0.3</v>
      </c>
      <c r="AG428" s="315">
        <f>+AH428</f>
        <v>0.32</v>
      </c>
      <c r="AH428" s="384">
        <v>0.32</v>
      </c>
      <c r="AI428" s="133"/>
      <c r="AJ428" s="384">
        <v>0.32</v>
      </c>
      <c r="AK428" s="315">
        <f>+AL428</f>
        <v>0.32</v>
      </c>
      <c r="AL428" s="384">
        <v>0.32</v>
      </c>
      <c r="AM428" s="133"/>
      <c r="AN428" s="393">
        <v>0.32</v>
      </c>
      <c r="AO428" s="315">
        <f>+AP428</f>
        <v>0.32</v>
      </c>
      <c r="AP428" s="917">
        <v>0.32</v>
      </c>
      <c r="AQ428" s="133"/>
      <c r="AR428" s="138">
        <f t="shared" ref="AR428" si="2632">+AP428</f>
        <v>0.32</v>
      </c>
      <c r="AS428" s="138">
        <f t="shared" ref="AS428:AT428" si="2633">+AR428</f>
        <v>0.32</v>
      </c>
      <c r="AT428" s="138">
        <f t="shared" si="2633"/>
        <v>0.32</v>
      </c>
      <c r="AU428" s="133"/>
      <c r="AV428" s="138">
        <f t="shared" ref="AV428" si="2634">+AT428</f>
        <v>0.32</v>
      </c>
      <c r="AW428" s="138">
        <f t="shared" ref="AW428:AX428" si="2635">+AV428</f>
        <v>0.32</v>
      </c>
      <c r="AX428" s="138">
        <f t="shared" si="2635"/>
        <v>0.32</v>
      </c>
      <c r="AY428" s="133"/>
      <c r="AZ428" s="138">
        <f t="shared" ref="AZ428" si="2636">+AX428</f>
        <v>0.32</v>
      </c>
      <c r="BA428" s="138">
        <f t="shared" ref="BA428:BB428" si="2637">+AZ428</f>
        <v>0.32</v>
      </c>
      <c r="BB428" s="138">
        <f t="shared" si="2637"/>
        <v>0.32</v>
      </c>
      <c r="BC428" s="133"/>
      <c r="BD428" s="138">
        <f t="shared" ref="BD428" si="2638">+BB428</f>
        <v>0.32</v>
      </c>
      <c r="BE428" s="138">
        <f t="shared" ref="BE428:BF428" si="2639">+BD428</f>
        <v>0.32</v>
      </c>
      <c r="BF428" s="138">
        <f t="shared" si="2639"/>
        <v>0.32</v>
      </c>
      <c r="BG428" s="133"/>
      <c r="BH428" s="138">
        <f t="shared" ref="BH428" si="2640">+BF428</f>
        <v>0.32</v>
      </c>
      <c r="BI428" s="138">
        <f t="shared" ref="BI428:BJ428" si="2641">+BH428</f>
        <v>0.32</v>
      </c>
      <c r="BJ428" s="138">
        <f t="shared" si="2641"/>
        <v>0.32</v>
      </c>
      <c r="BK428" s="133"/>
      <c r="BL428" s="138">
        <f t="shared" ref="BL428" si="2642">+BJ428</f>
        <v>0.32</v>
      </c>
      <c r="BM428" s="138">
        <f t="shared" ref="BM428:BN428" si="2643">+BL428</f>
        <v>0.32</v>
      </c>
      <c r="BN428" s="138">
        <f t="shared" si="2643"/>
        <v>0.32</v>
      </c>
      <c r="BO428" s="133"/>
      <c r="BP428" s="138">
        <f t="shared" ref="BP428" si="2644">+BN428</f>
        <v>0.32</v>
      </c>
      <c r="BQ428" s="138">
        <f t="shared" ref="BQ428:BR428" si="2645">+BP428</f>
        <v>0.32</v>
      </c>
      <c r="BR428" s="138">
        <f t="shared" si="2645"/>
        <v>0.32</v>
      </c>
      <c r="BS428" s="133"/>
      <c r="BT428" s="138">
        <f t="shared" ref="BT428" si="2646">+BR428</f>
        <v>0.32</v>
      </c>
      <c r="BU428" s="138">
        <f t="shared" ref="BU428" si="2647">+BT428</f>
        <v>0.32</v>
      </c>
      <c r="BV428" s="138">
        <f t="shared" ref="BV428" si="2648">+BU428</f>
        <v>0.32</v>
      </c>
      <c r="BW428" s="133"/>
      <c r="BX428" s="138">
        <f t="shared" ref="BX428" si="2649">+BV428</f>
        <v>0.32</v>
      </c>
      <c r="BY428" s="138">
        <f t="shared" ref="BY428" si="2650">+BX428</f>
        <v>0.32</v>
      </c>
      <c r="BZ428" s="138">
        <f t="shared" ref="BZ428" si="2651">+BY428</f>
        <v>0.32</v>
      </c>
    </row>
    <row r="429" spans="1:78" s="135" customFormat="1">
      <c r="A429" s="134"/>
      <c r="B429" s="150" t="s">
        <v>687</v>
      </c>
      <c r="D429" s="402"/>
      <c r="E429" s="402"/>
      <c r="F429" s="402"/>
      <c r="G429" s="400"/>
      <c r="H429" s="402"/>
      <c r="I429" s="402"/>
      <c r="J429" s="402"/>
      <c r="K429" s="400"/>
      <c r="L429" s="402"/>
      <c r="M429" s="402"/>
      <c r="N429" s="402"/>
      <c r="O429" s="400"/>
      <c r="P429" s="402"/>
      <c r="Q429" s="402"/>
      <c r="R429" s="402"/>
      <c r="S429" s="400"/>
      <c r="T429" s="402"/>
      <c r="U429" s="402"/>
      <c r="V429" s="402"/>
      <c r="W429" s="400"/>
      <c r="X429" s="402"/>
      <c r="Y429" s="402"/>
      <c r="Z429" s="402"/>
      <c r="AA429" s="400"/>
      <c r="AB429" s="402"/>
      <c r="AC429" s="402"/>
      <c r="AD429" s="402"/>
      <c r="AE429" s="133"/>
      <c r="AF429" s="315">
        <f>+AF426/AH426</f>
        <v>0.23268962012450756</v>
      </c>
      <c r="AG429" s="315">
        <f t="shared" ref="AG429" si="2652">+AG426/AH426</f>
        <v>0.76731037987549211</v>
      </c>
      <c r="AH429" s="138">
        <f t="shared" ref="AH429" si="2653">+AF429+AG429</f>
        <v>0.99999999999999967</v>
      </c>
      <c r="AI429" s="133"/>
      <c r="AJ429" s="315">
        <f>+AJ426/AL426</f>
        <v>0.39430272793111792</v>
      </c>
      <c r="AK429" s="315">
        <f t="shared" ref="AK429" si="2654">+AK426/AL426</f>
        <v>0.60569727206888213</v>
      </c>
      <c r="AL429" s="138">
        <f t="shared" ref="AL429" si="2655">+AJ429+AK429</f>
        <v>1</v>
      </c>
      <c r="AM429" s="133"/>
      <c r="AN429" s="315">
        <f>+AN426/AP426</f>
        <v>0.29105839416058432</v>
      </c>
      <c r="AO429" s="315">
        <f t="shared" ref="AO429" si="2656">+AO426/AP426</f>
        <v>0.70894160583941568</v>
      </c>
      <c r="AP429" s="138">
        <f t="shared" ref="AP429" si="2657">+AN429+AO429</f>
        <v>1</v>
      </c>
      <c r="AQ429" s="133"/>
      <c r="AR429" s="315">
        <f t="shared" ref="AR429" si="2658">+AR426/AT426</f>
        <v>0.35575659877211646</v>
      </c>
      <c r="AS429" s="315">
        <f t="shared" ref="AS429" si="2659">+AS426/AT426</f>
        <v>0.64424340122788359</v>
      </c>
      <c r="AT429" s="138">
        <f t="shared" ref="AT429" si="2660">+AR429+AS429</f>
        <v>1</v>
      </c>
      <c r="AU429" s="133"/>
      <c r="AV429" s="315">
        <f t="shared" ref="AV429" si="2661">+AV426/AX426</f>
        <v>0.3502884270361889</v>
      </c>
      <c r="AW429" s="315">
        <f t="shared" ref="AW429" si="2662">+AW426/AX426</f>
        <v>0.64971157296381132</v>
      </c>
      <c r="AX429" s="138">
        <f t="shared" ref="AX429" si="2663">+AV429+AW429</f>
        <v>1.0000000000000002</v>
      </c>
      <c r="AY429" s="133"/>
      <c r="AZ429" s="315">
        <f t="shared" ref="AZ429" si="2664">+AZ426/BB426</f>
        <v>0.3539971756127786</v>
      </c>
      <c r="BA429" s="315">
        <f t="shared" ref="BA429" si="2665">+BA426/BB426</f>
        <v>0.64600282438722134</v>
      </c>
      <c r="BB429" s="138">
        <f t="shared" ref="BB429" si="2666">+AZ429+BA429</f>
        <v>1</v>
      </c>
      <c r="BC429" s="133"/>
      <c r="BD429" s="315">
        <f t="shared" ref="BD429" si="2667">+BD426/BF426</f>
        <v>0.35386568543472868</v>
      </c>
      <c r="BE429" s="315">
        <f t="shared" ref="BE429" si="2668">+BE426/BF426</f>
        <v>0.64613431456527115</v>
      </c>
      <c r="BF429" s="138">
        <f t="shared" ref="BF429" si="2669">+BD429+BE429</f>
        <v>0.99999999999999978</v>
      </c>
      <c r="BG429" s="133"/>
      <c r="BH429" s="315">
        <f t="shared" ref="BH429" si="2670">+BH426/BJ426</f>
        <v>0.35373966040461802</v>
      </c>
      <c r="BI429" s="315">
        <f t="shared" ref="BI429" si="2671">+BI426/BJ426</f>
        <v>0.64626033959538187</v>
      </c>
      <c r="BJ429" s="138">
        <f t="shared" ref="BJ429" si="2672">+BH429+BI429</f>
        <v>0.99999999999999989</v>
      </c>
      <c r="BK429" s="133"/>
      <c r="BL429" s="315">
        <f t="shared" ref="BL429" si="2673">+BL426/BN426</f>
        <v>0.35361890756257519</v>
      </c>
      <c r="BM429" s="315">
        <f t="shared" ref="BM429" si="2674">+BM426/BN426</f>
        <v>0.64638109243742492</v>
      </c>
      <c r="BN429" s="138">
        <f t="shared" ref="BN429" si="2675">+BL429+BM429</f>
        <v>1</v>
      </c>
      <c r="BO429" s="133"/>
      <c r="BP429" s="315">
        <f t="shared" ref="BP429" si="2676">+BP426/BR426</f>
        <v>0.35350323772924208</v>
      </c>
      <c r="BQ429" s="315">
        <f t="shared" ref="BQ429" si="2677">+BQ426/BR426</f>
        <v>0.64649676227075792</v>
      </c>
      <c r="BR429" s="138">
        <f t="shared" ref="BR429" si="2678">+BP429+BQ429</f>
        <v>1</v>
      </c>
      <c r="BS429" s="133"/>
      <c r="BT429" s="315">
        <f t="shared" ref="BT429" si="2679">+BT426/BV426</f>
        <v>0.35339246572487165</v>
      </c>
      <c r="BU429" s="315">
        <f t="shared" ref="BU429" si="2680">+BU426/BV426</f>
        <v>0.64660753427512851</v>
      </c>
      <c r="BV429" s="138">
        <f t="shared" ref="BV429" si="2681">+BT429+BU429</f>
        <v>1.0000000000000002</v>
      </c>
      <c r="BW429" s="133"/>
      <c r="BX429" s="315">
        <f t="shared" ref="BX429" si="2682">+BX426/BZ426</f>
        <v>0.35328641055309695</v>
      </c>
      <c r="BY429" s="315">
        <f t="shared" ref="BY429" si="2683">+BY426/BZ426</f>
        <v>0.64671358944690294</v>
      </c>
      <c r="BZ429" s="138">
        <f t="shared" ref="BZ429" si="2684">+BX429+BY429</f>
        <v>0.99999999999999989</v>
      </c>
    </row>
    <row r="430" spans="1:78" s="135" customFormat="1">
      <c r="A430" s="134"/>
      <c r="B430" s="151"/>
      <c r="D430" s="317"/>
      <c r="E430" s="317"/>
      <c r="F430" s="317"/>
      <c r="G430" s="400"/>
      <c r="H430" s="317"/>
      <c r="I430" s="317"/>
      <c r="J430" s="317"/>
      <c r="K430" s="400"/>
      <c r="L430" s="317"/>
      <c r="M430" s="317"/>
      <c r="N430" s="317"/>
      <c r="O430" s="400"/>
      <c r="P430" s="317"/>
      <c r="Q430" s="317"/>
      <c r="R430" s="317"/>
      <c r="S430" s="400"/>
      <c r="T430" s="317"/>
      <c r="U430" s="317"/>
      <c r="V430" s="317"/>
      <c r="W430" s="400"/>
      <c r="X430" s="317"/>
      <c r="Y430" s="317"/>
      <c r="Z430" s="317"/>
      <c r="AA430" s="400"/>
      <c r="AB430" s="317"/>
      <c r="AC430" s="317"/>
      <c r="AD430" s="317"/>
      <c r="AE430" s="133"/>
      <c r="AF430" s="232"/>
      <c r="AG430" s="140"/>
      <c r="AH430" s="232"/>
      <c r="AI430" s="133"/>
      <c r="AJ430" s="232"/>
      <c r="AK430" s="140"/>
      <c r="AL430" s="323"/>
      <c r="AM430" s="133"/>
      <c r="AN430" s="232"/>
      <c r="AO430" s="140"/>
      <c r="AP430" s="323"/>
      <c r="AQ430" s="133"/>
      <c r="AR430" s="232"/>
      <c r="AS430" s="232"/>
      <c r="AT430" s="232"/>
      <c r="AU430" s="133"/>
      <c r="AV430" s="232"/>
      <c r="AW430" s="232"/>
      <c r="AX430" s="232"/>
      <c r="AY430" s="133"/>
      <c r="AZ430" s="232"/>
      <c r="BA430" s="232"/>
      <c r="BB430" s="232"/>
      <c r="BC430" s="133"/>
      <c r="BD430" s="232"/>
      <c r="BE430" s="232"/>
      <c r="BF430" s="232"/>
      <c r="BG430" s="133"/>
      <c r="BH430" s="232"/>
      <c r="BI430" s="232"/>
      <c r="BJ430" s="232"/>
      <c r="BK430" s="133"/>
      <c r="BL430" s="232"/>
      <c r="BM430" s="232"/>
      <c r="BN430" s="232"/>
      <c r="BO430" s="133"/>
      <c r="BP430" s="232"/>
      <c r="BQ430" s="232"/>
      <c r="BR430" s="232"/>
      <c r="BS430" s="133"/>
      <c r="BT430" s="232"/>
      <c r="BU430" s="232"/>
      <c r="BV430" s="232"/>
      <c r="BW430" s="133"/>
      <c r="BX430" s="232"/>
      <c r="BY430" s="232"/>
      <c r="BZ430" s="232"/>
    </row>
    <row r="431" spans="1:78" s="135" customFormat="1">
      <c r="A431" s="134"/>
      <c r="B431" s="150" t="s">
        <v>262</v>
      </c>
      <c r="D431" s="222"/>
      <c r="E431" s="222"/>
      <c r="F431" s="222"/>
      <c r="G431" s="400"/>
      <c r="H431" s="222"/>
      <c r="I431" s="222"/>
      <c r="J431" s="222"/>
      <c r="K431" s="400"/>
      <c r="L431" s="222"/>
      <c r="M431" s="222"/>
      <c r="N431" s="222"/>
      <c r="O431" s="400"/>
      <c r="P431" s="222"/>
      <c r="Q431" s="222"/>
      <c r="R431" s="222"/>
      <c r="S431" s="400"/>
      <c r="T431" s="222"/>
      <c r="U431" s="222"/>
      <c r="V431" s="222"/>
      <c r="W431" s="400"/>
      <c r="X431" s="222"/>
      <c r="Y431" s="222"/>
      <c r="Z431" s="222"/>
      <c r="AA431" s="400"/>
      <c r="AB431" s="222"/>
      <c r="AC431" s="222"/>
      <c r="AD431" s="222"/>
      <c r="AE431" s="133"/>
      <c r="AF431" s="262">
        <f>+AF432-AF426</f>
        <v>0</v>
      </c>
      <c r="AG431" s="262">
        <f>+AG432-AG426</f>
        <v>-0.21000000000000796</v>
      </c>
      <c r="AH431" s="262">
        <f>+AH432-AH426</f>
        <v>-0.21000000000003638</v>
      </c>
      <c r="AI431" s="136"/>
      <c r="AJ431" s="262">
        <f>+AJ432-AJ426</f>
        <v>0</v>
      </c>
      <c r="AK431" s="262">
        <f>+AK432-AK426</f>
        <v>0</v>
      </c>
      <c r="AL431" s="262">
        <f>+AL432-AL426</f>
        <v>0</v>
      </c>
      <c r="AM431" s="133"/>
      <c r="AN431" s="136">
        <f>+AN432-AN426</f>
        <v>9.9999999999965894E-2</v>
      </c>
      <c r="AO431" s="262">
        <f>+AO432-AO426</f>
        <v>-9.9999999999937472E-2</v>
      </c>
      <c r="AP431" s="262">
        <f>+AP432-AP426</f>
        <v>0</v>
      </c>
      <c r="AQ431" s="133"/>
      <c r="AR431" s="321">
        <f>+AO431*AR$465/AO$465</f>
        <v>-9.9999999999937458E-2</v>
      </c>
      <c r="AS431" s="321">
        <f>+AR431*AS$465/AR$465</f>
        <v>-9.9999999999937458E-2</v>
      </c>
      <c r="AT431" s="136">
        <f t="shared" ref="AT431" si="2685">+AR431+AS431</f>
        <v>-0.19999999999987492</v>
      </c>
      <c r="AU431" s="133"/>
      <c r="AV431" s="321">
        <f>+AS431*AV$465/AS$465</f>
        <v>-9.7999999999938719E-2</v>
      </c>
      <c r="AW431" s="321">
        <f>+AV431*AW$465/AV$465</f>
        <v>-9.7999999999938719E-2</v>
      </c>
      <c r="AX431" s="136">
        <f t="shared" ref="AX431" si="2686">+AV431+AW431</f>
        <v>-0.19599999999987744</v>
      </c>
      <c r="AY431" s="133"/>
      <c r="AZ431" s="321">
        <f>+AW431*AZ$465/AW$465</f>
        <v>-9.6039999999939951E-2</v>
      </c>
      <c r="BA431" s="321">
        <f>+AZ431*BA$465/AZ$465</f>
        <v>-9.6039999999939937E-2</v>
      </c>
      <c r="BB431" s="136">
        <f t="shared" ref="BB431" si="2687">+AZ431+BA431</f>
        <v>-0.1920799999998799</v>
      </c>
      <c r="BC431" s="133"/>
      <c r="BD431" s="321">
        <f>+BA431*BD$465/BA$465</f>
        <v>-9.6039999999939937E-2</v>
      </c>
      <c r="BE431" s="321">
        <f>+BD431*BE$465/BD$465</f>
        <v>-9.6039999999939937E-2</v>
      </c>
      <c r="BF431" s="136">
        <f t="shared" ref="BF431" si="2688">+BD431+BE431</f>
        <v>-0.19207999999987987</v>
      </c>
      <c r="BG431" s="133"/>
      <c r="BH431" s="321">
        <f>+BE431*BH$465/BE$465</f>
        <v>-9.6039999999939937E-2</v>
      </c>
      <c r="BI431" s="321">
        <f>+BH431*BI$465/BH$465</f>
        <v>-9.6039999999939937E-2</v>
      </c>
      <c r="BJ431" s="136">
        <f t="shared" ref="BJ431" si="2689">+BH431+BI431</f>
        <v>-0.19207999999987987</v>
      </c>
      <c r="BK431" s="133"/>
      <c r="BL431" s="321">
        <f>+BI431*BL$465/BI$465</f>
        <v>-9.6039999999939937E-2</v>
      </c>
      <c r="BM431" s="321">
        <f>+BL431*BM$465/BL$465</f>
        <v>-9.6039999999939937E-2</v>
      </c>
      <c r="BN431" s="136">
        <f t="shared" ref="BN431" si="2690">+BL431+BM431</f>
        <v>-0.19207999999987987</v>
      </c>
      <c r="BO431" s="133"/>
      <c r="BP431" s="321">
        <f>+BM431*BP$465/BM$465</f>
        <v>-9.6039999999939937E-2</v>
      </c>
      <c r="BQ431" s="321">
        <f>+BP431*BQ$465/BP$465</f>
        <v>-9.6039999999939937E-2</v>
      </c>
      <c r="BR431" s="136">
        <f t="shared" ref="BR431" si="2691">+BP431+BQ431</f>
        <v>-0.19207999999987987</v>
      </c>
      <c r="BS431" s="133"/>
      <c r="BT431" s="321">
        <f>+BQ431*BT$465/BQ$465</f>
        <v>-9.6039999999939937E-2</v>
      </c>
      <c r="BU431" s="321">
        <f>+BT431*BU$465/BT$465</f>
        <v>-9.6039999999939937E-2</v>
      </c>
      <c r="BV431" s="136">
        <f t="shared" ref="BV431" si="2692">+BT431+BU431</f>
        <v>-0.19207999999987987</v>
      </c>
      <c r="BW431" s="133"/>
      <c r="BX431" s="321">
        <f>+BU431*BX$465/BU$465</f>
        <v>-9.6039999999939937E-2</v>
      </c>
      <c r="BY431" s="321">
        <f>+BX431*BY$465/BX$465</f>
        <v>-9.6039999999939937E-2</v>
      </c>
      <c r="BZ431" s="136">
        <f t="shared" ref="BZ431" si="2693">+BX431+BY431</f>
        <v>-0.19207999999987987</v>
      </c>
    </row>
    <row r="432" spans="1:78" s="135" customFormat="1">
      <c r="A432" s="134"/>
      <c r="B432" s="151" t="s">
        <v>181</v>
      </c>
      <c r="D432" s="405"/>
      <c r="E432" s="317"/>
      <c r="F432" s="405"/>
      <c r="G432" s="396"/>
      <c r="H432" s="405"/>
      <c r="I432" s="317"/>
      <c r="J432" s="405"/>
      <c r="K432" s="396"/>
      <c r="L432" s="405"/>
      <c r="M432" s="317"/>
      <c r="N432" s="405"/>
      <c r="O432" s="396"/>
      <c r="P432" s="405"/>
      <c r="Q432" s="317"/>
      <c r="R432" s="405"/>
      <c r="S432" s="396"/>
      <c r="T432" s="405"/>
      <c r="U432" s="317"/>
      <c r="V432" s="405"/>
      <c r="W432" s="396"/>
      <c r="X432" s="405"/>
      <c r="Y432" s="317"/>
      <c r="Z432" s="405"/>
      <c r="AA432" s="396"/>
      <c r="AB432" s="396"/>
      <c r="AC432" s="317"/>
      <c r="AD432" s="317"/>
      <c r="AE432" s="313"/>
      <c r="AF432" s="801">
        <v>18.314999999999998</v>
      </c>
      <c r="AG432" s="323">
        <f t="shared" ref="AG432:AG435" si="2694">+AH432-AF432</f>
        <v>60.185000000000002</v>
      </c>
      <c r="AH432" s="801">
        <v>78.5</v>
      </c>
      <c r="AI432" s="136"/>
      <c r="AJ432" s="801">
        <v>39.200000000000003</v>
      </c>
      <c r="AK432" s="323">
        <f t="shared" ref="AK432" si="2695">+AL432-AJ432</f>
        <v>60.215999999999994</v>
      </c>
      <c r="AL432" s="801">
        <v>99.415999999999997</v>
      </c>
      <c r="AN432" s="906">
        <v>32</v>
      </c>
      <c r="AO432" s="323">
        <f t="shared" ref="AO432" si="2696">+AP432-AN432</f>
        <v>77.599999999999994</v>
      </c>
      <c r="AP432" s="921">
        <v>109.6</v>
      </c>
      <c r="AR432" s="232">
        <f t="shared" ref="AR432:AT432" si="2697">+AR426+AR431</f>
        <v>45.279200000000074</v>
      </c>
      <c r="AS432" s="232">
        <f t="shared" si="2697"/>
        <v>82.077675000000056</v>
      </c>
      <c r="AT432" s="232">
        <f t="shared" si="2697"/>
        <v>127.35687500000012</v>
      </c>
      <c r="AV432" s="232">
        <f t="shared" ref="AV432:AX432" si="2698">+AV426+AV431</f>
        <v>48.548664000000066</v>
      </c>
      <c r="AW432" s="232">
        <f t="shared" si="2698"/>
        <v>90.131360000000058</v>
      </c>
      <c r="AX432" s="232">
        <f t="shared" si="2698"/>
        <v>138.68002400000009</v>
      </c>
      <c r="AZ432" s="232">
        <f t="shared" ref="AZ432:BB432" si="2699">+AZ426+AZ431</f>
        <v>53.272515600000084</v>
      </c>
      <c r="BA432" s="232">
        <f t="shared" si="2699"/>
        <v>97.295238875000067</v>
      </c>
      <c r="BB432" s="232">
        <f t="shared" si="2699"/>
        <v>150.56775447500016</v>
      </c>
      <c r="BD432" s="232">
        <f t="shared" ref="BD432:BF432" si="2700">+BD426+BD431</f>
        <v>55.738843380000091</v>
      </c>
      <c r="BE432" s="232">
        <f t="shared" si="2700"/>
        <v>101.85460281875007</v>
      </c>
      <c r="BF432" s="232">
        <f t="shared" si="2700"/>
        <v>157.59344619875017</v>
      </c>
      <c r="BH432" s="232">
        <f t="shared" ref="BH432:BJ432" si="2701">+BH426+BH431</f>
        <v>58.328487549000073</v>
      </c>
      <c r="BI432" s="232">
        <f t="shared" si="2701"/>
        <v>106.64193495968759</v>
      </c>
      <c r="BJ432" s="232">
        <f t="shared" si="2701"/>
        <v>164.97042250868768</v>
      </c>
      <c r="BL432" s="232">
        <f t="shared" ref="BL432:BN432" si="2702">+BL426+BL431</f>
        <v>61.047613926450083</v>
      </c>
      <c r="BM432" s="232">
        <f t="shared" si="2702"/>
        <v>111.66863370767196</v>
      </c>
      <c r="BN432" s="232">
        <f t="shared" si="2702"/>
        <v>172.71624763412203</v>
      </c>
      <c r="BP432" s="232">
        <f t="shared" ref="BP432:BR432" si="2703">+BP426+BP431</f>
        <v>63.902696622772581</v>
      </c>
      <c r="BQ432" s="232">
        <f t="shared" si="2703"/>
        <v>116.94666739305555</v>
      </c>
      <c r="BR432" s="232">
        <f t="shared" si="2703"/>
        <v>180.84936401582812</v>
      </c>
      <c r="BT432" s="232">
        <f t="shared" ref="BT432:BV432" si="2704">+BT426+BT431</f>
        <v>66.900533453911208</v>
      </c>
      <c r="BU432" s="232">
        <f t="shared" si="2704"/>
        <v>122.48860276270834</v>
      </c>
      <c r="BV432" s="232">
        <f t="shared" si="2704"/>
        <v>189.38913621661951</v>
      </c>
      <c r="BX432" s="232">
        <f t="shared" ref="BX432:BZ432" si="2705">+BX426+BX431</f>
        <v>70.048262126606772</v>
      </c>
      <c r="BY432" s="232">
        <f t="shared" si="2705"/>
        <v>128.30763490084377</v>
      </c>
      <c r="BZ432" s="232">
        <f t="shared" si="2705"/>
        <v>198.35589702745054</v>
      </c>
    </row>
    <row r="433" spans="1:78" s="135" customFormat="1">
      <c r="A433" s="134"/>
      <c r="B433" s="151"/>
      <c r="D433" s="317"/>
      <c r="E433" s="317"/>
      <c r="F433" s="317"/>
      <c r="G433" s="396"/>
      <c r="H433" s="317"/>
      <c r="I433" s="317"/>
      <c r="J433" s="317"/>
      <c r="K433" s="396"/>
      <c r="L433" s="317"/>
      <c r="M433" s="317"/>
      <c r="N433" s="317"/>
      <c r="O433" s="396"/>
      <c r="P433" s="317"/>
      <c r="Q433" s="317"/>
      <c r="R433" s="317"/>
      <c r="S433" s="396"/>
      <c r="T433" s="317"/>
      <c r="U433" s="317"/>
      <c r="V433" s="317"/>
      <c r="W433" s="396"/>
      <c r="X433" s="317"/>
      <c r="Y433" s="317"/>
      <c r="Z433" s="317"/>
      <c r="AA433" s="396"/>
      <c r="AB433" s="405"/>
      <c r="AC433" s="317"/>
      <c r="AD433" s="317"/>
      <c r="AF433" s="232"/>
      <c r="AG433" s="232"/>
      <c r="AH433" s="232"/>
      <c r="AJ433" s="232"/>
      <c r="AK433" s="232"/>
      <c r="AL433" s="323"/>
      <c r="AN433" s="232"/>
      <c r="AO433" s="232"/>
      <c r="AP433" s="323"/>
      <c r="AR433" s="232"/>
      <c r="AS433" s="232"/>
      <c r="AT433" s="232"/>
      <c r="AV433" s="232"/>
      <c r="AW433" s="232"/>
      <c r="AX433" s="232"/>
      <c r="AZ433" s="232"/>
      <c r="BA433" s="232"/>
      <c r="BB433" s="232"/>
      <c r="BD433" s="232"/>
      <c r="BE433" s="232"/>
      <c r="BF433" s="232"/>
      <c r="BH433" s="232"/>
      <c r="BI433" s="232"/>
      <c r="BJ433" s="232"/>
      <c r="BL433" s="232"/>
      <c r="BM433" s="232"/>
      <c r="BN433" s="232"/>
      <c r="BP433" s="232"/>
      <c r="BQ433" s="232"/>
      <c r="BR433" s="232"/>
      <c r="BT433" s="232"/>
      <c r="BU433" s="232"/>
      <c r="BV433" s="232"/>
      <c r="BX433" s="232"/>
      <c r="BY433" s="232"/>
      <c r="BZ433" s="232"/>
    </row>
    <row r="434" spans="1:78" s="135" customFormat="1">
      <c r="A434" s="134"/>
      <c r="B434" s="150" t="s">
        <v>163</v>
      </c>
      <c r="D434" s="222"/>
      <c r="E434" s="222"/>
      <c r="F434" s="222"/>
      <c r="G434" s="400"/>
      <c r="H434" s="222"/>
      <c r="I434" s="222"/>
      <c r="J434" s="222"/>
      <c r="K434" s="400"/>
      <c r="L434" s="222"/>
      <c r="M434" s="222"/>
      <c r="N434" s="222"/>
      <c r="O434" s="400"/>
      <c r="P434" s="222"/>
      <c r="Q434" s="222"/>
      <c r="R434" s="222"/>
      <c r="S434" s="400"/>
      <c r="T434" s="222"/>
      <c r="U434" s="222"/>
      <c r="V434" s="222"/>
      <c r="W434" s="400"/>
      <c r="X434" s="222"/>
      <c r="Y434" s="222"/>
      <c r="Z434" s="222"/>
      <c r="AA434" s="400"/>
      <c r="AB434" s="222"/>
      <c r="AC434" s="222"/>
      <c r="AD434" s="222"/>
      <c r="AE434" s="133"/>
      <c r="AF434" s="262">
        <f>+AF435-AF426</f>
        <v>-0.33999999999999631</v>
      </c>
      <c r="AG434" s="262">
        <f>+AG435-AG426</f>
        <v>-1.470000000000006</v>
      </c>
      <c r="AH434" s="262">
        <f>+AH435-AH426</f>
        <v>-1.8100000000000307</v>
      </c>
      <c r="AI434" s="136"/>
      <c r="AJ434" s="262">
        <f>+AJ435-AJ426</f>
        <v>-1.0000000000000142</v>
      </c>
      <c r="AK434" s="262">
        <f>+AK435-AK426</f>
        <v>-1.6539999999999822</v>
      </c>
      <c r="AL434" s="262">
        <f>+AL435-AL426</f>
        <v>-2.6539999999999964</v>
      </c>
      <c r="AM434" s="133"/>
      <c r="AN434" s="262">
        <f>+AN435-AN426</f>
        <v>-1.4000000000000341</v>
      </c>
      <c r="AO434" s="262">
        <f>+AO435-AO426</f>
        <v>-4.0999999999999375</v>
      </c>
      <c r="AP434" s="262">
        <f>+AP435-AP426</f>
        <v>-5.4999999999999716</v>
      </c>
      <c r="AQ434" s="133"/>
      <c r="AR434" s="136">
        <f t="shared" ref="AR434:AT434" si="2706">+AR435-AR432</f>
        <v>-2.1281224000000023</v>
      </c>
      <c r="AS434" s="136">
        <f t="shared" si="2706"/>
        <v>-3.8576507249999992</v>
      </c>
      <c r="AT434" s="136">
        <f t="shared" si="2706"/>
        <v>-5.9857731249999802</v>
      </c>
      <c r="AU434" s="133"/>
      <c r="AV434" s="136">
        <f t="shared" ref="AV434:AX434" si="2707">+AV435-AV432</f>
        <v>-2.2817872080000043</v>
      </c>
      <c r="AW434" s="136">
        <f t="shared" si="2707"/>
        <v>-4.236173920000013</v>
      </c>
      <c r="AX434" s="136">
        <f t="shared" si="2707"/>
        <v>-6.5179611279999961</v>
      </c>
      <c r="AY434" s="133"/>
      <c r="AZ434" s="136">
        <f t="shared" ref="AZ434:BB434" si="2708">+AZ435-AZ432</f>
        <v>-2.5038082332000045</v>
      </c>
      <c r="BA434" s="136">
        <f t="shared" si="2708"/>
        <v>-4.5728762271250076</v>
      </c>
      <c r="BB434" s="136">
        <f t="shared" si="2708"/>
        <v>-7.0766844603250263</v>
      </c>
      <c r="BC434" s="133"/>
      <c r="BD434" s="136">
        <f t="shared" ref="BD434:BF434" si="2709">+BD435-BD432</f>
        <v>-2.6197256388600039</v>
      </c>
      <c r="BE434" s="136">
        <f t="shared" si="2709"/>
        <v>-4.787166332481263</v>
      </c>
      <c r="BF434" s="136">
        <f t="shared" si="2709"/>
        <v>-7.4068919713412811</v>
      </c>
      <c r="BG434" s="133"/>
      <c r="BH434" s="136">
        <f t="shared" ref="BH434:BJ434" si="2710">+BH435-BH432</f>
        <v>-2.7414389148030054</v>
      </c>
      <c r="BI434" s="136">
        <f t="shared" si="2710"/>
        <v>-5.0121709431053176</v>
      </c>
      <c r="BJ434" s="136">
        <f t="shared" si="2710"/>
        <v>-7.7536098579083443</v>
      </c>
      <c r="BK434" s="133"/>
      <c r="BL434" s="136">
        <f t="shared" ref="BL434:BN434" si="2711">+BL435-BL432</f>
        <v>-2.8692378545431581</v>
      </c>
      <c r="BM434" s="136">
        <f t="shared" si="2711"/>
        <v>-5.2484257842605899</v>
      </c>
      <c r="BN434" s="136">
        <f t="shared" si="2711"/>
        <v>-8.117663638803748</v>
      </c>
      <c r="BO434" s="133"/>
      <c r="BP434" s="136">
        <f t="shared" ref="BP434:BR434" si="2712">+BP435-BP432</f>
        <v>-3.0034267412703173</v>
      </c>
      <c r="BQ434" s="136">
        <f t="shared" si="2712"/>
        <v>-5.4964933674736187</v>
      </c>
      <c r="BR434" s="136">
        <f t="shared" si="2712"/>
        <v>-8.4999201087439076</v>
      </c>
      <c r="BS434" s="133"/>
      <c r="BT434" s="136">
        <f t="shared" ref="BT434:BV434" si="2713">+BT435-BT432</f>
        <v>-3.1443250723338281</v>
      </c>
      <c r="BU434" s="136">
        <f t="shared" si="2713"/>
        <v>-5.7569643298472926</v>
      </c>
      <c r="BV434" s="136">
        <f t="shared" si="2713"/>
        <v>-8.901289402181078</v>
      </c>
      <c r="BW434" s="133"/>
      <c r="BX434" s="136">
        <f t="shared" ref="BX434:BZ434" si="2714">+BX435-BX432</f>
        <v>-3.2922683199505229</v>
      </c>
      <c r="BY434" s="136">
        <f t="shared" si="2714"/>
        <v>-6.0304588403396622</v>
      </c>
      <c r="BZ434" s="136">
        <f t="shared" si="2714"/>
        <v>-9.3227271602901851</v>
      </c>
    </row>
    <row r="435" spans="1:78" s="135" customFormat="1" ht="14.4" thickBot="1">
      <c r="A435" s="134"/>
      <c r="B435" s="151" t="s">
        <v>182</v>
      </c>
      <c r="D435" s="405"/>
      <c r="E435" s="317"/>
      <c r="F435" s="405"/>
      <c r="G435" s="400"/>
      <c r="H435" s="405"/>
      <c r="I435" s="317"/>
      <c r="J435" s="405"/>
      <c r="K435" s="400"/>
      <c r="L435" s="405"/>
      <c r="M435" s="317"/>
      <c r="N435" s="405"/>
      <c r="O435" s="400"/>
      <c r="P435" s="405"/>
      <c r="Q435" s="317"/>
      <c r="R435" s="405"/>
      <c r="S435" s="400"/>
      <c r="T435" s="405"/>
      <c r="U435" s="317"/>
      <c r="V435" s="405"/>
      <c r="W435" s="396"/>
      <c r="X435" s="405"/>
      <c r="Y435" s="317"/>
      <c r="Z435" s="405"/>
      <c r="AA435" s="396"/>
      <c r="AB435" s="405"/>
      <c r="AC435" s="317"/>
      <c r="AD435" s="317"/>
      <c r="AF435" s="343">
        <v>17.975000000000001</v>
      </c>
      <c r="AG435" s="323">
        <f t="shared" si="2694"/>
        <v>58.925000000000004</v>
      </c>
      <c r="AH435" s="343">
        <v>76.900000000000006</v>
      </c>
      <c r="AI435" s="136"/>
      <c r="AJ435" s="343">
        <v>38.200000000000003</v>
      </c>
      <c r="AK435" s="323">
        <f t="shared" ref="AK435" si="2715">+AL435-AJ435</f>
        <v>58.561999999999998</v>
      </c>
      <c r="AL435" s="343">
        <f>99.416-2.654</f>
        <v>96.762</v>
      </c>
      <c r="AM435" s="133"/>
      <c r="AN435" s="313">
        <v>30.5</v>
      </c>
      <c r="AO435" s="323">
        <f t="shared" ref="AO435" si="2716">+AP435-AN435</f>
        <v>73.599999999999994</v>
      </c>
      <c r="AP435" s="913">
        <v>104.1</v>
      </c>
      <c r="AQ435" s="133"/>
      <c r="AR435" s="232">
        <f t="shared" ref="AR435:AS435" si="2717">+AR436*AR432</f>
        <v>43.151077600000072</v>
      </c>
      <c r="AS435" s="232">
        <f t="shared" si="2717"/>
        <v>78.220024275000057</v>
      </c>
      <c r="AT435" s="232">
        <f t="shared" ref="AT435" si="2718">+AR435+AS435</f>
        <v>121.37110187500014</v>
      </c>
      <c r="AU435" s="133"/>
      <c r="AV435" s="232">
        <f t="shared" ref="AV435:AW435" si="2719">+AV436*AV432</f>
        <v>46.266876792000062</v>
      </c>
      <c r="AW435" s="232">
        <f t="shared" si="2719"/>
        <v>85.895186080000045</v>
      </c>
      <c r="AX435" s="232">
        <f t="shared" ref="AX435" si="2720">+AV435+AW435</f>
        <v>132.16206287200009</v>
      </c>
      <c r="AY435" s="133"/>
      <c r="AZ435" s="232">
        <f t="shared" ref="AZ435:BA435" si="2721">+AZ436*AZ432</f>
        <v>50.768707366800079</v>
      </c>
      <c r="BA435" s="232">
        <f t="shared" si="2721"/>
        <v>92.722362647875059</v>
      </c>
      <c r="BB435" s="232">
        <f t="shared" ref="BB435" si="2722">+AZ435+BA435</f>
        <v>143.49107001467513</v>
      </c>
      <c r="BC435" s="133"/>
      <c r="BD435" s="232">
        <f t="shared" ref="BD435:BE435" si="2723">+BD436*BD432</f>
        <v>53.119117741140087</v>
      </c>
      <c r="BE435" s="232">
        <f t="shared" si="2723"/>
        <v>97.067436486268804</v>
      </c>
      <c r="BF435" s="232">
        <f t="shared" ref="BF435" si="2724">+BD435+BE435</f>
        <v>150.18655422740889</v>
      </c>
      <c r="BG435" s="133"/>
      <c r="BH435" s="232">
        <f t="shared" ref="BH435:BI435" si="2725">+BH436*BH432</f>
        <v>55.587048634197068</v>
      </c>
      <c r="BI435" s="232">
        <f t="shared" si="2725"/>
        <v>101.62976401658227</v>
      </c>
      <c r="BJ435" s="232">
        <f t="shared" ref="BJ435" si="2726">+BH435+BI435</f>
        <v>157.21681265077933</v>
      </c>
      <c r="BK435" s="133"/>
      <c r="BL435" s="232">
        <f t="shared" ref="BL435:BM435" si="2727">+BL436*BL432</f>
        <v>58.178376071906925</v>
      </c>
      <c r="BM435" s="232">
        <f t="shared" si="2727"/>
        <v>106.42020792341137</v>
      </c>
      <c r="BN435" s="232">
        <f t="shared" ref="BN435" si="2728">+BL435+BM435</f>
        <v>164.59858399531828</v>
      </c>
      <c r="BO435" s="133"/>
      <c r="BP435" s="232">
        <f t="shared" ref="BP435:BQ435" si="2729">+BP436*BP432</f>
        <v>60.899269881502264</v>
      </c>
      <c r="BQ435" s="232">
        <f t="shared" si="2729"/>
        <v>111.45017402558193</v>
      </c>
      <c r="BR435" s="232">
        <f t="shared" ref="BR435" si="2730">+BP435+BQ435</f>
        <v>172.34944390708421</v>
      </c>
      <c r="BS435" s="133"/>
      <c r="BT435" s="232">
        <f t="shared" ref="BT435:BU435" si="2731">+BT436*BT432</f>
        <v>63.75620838157738</v>
      </c>
      <c r="BU435" s="232">
        <f t="shared" si="2731"/>
        <v>116.73163843286105</v>
      </c>
      <c r="BV435" s="232">
        <f t="shared" ref="BV435" si="2732">+BT435+BU435</f>
        <v>180.48784681443843</v>
      </c>
      <c r="BW435" s="133"/>
      <c r="BX435" s="232">
        <f t="shared" ref="BX435:BY435" si="2733">+BX436*BX432</f>
        <v>66.755993806656249</v>
      </c>
      <c r="BY435" s="232">
        <f t="shared" si="2733"/>
        <v>122.2771760605041</v>
      </c>
      <c r="BZ435" s="232">
        <f t="shared" ref="BZ435" si="2734">+BX435+BY435</f>
        <v>189.03316986716035</v>
      </c>
    </row>
    <row r="436" spans="1:78" s="220" customFormat="1" ht="14.4" thickBot="1">
      <c r="A436" s="660"/>
      <c r="B436" s="658" t="s">
        <v>260</v>
      </c>
      <c r="D436" s="402"/>
      <c r="E436" s="402"/>
      <c r="F436" s="402"/>
      <c r="G436" s="678"/>
      <c r="H436" s="402"/>
      <c r="I436" s="402"/>
      <c r="J436" s="402"/>
      <c r="K436" s="678"/>
      <c r="L436" s="402"/>
      <c r="M436" s="402"/>
      <c r="N436" s="402"/>
      <c r="O436" s="678"/>
      <c r="P436" s="402"/>
      <c r="Q436" s="402"/>
      <c r="R436" s="402"/>
      <c r="S436" s="678"/>
      <c r="T436" s="402"/>
      <c r="U436" s="402"/>
      <c r="V436" s="402"/>
      <c r="W436" s="678"/>
      <c r="X436" s="402"/>
      <c r="Y436" s="402"/>
      <c r="Z436" s="402"/>
      <c r="AA436" s="678"/>
      <c r="AB436" s="402"/>
      <c r="AC436" s="402"/>
      <c r="AD436" s="402"/>
      <c r="AE436" s="138"/>
      <c r="AF436" s="315">
        <f>+AF435/AF432</f>
        <v>0.98143598143598165</v>
      </c>
      <c r="AG436" s="315">
        <f>+AG435/AG432</f>
        <v>0.97906455096784917</v>
      </c>
      <c r="AH436" s="315">
        <f>+AH435/AH432</f>
        <v>0.97961783439490457</v>
      </c>
      <c r="AI436" s="138"/>
      <c r="AJ436" s="315">
        <f>+AJ435/AJ432</f>
        <v>0.97448979591836737</v>
      </c>
      <c r="AK436" s="315">
        <f>+AK435/AK432</f>
        <v>0.97253221735087025</v>
      </c>
      <c r="AL436" s="315">
        <f>+AL435/AL432</f>
        <v>0.97330409592017386</v>
      </c>
      <c r="AM436" s="138"/>
      <c r="AN436" s="315">
        <f>+AN435/AN432</f>
        <v>0.953125</v>
      </c>
      <c r="AO436" s="315">
        <f>+AO435/AO432</f>
        <v>0.94845360824742264</v>
      </c>
      <c r="AP436" s="315">
        <f>+AP435/AP432</f>
        <v>0.94981751824817517</v>
      </c>
      <c r="AQ436" s="138"/>
      <c r="AR436" s="659">
        <f>Scenarios!AF33</f>
        <v>0.95299999999999996</v>
      </c>
      <c r="AS436" s="659">
        <f>Scenarios!AG33</f>
        <v>0.95299999999999996</v>
      </c>
      <c r="AT436" s="315">
        <f t="shared" ref="AT436" si="2735">+AT435/AT432</f>
        <v>0.95300000000000018</v>
      </c>
      <c r="AU436" s="138"/>
      <c r="AV436" s="659">
        <f>Scenarios!AJ33</f>
        <v>0.95299999999999996</v>
      </c>
      <c r="AW436" s="659">
        <f>Scenarios!AK33</f>
        <v>0.95299999999999996</v>
      </c>
      <c r="AX436" s="315">
        <f t="shared" ref="AX436" si="2736">+AX435/AX432</f>
        <v>0.95300000000000007</v>
      </c>
      <c r="AY436" s="138"/>
      <c r="AZ436" s="659">
        <f>Scenarios!AN33</f>
        <v>0.95299999999999996</v>
      </c>
      <c r="BA436" s="659">
        <f>Scenarios!AO33</f>
        <v>0.95299999999999996</v>
      </c>
      <c r="BB436" s="315">
        <f t="shared" ref="BB436" si="2737">+BB435/BB432</f>
        <v>0.95299999999999985</v>
      </c>
      <c r="BC436" s="138"/>
      <c r="BD436" s="659">
        <f>Scenarios!AR33</f>
        <v>0.95299999999999996</v>
      </c>
      <c r="BE436" s="659">
        <f>Scenarios!AS33</f>
        <v>0.95299999999999996</v>
      </c>
      <c r="BF436" s="315">
        <f t="shared" ref="BF436" si="2738">+BF435/BF432</f>
        <v>0.95299999999999985</v>
      </c>
      <c r="BG436" s="138"/>
      <c r="BH436" s="659">
        <f>Scenarios!AV33</f>
        <v>0.95299999999999996</v>
      </c>
      <c r="BI436" s="659">
        <f>Scenarios!AW33</f>
        <v>0.95299999999999996</v>
      </c>
      <c r="BJ436" s="315">
        <f t="shared" ref="BJ436" si="2739">+BJ435/BJ432</f>
        <v>0.95299999999999985</v>
      </c>
      <c r="BK436" s="138"/>
      <c r="BL436" s="659">
        <f>Scenarios!AZ33</f>
        <v>0.95299999999999996</v>
      </c>
      <c r="BM436" s="659">
        <f>Scenarios!BA33</f>
        <v>0.95299999999999996</v>
      </c>
      <c r="BN436" s="315">
        <f t="shared" ref="BN436" si="2740">+BN435/BN432</f>
        <v>0.95299999999999996</v>
      </c>
      <c r="BO436" s="138"/>
      <c r="BP436" s="659">
        <f>Scenarios!BD33</f>
        <v>0.95299999999999996</v>
      </c>
      <c r="BQ436" s="659">
        <f>Scenarios!BE33</f>
        <v>0.95299999999999996</v>
      </c>
      <c r="BR436" s="315">
        <f t="shared" ref="BR436" si="2741">+BR435/BR432</f>
        <v>0.95300000000000007</v>
      </c>
      <c r="BS436" s="138"/>
      <c r="BT436" s="659">
        <f>Scenarios!BH33</f>
        <v>0.95299999999999996</v>
      </c>
      <c r="BU436" s="659">
        <f>Scenarios!BI33</f>
        <v>0.95299999999999996</v>
      </c>
      <c r="BV436" s="315">
        <f t="shared" ref="BV436" si="2742">+BV435/BV432</f>
        <v>0.95300000000000018</v>
      </c>
      <c r="BW436" s="138"/>
      <c r="BX436" s="659">
        <f>Scenarios!BL33</f>
        <v>0.95299999999999996</v>
      </c>
      <c r="BY436" s="659">
        <f>Scenarios!BM33</f>
        <v>0.95299999999999996</v>
      </c>
      <c r="BZ436" s="315">
        <f t="shared" ref="BZ436" si="2743">+BZ435/BZ432</f>
        <v>0.95299999999999996</v>
      </c>
    </row>
    <row r="437" spans="1:78" s="135" customFormat="1">
      <c r="A437" s="134"/>
      <c r="B437" s="314" t="s">
        <v>259</v>
      </c>
      <c r="D437" s="317"/>
      <c r="E437" s="317"/>
      <c r="F437" s="317"/>
      <c r="G437" s="400"/>
      <c r="H437" s="317"/>
      <c r="I437" s="317"/>
      <c r="J437" s="317"/>
      <c r="K437" s="400"/>
      <c r="L437" s="317"/>
      <c r="M437" s="317"/>
      <c r="N437" s="317"/>
      <c r="O437" s="400"/>
      <c r="P437" s="317"/>
      <c r="Q437" s="317"/>
      <c r="R437" s="317"/>
      <c r="S437" s="400"/>
      <c r="T437" s="317"/>
      <c r="U437" s="317"/>
      <c r="V437" s="317"/>
      <c r="W437" s="400"/>
      <c r="X437" s="402"/>
      <c r="Y437" s="402"/>
      <c r="Z437" s="402"/>
      <c r="AA437" s="400"/>
      <c r="AB437" s="402"/>
      <c r="AC437" s="402"/>
      <c r="AD437" s="402"/>
      <c r="AE437" s="133"/>
      <c r="AF437" s="315"/>
      <c r="AG437" s="315"/>
      <c r="AH437" s="315"/>
      <c r="AI437" s="133"/>
      <c r="AJ437" s="315">
        <f>+AJ435/AF435-1</f>
        <v>1.1251738525730182</v>
      </c>
      <c r="AK437" s="315">
        <f>+AK435/AG435-1</f>
        <v>-6.1603733559610907E-3</v>
      </c>
      <c r="AL437" s="315">
        <f>+AL435/AH435-1</f>
        <v>0.25828348504551357</v>
      </c>
      <c r="AM437" s="232"/>
      <c r="AN437" s="315">
        <f>+AN435/AJ435-1</f>
        <v>-0.20157068062827233</v>
      </c>
      <c r="AO437" s="315">
        <f>+AO435/AK435-1</f>
        <v>0.25678767801646107</v>
      </c>
      <c r="AP437" s="315">
        <f>+AP435/AL435-1</f>
        <v>7.5835555279965217E-2</v>
      </c>
      <c r="AQ437" s="133"/>
      <c r="AR437" s="315">
        <f>+AR435/AN435-1</f>
        <v>0.41478942950819908</v>
      </c>
      <c r="AS437" s="315">
        <f>+AS435/AO435-1</f>
        <v>6.277206895380516E-2</v>
      </c>
      <c r="AT437" s="315">
        <f>+AT435/AP435-1</f>
        <v>0.16590875960614926</v>
      </c>
      <c r="AU437" s="133"/>
      <c r="AV437" s="315">
        <f>+AV435/AR435-1</f>
        <v>7.2206752769483185E-2</v>
      </c>
      <c r="AW437" s="315">
        <f>+AW435/AS435-1</f>
        <v>9.8122723383672561E-2</v>
      </c>
      <c r="AX437" s="315">
        <f>+AX435/AT435-1</f>
        <v>8.8908816269242852E-2</v>
      </c>
      <c r="AY437" s="133"/>
      <c r="AZ437" s="315">
        <f>+AZ435/AV435-1</f>
        <v>9.7301371671113523E-2</v>
      </c>
      <c r="BA437" s="315">
        <f>+BA435/AW435-1</f>
        <v>7.9482644830833671E-2</v>
      </c>
      <c r="BB437" s="315">
        <f>+BB435/AX435-1</f>
        <v>8.5720568342272818E-2</v>
      </c>
      <c r="BC437" s="133"/>
      <c r="BD437" s="315">
        <f>+BD435/AZ435-1</f>
        <v>4.6296439209264628E-2</v>
      </c>
      <c r="BE437" s="315">
        <f>+BE435/BA435-1</f>
        <v>4.6861120816072299E-2</v>
      </c>
      <c r="BF437" s="315">
        <f>+BF435/BB435-1</f>
        <v>4.6661330297760095E-2</v>
      </c>
      <c r="BG437" s="133"/>
      <c r="BH437" s="315">
        <f>+BH435/BD435-1</f>
        <v>4.6460314064019181E-2</v>
      </c>
      <c r="BI437" s="315">
        <f>+BI435/BE435-1</f>
        <v>4.7001627893602071E-2</v>
      </c>
      <c r="BJ437" s="315">
        <f>+BJ435/BF435-1</f>
        <v>4.681017191942094E-2</v>
      </c>
      <c r="BK437" s="133"/>
      <c r="BL437" s="315">
        <f>+BL435/BH435-1</f>
        <v>4.6617467582469763E-2</v>
      </c>
      <c r="BM437" s="315">
        <f>+BM435/BI435-1</f>
        <v>4.7136229756938874E-2</v>
      </c>
      <c r="BN437" s="315">
        <f>+BN435/BJ435-1</f>
        <v>4.6952811344266543E-2</v>
      </c>
      <c r="BO437" s="133"/>
      <c r="BP437" s="315">
        <f>+BP435/BL435-1</f>
        <v>4.6768129214063814E-2</v>
      </c>
      <c r="BQ437" s="315">
        <f>+BQ435/BM435-1</f>
        <v>4.7265140712659859E-2</v>
      </c>
      <c r="BR437" s="315">
        <f>+BR435/BN435-1</f>
        <v>4.7089468959139902E-2</v>
      </c>
      <c r="BS437" s="133"/>
      <c r="BT437" s="315">
        <f>+BT435/BP435-1</f>
        <v>4.6912524659723287E-2</v>
      </c>
      <c r="BU437" s="315">
        <f>+BU435/BQ435-1</f>
        <v>4.7388570304671029E-2</v>
      </c>
      <c r="BV437" s="315">
        <f>+BV435/BR435-1</f>
        <v>4.7220360697779462E-2</v>
      </c>
      <c r="BW437" s="133"/>
      <c r="BX437" s="315">
        <f>+BX435/BT435-1</f>
        <v>4.7050875533960923E-2</v>
      </c>
      <c r="BY437" s="315">
        <f>+BY435/BU435-1</f>
        <v>4.7506723130872563E-2</v>
      </c>
      <c r="BZ437" s="315">
        <f>+BZ435/BV435-1</f>
        <v>4.7345697804835885E-2</v>
      </c>
    </row>
    <row r="438" spans="1:78">
      <c r="D438" s="400"/>
      <c r="E438" s="400"/>
      <c r="F438" s="400"/>
      <c r="G438" s="400"/>
      <c r="H438" s="400"/>
      <c r="I438" s="400"/>
      <c r="J438" s="400"/>
      <c r="K438" s="400"/>
      <c r="L438" s="400"/>
      <c r="M438" s="400"/>
      <c r="N438" s="400"/>
      <c r="O438" s="400"/>
      <c r="P438" s="400"/>
      <c r="Q438" s="400"/>
      <c r="R438" s="400"/>
      <c r="S438" s="400"/>
      <c r="T438" s="400"/>
      <c r="U438" s="400"/>
      <c r="V438" s="400"/>
      <c r="W438" s="400"/>
      <c r="X438" s="400"/>
      <c r="Y438" s="400"/>
      <c r="Z438" s="400"/>
      <c r="AA438" s="400"/>
      <c r="AB438" s="400"/>
      <c r="AC438" s="400"/>
      <c r="AD438" s="400"/>
      <c r="AN438" s="315"/>
      <c r="AO438" s="315"/>
    </row>
    <row r="439" spans="1:78" s="135" customFormat="1">
      <c r="A439" s="134"/>
      <c r="B439" s="150"/>
      <c r="D439" s="315"/>
      <c r="E439" s="315"/>
      <c r="F439" s="315"/>
      <c r="G439" s="133"/>
      <c r="H439" s="315"/>
      <c r="I439" s="315"/>
      <c r="J439" s="315"/>
      <c r="K439" s="133"/>
      <c r="L439" s="315"/>
      <c r="M439" s="315"/>
      <c r="N439" s="315"/>
      <c r="O439" s="133"/>
      <c r="P439" s="315"/>
      <c r="Q439" s="315"/>
      <c r="R439" s="315"/>
      <c r="S439" s="133"/>
      <c r="T439" s="315"/>
      <c r="U439" s="315"/>
      <c r="V439" s="315"/>
      <c r="W439" s="133"/>
      <c r="X439" s="315"/>
      <c r="Y439" s="315"/>
      <c r="Z439" s="315"/>
      <c r="AA439" s="133"/>
      <c r="AB439" s="315"/>
      <c r="AC439" s="315"/>
      <c r="AD439" s="384"/>
      <c r="AE439" s="133"/>
      <c r="AF439" s="384"/>
      <c r="AG439" s="232"/>
      <c r="AH439" s="232"/>
      <c r="AI439" s="133"/>
      <c r="AJ439" s="232"/>
      <c r="AK439" s="232"/>
      <c r="AL439" s="232" t="s">
        <v>730</v>
      </c>
      <c r="AM439" s="133"/>
      <c r="AN439" s="933">
        <f>(32+7.9)/204.6</f>
        <v>0.19501466275659823</v>
      </c>
      <c r="AO439" s="933">
        <f>(AO426+14.6-7.9)/AO421</f>
        <v>0.32300038270187498</v>
      </c>
      <c r="AP439" s="933">
        <f>(109.6+14.6)/465.9</f>
        <v>0.26658081133290407</v>
      </c>
      <c r="AQ439" s="133"/>
      <c r="AR439" s="232"/>
      <c r="AS439" s="232"/>
      <c r="AT439" s="232"/>
      <c r="AU439" s="133"/>
      <c r="AV439" s="232"/>
      <c r="AW439" s="232"/>
      <c r="AX439" s="232"/>
      <c r="AY439" s="133"/>
      <c r="AZ439" s="232"/>
      <c r="BA439" s="232"/>
      <c r="BB439" s="232"/>
      <c r="BC439" s="133"/>
      <c r="BD439" s="232"/>
      <c r="BE439" s="232"/>
      <c r="BF439" s="232"/>
      <c r="BG439" s="133"/>
      <c r="BH439" s="232"/>
      <c r="BI439" s="232"/>
      <c r="BJ439" s="232"/>
      <c r="BK439" s="133"/>
      <c r="BL439" s="232"/>
      <c r="BM439" s="232"/>
      <c r="BN439" s="232"/>
      <c r="BO439" s="133"/>
      <c r="BP439" s="232"/>
      <c r="BQ439" s="232"/>
      <c r="BR439" s="232"/>
      <c r="BS439" s="133"/>
      <c r="BT439" s="232"/>
      <c r="BU439" s="232"/>
      <c r="BV439" s="232"/>
      <c r="BW439" s="133"/>
      <c r="BX439" s="232"/>
      <c r="BY439" s="232"/>
      <c r="BZ439" s="232"/>
    </row>
    <row r="440" spans="1:78" s="366" customFormat="1">
      <c r="A440" s="365"/>
      <c r="B440" s="365" t="s">
        <v>291</v>
      </c>
      <c r="AD440" s="341">
        <v>-4.1648201041664947</v>
      </c>
    </row>
    <row r="441" spans="1:78" s="161" customFormat="1">
      <c r="A441" s="148"/>
      <c r="B441" s="148"/>
      <c r="D441" s="230"/>
      <c r="H441" s="230"/>
      <c r="L441" s="230"/>
      <c r="P441" s="230"/>
    </row>
    <row r="442" spans="1:78" s="161" customFormat="1">
      <c r="A442" s="148"/>
      <c r="B442" s="149" t="s">
        <v>359</v>
      </c>
      <c r="D442" s="230"/>
      <c r="H442" s="230"/>
      <c r="L442" s="230"/>
      <c r="P442" s="230"/>
    </row>
    <row r="443" spans="1:78" s="161" customFormat="1">
      <c r="A443" s="148"/>
      <c r="B443" s="148" t="s">
        <v>358</v>
      </c>
      <c r="D443" s="230"/>
      <c r="H443" s="230"/>
      <c r="L443" s="230"/>
      <c r="P443" s="230"/>
      <c r="AD443" s="161">
        <v>10</v>
      </c>
      <c r="AF443" s="264">
        <v>0</v>
      </c>
      <c r="AG443" s="264">
        <v>3</v>
      </c>
      <c r="AH443" s="136">
        <f>+AF443+AG443</f>
        <v>3</v>
      </c>
      <c r="AJ443" s="264">
        <v>10.3</v>
      </c>
      <c r="AK443" s="264">
        <v>11.2</v>
      </c>
      <c r="AL443" s="136">
        <f>+AJ443+AK443</f>
        <v>21.5</v>
      </c>
    </row>
    <row r="444" spans="1:78" s="161" customFormat="1">
      <c r="A444" s="148"/>
      <c r="B444" s="148" t="s">
        <v>357</v>
      </c>
      <c r="D444" s="230"/>
      <c r="H444" s="230"/>
      <c r="L444" s="230"/>
      <c r="P444" s="230"/>
      <c r="AD444" s="161">
        <v>15</v>
      </c>
      <c r="AF444" s="264">
        <v>5.0999999999999996</v>
      </c>
      <c r="AG444" s="264">
        <v>2.9</v>
      </c>
      <c r="AH444" s="136">
        <f>+AF444+AG444</f>
        <v>8</v>
      </c>
      <c r="AJ444" s="264">
        <v>13.5</v>
      </c>
      <c r="AK444" s="264">
        <v>16.899999999999999</v>
      </c>
      <c r="AL444" s="136">
        <f>+AJ444+AK444</f>
        <v>30.4</v>
      </c>
    </row>
    <row r="446" spans="1:78" s="396" customFormat="1">
      <c r="A446" s="395"/>
      <c r="B446" s="395" t="s">
        <v>380</v>
      </c>
    </row>
    <row r="447" spans="1:78" s="135" customFormat="1">
      <c r="A447" s="134"/>
      <c r="B447" s="134"/>
    </row>
    <row r="448" spans="1:78" s="135" customFormat="1">
      <c r="A448" s="134"/>
      <c r="B448" s="134" t="s">
        <v>258</v>
      </c>
      <c r="T448" s="135">
        <v>4453</v>
      </c>
      <c r="X448" s="135">
        <v>4269</v>
      </c>
      <c r="AB448" s="135">
        <v>3585</v>
      </c>
    </row>
    <row r="449" spans="1:78" s="135" customFormat="1">
      <c r="A449" s="134"/>
      <c r="B449" s="134"/>
    </row>
    <row r="450" spans="1:78" s="135" customFormat="1">
      <c r="A450" s="134"/>
      <c r="B450" s="134" t="s">
        <v>0</v>
      </c>
      <c r="T450" s="135">
        <v>363.4</v>
      </c>
      <c r="X450" s="135">
        <v>328.4</v>
      </c>
      <c r="AB450" s="135">
        <v>322.10000000000002</v>
      </c>
      <c r="AH450" s="812"/>
      <c r="AI450" s="742"/>
      <c r="AL450" s="812"/>
    </row>
    <row r="451" spans="1:78">
      <c r="B451" s="132" t="s">
        <v>375</v>
      </c>
      <c r="T451" s="133">
        <v>158</v>
      </c>
      <c r="X451" s="133">
        <v>163.5</v>
      </c>
      <c r="AB451" s="133">
        <v>168.6</v>
      </c>
    </row>
    <row r="452" spans="1:78">
      <c r="B452" s="132" t="s">
        <v>376</v>
      </c>
      <c r="T452" s="133">
        <v>44.4</v>
      </c>
      <c r="X452" s="133">
        <v>31.2</v>
      </c>
      <c r="AB452" s="133">
        <v>28</v>
      </c>
    </row>
    <row r="453" spans="1:78">
      <c r="B453" s="132" t="s">
        <v>377</v>
      </c>
      <c r="T453" s="133">
        <v>79.5</v>
      </c>
      <c r="X453" s="133">
        <v>71.7</v>
      </c>
      <c r="AB453" s="133">
        <v>61.4</v>
      </c>
    </row>
    <row r="454" spans="1:78" s="135" customFormat="1">
      <c r="A454" s="134"/>
      <c r="B454" s="134" t="s">
        <v>378</v>
      </c>
      <c r="T454" s="135">
        <f>SUM(T451:T453)</f>
        <v>281.89999999999998</v>
      </c>
      <c r="X454" s="135">
        <f>SUM(X451:X453)</f>
        <v>266.39999999999998</v>
      </c>
      <c r="AB454" s="135">
        <f>SUM(AB451:AB453)</f>
        <v>258</v>
      </c>
    </row>
    <row r="455" spans="1:78" s="135" customFormat="1">
      <c r="A455" s="134"/>
      <c r="B455" s="134" t="s">
        <v>379</v>
      </c>
      <c r="T455" s="135">
        <f>+T450-T454</f>
        <v>81.5</v>
      </c>
      <c r="X455" s="135">
        <f>+X450-X454</f>
        <v>62</v>
      </c>
      <c r="AB455" s="135">
        <f>+AB450-AB454</f>
        <v>64.100000000000023</v>
      </c>
    </row>
    <row r="458" spans="1:78" s="229" customFormat="1" ht="15.6">
      <c r="A458" s="228"/>
      <c r="B458" s="576" t="s">
        <v>314</v>
      </c>
    </row>
    <row r="460" spans="1:78">
      <c r="B460" s="148" t="s">
        <v>155</v>
      </c>
      <c r="D460" s="264">
        <v>1.0680000000000001</v>
      </c>
      <c r="E460" s="136">
        <f>+F460-D460</f>
        <v>1.5329999999999999</v>
      </c>
      <c r="F460" s="264">
        <v>2.601</v>
      </c>
      <c r="G460" s="170"/>
      <c r="H460" s="264">
        <v>1.0680000000000001</v>
      </c>
      <c r="I460" s="136">
        <f>+J460-H460</f>
        <v>1.1800000000000002</v>
      </c>
      <c r="J460" s="264">
        <v>2.2480000000000002</v>
      </c>
      <c r="K460" s="170"/>
      <c r="L460" s="264">
        <v>1.236</v>
      </c>
      <c r="M460" s="136">
        <f>+N460-L460</f>
        <v>0.95099999999999985</v>
      </c>
      <c r="N460" s="264">
        <v>2.1869999999999998</v>
      </c>
      <c r="O460" s="170"/>
      <c r="P460" s="264">
        <v>2.4569999999999999</v>
      </c>
      <c r="Q460" s="136">
        <f>+R460-P460</f>
        <v>2.0880000000000001</v>
      </c>
      <c r="R460" s="264">
        <v>4.5449999999999999</v>
      </c>
      <c r="S460" s="170"/>
      <c r="T460" s="264">
        <v>2.4569999999999999</v>
      </c>
      <c r="U460" s="136">
        <f>+V460-T460</f>
        <v>2.0300000000000002</v>
      </c>
      <c r="V460" s="264">
        <v>4.4870000000000001</v>
      </c>
      <c r="W460" s="170"/>
      <c r="X460" s="230">
        <v>2.1379999999999999</v>
      </c>
      <c r="Y460" s="161">
        <f>+Z460-X460</f>
        <v>1.419</v>
      </c>
      <c r="Z460" s="230">
        <v>3.5569999999999999</v>
      </c>
      <c r="AA460" s="170"/>
      <c r="AB460" s="230">
        <v>0.95899999999999996</v>
      </c>
      <c r="AC460" s="161">
        <f>+AD460-AB460</f>
        <v>1.0230000000000001</v>
      </c>
      <c r="AD460" s="230">
        <v>1.982</v>
      </c>
      <c r="AE460" s="161"/>
      <c r="AF460" s="230">
        <v>1.153</v>
      </c>
      <c r="AG460" s="161">
        <f>+AH460-AF460</f>
        <v>1.6840000000000002</v>
      </c>
      <c r="AH460" s="230">
        <v>2.8370000000000002</v>
      </c>
      <c r="AI460" s="161"/>
      <c r="AJ460" s="230">
        <v>1.575</v>
      </c>
      <c r="AK460" s="161">
        <f>+AL460-AJ460</f>
        <v>1.8379999999999999</v>
      </c>
      <c r="AL460" s="230">
        <v>3.4129999999999998</v>
      </c>
      <c r="AN460" s="181">
        <v>1.6080000000000001</v>
      </c>
      <c r="AO460" s="161">
        <f>+AP460-AN460</f>
        <v>0.83499999999999996</v>
      </c>
      <c r="AP460" s="916">
        <v>2.4430000000000001</v>
      </c>
      <c r="AR460" s="321">
        <f>+AN460*1.03</f>
        <v>1.6562400000000002</v>
      </c>
      <c r="AS460" s="321">
        <f>+AO460*1.03</f>
        <v>0.86004999999999998</v>
      </c>
      <c r="AT460" s="136">
        <f t="shared" ref="AT460:AT461" si="2744">+AR460+AS460</f>
        <v>2.5162900000000001</v>
      </c>
      <c r="AV460" s="321">
        <f t="shared" ref="AV460" si="2745">+AS460*1.015</f>
        <v>0.87295074999999989</v>
      </c>
      <c r="AW460" s="321">
        <f t="shared" ref="AW460" si="2746">+AV460*1.015</f>
        <v>0.88604501124999979</v>
      </c>
      <c r="AX460" s="136">
        <f t="shared" ref="AX460:AX461" si="2747">+AV460+AW460</f>
        <v>1.7589957612499996</v>
      </c>
      <c r="AZ460" s="321">
        <f t="shared" ref="AZ460" si="2748">+AW460*1.015</f>
        <v>0.89933568641874972</v>
      </c>
      <c r="BA460" s="321">
        <f t="shared" ref="BA460" si="2749">+AZ460*1.015</f>
        <v>0.91282572171503085</v>
      </c>
      <c r="BB460" s="136">
        <f t="shared" ref="BB460:BB461" si="2750">+AZ460+BA460</f>
        <v>1.8121614081337807</v>
      </c>
      <c r="BD460" s="321">
        <f t="shared" ref="BD460" si="2751">+BA460*1.015</f>
        <v>0.92651810754075625</v>
      </c>
      <c r="BE460" s="321">
        <f t="shared" ref="BE460" si="2752">+BD460*1.015</f>
        <v>0.94041587915386748</v>
      </c>
      <c r="BF460" s="136">
        <f t="shared" ref="BF460:BF461" si="2753">+BD460+BE460</f>
        <v>1.8669339866946237</v>
      </c>
      <c r="BH460" s="321">
        <f t="shared" ref="BH460" si="2754">+BE460*1.015</f>
        <v>0.95452211734117542</v>
      </c>
      <c r="BI460" s="321">
        <f t="shared" ref="BI460" si="2755">+BH460*1.015</f>
        <v>0.96883994910129301</v>
      </c>
      <c r="BJ460" s="136">
        <f t="shared" ref="BJ460:BJ461" si="2756">+BH460+BI460</f>
        <v>1.9233620664424684</v>
      </c>
      <c r="BL460" s="321">
        <f t="shared" ref="BL460" si="2757">+BI460*1.015</f>
        <v>0.98337254833781229</v>
      </c>
      <c r="BM460" s="321">
        <f t="shared" ref="BM460" si="2758">+BL460*1.015</f>
        <v>0.99812313656287943</v>
      </c>
      <c r="BN460" s="136">
        <f t="shared" ref="BN460:BN461" si="2759">+BL460+BM460</f>
        <v>1.9814956849006917</v>
      </c>
      <c r="BP460" s="321">
        <f t="shared" ref="BP460" si="2760">+BM460*1.015</f>
        <v>1.0130949836113226</v>
      </c>
      <c r="BQ460" s="321">
        <f t="shared" ref="BQ460" si="2761">+BP460*1.015</f>
        <v>1.0282914083654924</v>
      </c>
      <c r="BR460" s="136">
        <f t="shared" ref="BR460:BR461" si="2762">+BP460+BQ460</f>
        <v>2.0413863919768147</v>
      </c>
      <c r="BT460" s="321">
        <f t="shared" ref="BT460" si="2763">+BQ460*1.015</f>
        <v>1.0437157794909746</v>
      </c>
      <c r="BU460" s="321">
        <f t="shared" ref="BU460" si="2764">+BT460*1.015</f>
        <v>1.059371516183339</v>
      </c>
      <c r="BV460" s="136">
        <f t="shared" ref="BV460:BV461" si="2765">+BT460+BU460</f>
        <v>2.1030872956743139</v>
      </c>
      <c r="BX460" s="321">
        <f t="shared" ref="BX460" si="2766">+BU460*1.015</f>
        <v>1.0752620889260891</v>
      </c>
      <c r="BY460" s="321">
        <f t="shared" ref="BY460" si="2767">+BX460*1.015</f>
        <v>1.0913910202599804</v>
      </c>
      <c r="BZ460" s="136">
        <f t="shared" ref="BZ460:BZ461" si="2768">+BX460+BY460</f>
        <v>2.1666531091860692</v>
      </c>
    </row>
    <row r="461" spans="1:78">
      <c r="B461" s="148" t="s">
        <v>381</v>
      </c>
      <c r="D461" s="264">
        <f>-7.165-0.381-1.547</f>
        <v>-9.093</v>
      </c>
      <c r="E461" s="136">
        <f>+F461-D461</f>
        <v>-4.8900000000000006</v>
      </c>
      <c r="F461" s="264">
        <v>-13.983000000000001</v>
      </c>
      <c r="G461" s="170"/>
      <c r="H461" s="264">
        <v>-8.4949999999999992</v>
      </c>
      <c r="I461" s="136">
        <f>+J461-H461</f>
        <v>-8.56</v>
      </c>
      <c r="J461" s="264">
        <v>-17.055</v>
      </c>
      <c r="K461" s="170"/>
      <c r="L461" s="264">
        <f>-8.017-1.416</f>
        <v>-9.4329999999999998</v>
      </c>
      <c r="M461" s="136">
        <f>+N461-L461</f>
        <v>-4.3369999999999997</v>
      </c>
      <c r="N461" s="264">
        <v>-13.77</v>
      </c>
      <c r="O461" s="170"/>
      <c r="P461" s="264">
        <v>-7.0430000000000001</v>
      </c>
      <c r="Q461" s="136">
        <f>+R461-P461</f>
        <v>-6.7939999999999996</v>
      </c>
      <c r="R461" s="264">
        <v>-13.837</v>
      </c>
      <c r="S461" s="170"/>
      <c r="T461" s="264">
        <v>-7.0430000000000001</v>
      </c>
      <c r="U461" s="136">
        <f>+V461-T461</f>
        <v>-8.8359999999999985</v>
      </c>
      <c r="V461" s="264">
        <v>-15.879</v>
      </c>
      <c r="W461" s="170"/>
      <c r="X461" s="230">
        <v>-7.306</v>
      </c>
      <c r="Y461" s="161">
        <f>+Z461-X461</f>
        <v>-7.4519999999999991</v>
      </c>
      <c r="Z461" s="230">
        <v>-14.757999999999999</v>
      </c>
      <c r="AA461" s="170"/>
      <c r="AB461" s="230">
        <v>-10.335000000000001</v>
      </c>
      <c r="AC461" s="161">
        <f>+AD461-AB461</f>
        <v>-9.6310000000000002</v>
      </c>
      <c r="AD461" s="230">
        <v>-19.966000000000001</v>
      </c>
      <c r="AE461" s="170"/>
      <c r="AF461" s="230">
        <v>-13.03</v>
      </c>
      <c r="AG461" s="161">
        <f>+AH461-AF461</f>
        <v>-12.796000000000001</v>
      </c>
      <c r="AH461" s="230">
        <v>-25.826000000000001</v>
      </c>
      <c r="AI461" s="170"/>
      <c r="AJ461" s="230">
        <v>-14.978</v>
      </c>
      <c r="AK461" s="161">
        <f>+AL461-AJ461</f>
        <v>-11.043999999999999</v>
      </c>
      <c r="AL461" s="230">
        <v>-26.021999999999998</v>
      </c>
      <c r="AN461" s="181">
        <v>-15.565</v>
      </c>
      <c r="AO461" s="161">
        <f>+AP461-AN461</f>
        <v>-10.589</v>
      </c>
      <c r="AP461" s="916">
        <v>-26.154</v>
      </c>
      <c r="AR461" s="867">
        <f>+AN461*0.96</f>
        <v>-14.942399999999999</v>
      </c>
      <c r="AS461" s="321">
        <f>+AO461*1.02</f>
        <v>-10.800780000000001</v>
      </c>
      <c r="AT461" s="136">
        <f t="shared" si="2744"/>
        <v>-25.743180000000002</v>
      </c>
      <c r="AV461" s="321">
        <f>+AR461*1.015</f>
        <v>-15.166535999999997</v>
      </c>
      <c r="AW461" s="321">
        <f>+AS461*1.015</f>
        <v>-10.9627917</v>
      </c>
      <c r="AX461" s="136">
        <f t="shared" si="2747"/>
        <v>-26.129327699999997</v>
      </c>
      <c r="AZ461" s="321">
        <f t="shared" ref="AZ461:BA461" si="2769">+AV461*1.015</f>
        <v>-15.394034039999996</v>
      </c>
      <c r="BA461" s="321">
        <f t="shared" si="2769"/>
        <v>-11.1272335755</v>
      </c>
      <c r="BB461" s="136">
        <f t="shared" si="2750"/>
        <v>-26.521267615499994</v>
      </c>
      <c r="BD461" s="321">
        <f t="shared" ref="BD461:BE461" si="2770">+AZ461*1.015</f>
        <v>-15.624944550599993</v>
      </c>
      <c r="BE461" s="321">
        <f t="shared" si="2770"/>
        <v>-11.294142079132499</v>
      </c>
      <c r="BF461" s="136">
        <f t="shared" si="2753"/>
        <v>-26.91908662973249</v>
      </c>
      <c r="BH461" s="321">
        <f t="shared" ref="BH461:BI461" si="2771">+BD461*1.015</f>
        <v>-15.859318718858992</v>
      </c>
      <c r="BI461" s="321">
        <f t="shared" si="2771"/>
        <v>-11.463554210319485</v>
      </c>
      <c r="BJ461" s="136">
        <f t="shared" si="2756"/>
        <v>-27.322872929178477</v>
      </c>
      <c r="BL461" s="321">
        <f t="shared" ref="BL461:BM461" si="2772">+BH461*1.015</f>
        <v>-16.097208499641877</v>
      </c>
      <c r="BM461" s="321">
        <f t="shared" si="2772"/>
        <v>-11.635507523474276</v>
      </c>
      <c r="BN461" s="136">
        <f t="shared" si="2759"/>
        <v>-27.732716023116154</v>
      </c>
      <c r="BP461" s="321">
        <f t="shared" ref="BP461:BQ461" si="2773">+BL461*1.015</f>
        <v>-16.338666627136504</v>
      </c>
      <c r="BQ461" s="321">
        <f t="shared" si="2773"/>
        <v>-11.810040136326389</v>
      </c>
      <c r="BR461" s="136">
        <f t="shared" si="2762"/>
        <v>-28.148706763462894</v>
      </c>
      <c r="BT461" s="321">
        <f t="shared" ref="BT461:BU461" si="2774">+BP461*1.015</f>
        <v>-16.583746626543551</v>
      </c>
      <c r="BU461" s="321">
        <f t="shared" si="2774"/>
        <v>-11.987190738371284</v>
      </c>
      <c r="BV461" s="136">
        <f t="shared" si="2765"/>
        <v>-28.570937364914833</v>
      </c>
      <c r="BX461" s="321">
        <f t="shared" ref="BX461:BY461" si="2775">+BT461*1.015</f>
        <v>-16.832502825941702</v>
      </c>
      <c r="BY461" s="321">
        <f t="shared" si="2775"/>
        <v>-12.166998599446853</v>
      </c>
      <c r="BZ461" s="136">
        <f t="shared" si="2768"/>
        <v>-28.999501425388555</v>
      </c>
    </row>
    <row r="462" spans="1:78" s="135" customFormat="1">
      <c r="A462" s="134"/>
      <c r="B462" s="149" t="s">
        <v>161</v>
      </c>
      <c r="D462" s="343"/>
      <c r="E462" s="232"/>
      <c r="F462" s="343"/>
      <c r="G462" s="171"/>
      <c r="H462" s="343"/>
      <c r="I462" s="232"/>
      <c r="J462" s="343"/>
      <c r="K462" s="171"/>
      <c r="L462" s="343"/>
      <c r="M462" s="232"/>
      <c r="N462" s="343"/>
      <c r="O462" s="171"/>
      <c r="P462" s="343"/>
      <c r="Q462" s="232"/>
      <c r="R462" s="343"/>
      <c r="S462" s="171"/>
      <c r="T462" s="343"/>
      <c r="U462" s="232"/>
      <c r="V462" s="343"/>
      <c r="W462" s="171"/>
      <c r="X462" s="140">
        <f t="shared" ref="X462" si="2776">+X460+X461</f>
        <v>-5.1680000000000001</v>
      </c>
      <c r="Y462" s="140">
        <f t="shared" ref="Y462:Z462" si="2777">+Y460+Y461</f>
        <v>-6.0329999999999995</v>
      </c>
      <c r="Z462" s="140">
        <f t="shared" si="2777"/>
        <v>-11.200999999999999</v>
      </c>
      <c r="AA462" s="232"/>
      <c r="AB462" s="140">
        <f t="shared" ref="AB462" si="2778">+AB460+AB461</f>
        <v>-9.3760000000000012</v>
      </c>
      <c r="AC462" s="140">
        <f t="shared" ref="AC462:AD462" si="2779">+AC460+AC461</f>
        <v>-8.6080000000000005</v>
      </c>
      <c r="AD462" s="140">
        <f t="shared" si="2779"/>
        <v>-17.984000000000002</v>
      </c>
      <c r="AE462" s="232"/>
      <c r="AF462" s="140">
        <f t="shared" ref="AF462:AG462" si="2780">+AF460+AF461</f>
        <v>-11.876999999999999</v>
      </c>
      <c r="AG462" s="140">
        <f t="shared" si="2780"/>
        <v>-11.112000000000002</v>
      </c>
      <c r="AH462" s="140">
        <f>+AH460+AH461</f>
        <v>-22.989000000000001</v>
      </c>
      <c r="AI462" s="232"/>
      <c r="AJ462" s="140">
        <f t="shared" ref="AJ462:AK462" si="2781">+AJ460+AJ461</f>
        <v>-13.403</v>
      </c>
      <c r="AK462" s="140">
        <f t="shared" si="2781"/>
        <v>-9.2059999999999995</v>
      </c>
      <c r="AL462" s="219">
        <f>+AL460+AL461</f>
        <v>-22.608999999999998</v>
      </c>
      <c r="AM462" s="232"/>
      <c r="AN462" s="140">
        <f t="shared" ref="AN462:AO462" si="2782">+AN460+AN461</f>
        <v>-13.956999999999999</v>
      </c>
      <c r="AO462" s="140">
        <f t="shared" si="2782"/>
        <v>-9.7540000000000013</v>
      </c>
      <c r="AP462" s="219">
        <f>+AP460+AP461</f>
        <v>-23.710999999999999</v>
      </c>
      <c r="AQ462" s="232"/>
      <c r="AR462" s="140">
        <f t="shared" ref="AR462" si="2783">+AR460+AR461</f>
        <v>-13.286159999999999</v>
      </c>
      <c r="AS462" s="140">
        <f t="shared" ref="AS462:AT462" si="2784">+AS460+AS461</f>
        <v>-9.9407300000000021</v>
      </c>
      <c r="AT462" s="140">
        <f t="shared" si="2784"/>
        <v>-23.226890000000001</v>
      </c>
      <c r="AU462" s="232"/>
      <c r="AV462" s="140">
        <f t="shared" ref="AV462" si="2785">+AV460+AV461</f>
        <v>-14.293585249999998</v>
      </c>
      <c r="AW462" s="140">
        <f t="shared" ref="AW462:AX462" si="2786">+AW460+AW461</f>
        <v>-10.076746688750001</v>
      </c>
      <c r="AX462" s="140">
        <f t="shared" si="2786"/>
        <v>-24.370331938749999</v>
      </c>
      <c r="AY462" s="232"/>
      <c r="AZ462" s="140">
        <f t="shared" ref="AZ462" si="2787">+AZ460+AZ461</f>
        <v>-14.494698353581246</v>
      </c>
      <c r="BA462" s="140">
        <f t="shared" ref="BA462:BB462" si="2788">+BA460+BA461</f>
        <v>-10.214407853784969</v>
      </c>
      <c r="BB462" s="140">
        <f t="shared" si="2788"/>
        <v>-24.709106207366212</v>
      </c>
      <c r="BC462" s="232"/>
      <c r="BD462" s="140">
        <f t="shared" ref="BD462" si="2789">+BD460+BD461</f>
        <v>-14.698426443059237</v>
      </c>
      <c r="BE462" s="140">
        <f t="shared" ref="BE462:BF462" si="2790">+BE460+BE461</f>
        <v>-10.353726199978631</v>
      </c>
      <c r="BF462" s="140">
        <f t="shared" si="2790"/>
        <v>-25.052152643037868</v>
      </c>
      <c r="BG462" s="232"/>
      <c r="BH462" s="140">
        <f t="shared" ref="BH462" si="2791">+BH460+BH461</f>
        <v>-14.904796601517816</v>
      </c>
      <c r="BI462" s="140">
        <f t="shared" ref="BI462:BJ462" si="2792">+BI460+BI461</f>
        <v>-10.494714261218192</v>
      </c>
      <c r="BJ462" s="140">
        <f t="shared" si="2792"/>
        <v>-25.399510862736008</v>
      </c>
      <c r="BK462" s="232"/>
      <c r="BL462" s="140">
        <f t="shared" ref="BL462" si="2793">+BL460+BL461</f>
        <v>-15.113835951304065</v>
      </c>
      <c r="BM462" s="140">
        <f t="shared" ref="BM462:BN462" si="2794">+BM460+BM461</f>
        <v>-10.637384386911396</v>
      </c>
      <c r="BN462" s="140">
        <f t="shared" si="2794"/>
        <v>-25.751220338215461</v>
      </c>
      <c r="BO462" s="232"/>
      <c r="BP462" s="140">
        <f t="shared" ref="BP462" si="2795">+BP460+BP461</f>
        <v>-15.325571643525182</v>
      </c>
      <c r="BQ462" s="140">
        <f t="shared" ref="BQ462:BR462" si="2796">+BQ460+BQ461</f>
        <v>-10.781748727960897</v>
      </c>
      <c r="BR462" s="140">
        <f t="shared" si="2796"/>
        <v>-26.107320371486079</v>
      </c>
      <c r="BS462" s="232"/>
      <c r="BT462" s="140">
        <f t="shared" ref="BT462:BV462" si="2797">+BT460+BT461</f>
        <v>-15.540030847052577</v>
      </c>
      <c r="BU462" s="140">
        <f t="shared" si="2797"/>
        <v>-10.927819222187946</v>
      </c>
      <c r="BV462" s="140">
        <f t="shared" si="2797"/>
        <v>-26.467850069240519</v>
      </c>
      <c r="BW462" s="232"/>
      <c r="BX462" s="140">
        <f t="shared" ref="BX462:BZ462" si="2798">+BX460+BX461</f>
        <v>-15.757240737015614</v>
      </c>
      <c r="BY462" s="140">
        <f t="shared" si="2798"/>
        <v>-11.075607579186872</v>
      </c>
      <c r="BZ462" s="140">
        <f t="shared" si="2798"/>
        <v>-26.832848316202487</v>
      </c>
    </row>
    <row r="463" spans="1:78">
      <c r="B463" s="148"/>
      <c r="D463" s="264"/>
      <c r="E463" s="136"/>
      <c r="F463" s="264"/>
      <c r="G463" s="170"/>
      <c r="H463" s="264"/>
      <c r="I463" s="136"/>
      <c r="J463" s="264"/>
      <c r="K463" s="170"/>
      <c r="L463" s="264"/>
      <c r="M463" s="136"/>
      <c r="N463" s="264"/>
      <c r="O463" s="170"/>
      <c r="P463" s="264"/>
      <c r="Q463" s="136"/>
      <c r="R463" s="264"/>
      <c r="S463" s="170"/>
      <c r="T463" s="264"/>
      <c r="U463" s="136"/>
      <c r="V463" s="264"/>
      <c r="W463" s="170"/>
      <c r="X463" s="230"/>
      <c r="Y463" s="161"/>
      <c r="Z463" s="230"/>
      <c r="AA463" s="170"/>
      <c r="AB463" s="230"/>
      <c r="AC463" s="161"/>
      <c r="AD463" s="230"/>
      <c r="AE463" s="170"/>
      <c r="AF463" s="230"/>
      <c r="AG463" s="161"/>
      <c r="AH463" s="230"/>
      <c r="AI463" s="170"/>
      <c r="AJ463" s="230"/>
      <c r="AK463" s="161"/>
      <c r="AL463" s="230"/>
      <c r="AN463" s="181"/>
      <c r="AO463" s="161"/>
      <c r="AP463" s="230"/>
    </row>
    <row r="464" spans="1:78">
      <c r="B464" s="148" t="s">
        <v>382</v>
      </c>
      <c r="D464" s="264"/>
      <c r="E464" s="136"/>
      <c r="F464" s="264"/>
      <c r="G464" s="170"/>
      <c r="H464" s="264"/>
      <c r="I464" s="136"/>
      <c r="J464" s="264"/>
      <c r="K464" s="170"/>
      <c r="L464" s="136"/>
      <c r="M464" s="136"/>
      <c r="N464" s="136"/>
      <c r="O464" s="136"/>
      <c r="P464" s="136"/>
      <c r="Q464" s="136"/>
      <c r="R464" s="136"/>
      <c r="S464" s="136"/>
      <c r="T464" s="136"/>
      <c r="U464" s="136"/>
      <c r="V464" s="136"/>
      <c r="W464" s="170"/>
      <c r="X464" s="230">
        <v>-7.0000000000000001E-3</v>
      </c>
      <c r="Y464" s="161">
        <f>+Z464-X464</f>
        <v>-3.9999999999999992E-3</v>
      </c>
      <c r="Z464" s="230">
        <v>-1.0999999999999999E-2</v>
      </c>
      <c r="AA464" s="170"/>
      <c r="AB464" s="230">
        <v>0</v>
      </c>
      <c r="AC464" s="161">
        <f>+AD464-AB464</f>
        <v>0</v>
      </c>
      <c r="AD464" s="230">
        <v>0</v>
      </c>
      <c r="AE464" s="170"/>
      <c r="AF464" s="230">
        <v>0</v>
      </c>
      <c r="AG464" s="161">
        <f>+AH464-AF464</f>
        <v>0</v>
      </c>
      <c r="AH464" s="230">
        <v>0</v>
      </c>
      <c r="AI464" s="170"/>
      <c r="AJ464" s="230">
        <v>0</v>
      </c>
      <c r="AK464" s="161">
        <f>+AL464-AJ464</f>
        <v>0</v>
      </c>
      <c r="AL464" s="230">
        <v>0</v>
      </c>
      <c r="AN464" s="181">
        <v>0</v>
      </c>
      <c r="AO464" s="161">
        <f>+AP464-AN464</f>
        <v>0</v>
      </c>
      <c r="AP464" s="916">
        <v>0</v>
      </c>
      <c r="AR464" s="321">
        <f t="shared" ref="AR464:AR465" si="2799">+AO464</f>
        <v>0</v>
      </c>
      <c r="AS464" s="321">
        <f t="shared" ref="AS464" si="2800">+AR464</f>
        <v>0</v>
      </c>
      <c r="AT464" s="136">
        <f t="shared" ref="AT464:AT465" si="2801">+AR464+AS464</f>
        <v>0</v>
      </c>
      <c r="AV464" s="321">
        <f t="shared" ref="AV464" si="2802">+AS464</f>
        <v>0</v>
      </c>
      <c r="AW464" s="321">
        <f t="shared" ref="AW464:AW465" si="2803">+AV464</f>
        <v>0</v>
      </c>
      <c r="AX464" s="136">
        <f t="shared" ref="AX464:AX465" si="2804">+AV464+AW464</f>
        <v>0</v>
      </c>
      <c r="AZ464" s="321">
        <f t="shared" ref="AZ464" si="2805">+AW464</f>
        <v>0</v>
      </c>
      <c r="BA464" s="321">
        <f t="shared" ref="BA464:BA465" si="2806">+AZ464</f>
        <v>0</v>
      </c>
      <c r="BB464" s="136">
        <f t="shared" ref="BB464:BB465" si="2807">+AZ464+BA464</f>
        <v>0</v>
      </c>
      <c r="BD464" s="321">
        <f t="shared" ref="BD464:BD465" si="2808">+BA464</f>
        <v>0</v>
      </c>
      <c r="BE464" s="321">
        <f t="shared" ref="BE464:BE465" si="2809">+BD464</f>
        <v>0</v>
      </c>
      <c r="BF464" s="136">
        <f t="shared" ref="BF464:BF465" si="2810">+BD464+BE464</f>
        <v>0</v>
      </c>
      <c r="BH464" s="321">
        <f t="shared" ref="BH464:BH465" si="2811">+BE464</f>
        <v>0</v>
      </c>
      <c r="BI464" s="321">
        <f t="shared" ref="BI464:BI465" si="2812">+BH464</f>
        <v>0</v>
      </c>
      <c r="BJ464" s="136">
        <f t="shared" ref="BJ464:BJ465" si="2813">+BH464+BI464</f>
        <v>0</v>
      </c>
      <c r="BL464" s="321">
        <f t="shared" ref="BL464:BL465" si="2814">+BI464</f>
        <v>0</v>
      </c>
      <c r="BM464" s="321">
        <f t="shared" ref="BM464:BM465" si="2815">+BL464</f>
        <v>0</v>
      </c>
      <c r="BN464" s="136">
        <f t="shared" ref="BN464:BN465" si="2816">+BL464+BM464</f>
        <v>0</v>
      </c>
      <c r="BP464" s="321">
        <f t="shared" ref="BP464:BP465" si="2817">+BM464</f>
        <v>0</v>
      </c>
      <c r="BQ464" s="321">
        <f t="shared" ref="BQ464:BQ465" si="2818">+BP464</f>
        <v>0</v>
      </c>
      <c r="BR464" s="136">
        <f t="shared" ref="BR464:BR465" si="2819">+BP464+BQ464</f>
        <v>0</v>
      </c>
      <c r="BT464" s="321">
        <f t="shared" ref="BT464:BT465" si="2820">+BQ464</f>
        <v>0</v>
      </c>
      <c r="BU464" s="321">
        <f t="shared" ref="BU464:BU465" si="2821">+BT464</f>
        <v>0</v>
      </c>
      <c r="BV464" s="136">
        <f t="shared" ref="BV464:BV465" si="2822">+BT464+BU464</f>
        <v>0</v>
      </c>
      <c r="BX464" s="321">
        <f t="shared" ref="BX464:BX465" si="2823">+BU464</f>
        <v>0</v>
      </c>
      <c r="BY464" s="321">
        <f t="shared" ref="BY464:BY465" si="2824">+BX464</f>
        <v>0</v>
      </c>
      <c r="BZ464" s="136">
        <f t="shared" ref="BZ464:BZ465" si="2825">+BX464+BY464</f>
        <v>0</v>
      </c>
    </row>
    <row r="465" spans="1:78">
      <c r="B465" s="148" t="s">
        <v>383</v>
      </c>
      <c r="D465" s="264"/>
      <c r="E465" s="136"/>
      <c r="F465" s="264"/>
      <c r="G465" s="170"/>
      <c r="H465" s="264"/>
      <c r="I465" s="136"/>
      <c r="J465" s="264"/>
      <c r="K465" s="170"/>
      <c r="L465" s="136"/>
      <c r="M465" s="136"/>
      <c r="N465" s="136"/>
      <c r="O465" s="136"/>
      <c r="P465" s="136"/>
      <c r="Q465" s="136"/>
      <c r="R465" s="136"/>
      <c r="S465" s="136"/>
      <c r="T465" s="136"/>
      <c r="U465" s="136"/>
      <c r="V465" s="136"/>
      <c r="W465" s="170"/>
      <c r="X465" s="230">
        <v>-2.5419999999999998</v>
      </c>
      <c r="Y465" s="161">
        <f>+Z465-X465</f>
        <v>-2.3500000000000005</v>
      </c>
      <c r="Z465" s="230">
        <v>-4.8920000000000003</v>
      </c>
      <c r="AA465" s="170"/>
      <c r="AB465" s="181">
        <v>-2.395</v>
      </c>
      <c r="AC465" s="161">
        <f>+AD465-AB465</f>
        <v>-1.9140000000000001</v>
      </c>
      <c r="AD465" s="181">
        <v>-4.3090000000000002</v>
      </c>
      <c r="AE465" s="170"/>
      <c r="AF465" s="181">
        <v>-12.787000000000001</v>
      </c>
      <c r="AG465" s="161">
        <f>+AH465-AF465</f>
        <v>-27.058</v>
      </c>
      <c r="AH465" s="230">
        <v>-39.844999999999999</v>
      </c>
      <c r="AI465" s="170"/>
      <c r="AJ465" s="230">
        <v>-25.295999999999999</v>
      </c>
      <c r="AK465" s="161">
        <f>+AL465-AJ465</f>
        <v>-22.146000000000001</v>
      </c>
      <c r="AL465" s="230">
        <v>-47.442</v>
      </c>
      <c r="AN465" s="181">
        <v>-21.731000000000002</v>
      </c>
      <c r="AO465" s="161">
        <f>+AP465-AN465</f>
        <v>-24.597999999999999</v>
      </c>
      <c r="AP465" s="916">
        <v>-46.329000000000001</v>
      </c>
      <c r="AR465" s="321">
        <f t="shared" si="2799"/>
        <v>-24.597999999999999</v>
      </c>
      <c r="AS465" s="321">
        <f t="shared" ref="AS465" si="2826">+AR465</f>
        <v>-24.597999999999999</v>
      </c>
      <c r="AT465" s="136">
        <f t="shared" si="2801"/>
        <v>-49.195999999999998</v>
      </c>
      <c r="AV465" s="321">
        <f>+AS465*0.98</f>
        <v>-24.10604</v>
      </c>
      <c r="AW465" s="321">
        <f t="shared" si="2803"/>
        <v>-24.10604</v>
      </c>
      <c r="AX465" s="136">
        <f t="shared" si="2804"/>
        <v>-48.21208</v>
      </c>
      <c r="AZ465" s="321">
        <f>+AW465*0.98</f>
        <v>-23.6239192</v>
      </c>
      <c r="BA465" s="321">
        <f t="shared" si="2806"/>
        <v>-23.6239192</v>
      </c>
      <c r="BB465" s="136">
        <f t="shared" si="2807"/>
        <v>-47.247838399999999</v>
      </c>
      <c r="BD465" s="321">
        <f t="shared" si="2808"/>
        <v>-23.6239192</v>
      </c>
      <c r="BE465" s="321">
        <f t="shared" si="2809"/>
        <v>-23.6239192</v>
      </c>
      <c r="BF465" s="136">
        <f t="shared" si="2810"/>
        <v>-47.247838399999999</v>
      </c>
      <c r="BH465" s="321">
        <f t="shared" si="2811"/>
        <v>-23.6239192</v>
      </c>
      <c r="BI465" s="321">
        <f t="shared" si="2812"/>
        <v>-23.6239192</v>
      </c>
      <c r="BJ465" s="136">
        <f t="shared" si="2813"/>
        <v>-47.247838399999999</v>
      </c>
      <c r="BL465" s="321">
        <f t="shared" si="2814"/>
        <v>-23.6239192</v>
      </c>
      <c r="BM465" s="321">
        <f t="shared" si="2815"/>
        <v>-23.6239192</v>
      </c>
      <c r="BN465" s="136">
        <f t="shared" si="2816"/>
        <v>-47.247838399999999</v>
      </c>
      <c r="BP465" s="321">
        <f t="shared" si="2817"/>
        <v>-23.6239192</v>
      </c>
      <c r="BQ465" s="321">
        <f t="shared" si="2818"/>
        <v>-23.6239192</v>
      </c>
      <c r="BR465" s="136">
        <f t="shared" si="2819"/>
        <v>-47.247838399999999</v>
      </c>
      <c r="BT465" s="321">
        <f t="shared" si="2820"/>
        <v>-23.6239192</v>
      </c>
      <c r="BU465" s="321">
        <f t="shared" si="2821"/>
        <v>-23.6239192</v>
      </c>
      <c r="BV465" s="136">
        <f t="shared" si="2822"/>
        <v>-47.247838399999999</v>
      </c>
      <c r="BX465" s="321">
        <f t="shared" si="2823"/>
        <v>-23.6239192</v>
      </c>
      <c r="BY465" s="321">
        <f t="shared" si="2824"/>
        <v>-23.6239192</v>
      </c>
      <c r="BZ465" s="136">
        <f t="shared" si="2825"/>
        <v>-47.247838399999999</v>
      </c>
    </row>
    <row r="466" spans="1:78" s="135" customFormat="1">
      <c r="A466" s="134"/>
      <c r="B466" s="134" t="s">
        <v>384</v>
      </c>
      <c r="D466" s="232">
        <f t="shared" ref="D466:F466" si="2827">+D460+D461+D464+D465</f>
        <v>-8.0250000000000004</v>
      </c>
      <c r="E466" s="232">
        <f t="shared" si="2827"/>
        <v>-3.3570000000000007</v>
      </c>
      <c r="F466" s="232">
        <f t="shared" si="2827"/>
        <v>-11.382000000000001</v>
      </c>
      <c r="H466" s="232">
        <f t="shared" ref="H466:J466" si="2828">+H460+H461+H464+H465</f>
        <v>-7.4269999999999996</v>
      </c>
      <c r="I466" s="232">
        <f t="shared" si="2828"/>
        <v>-7.3800000000000008</v>
      </c>
      <c r="J466" s="232">
        <f t="shared" si="2828"/>
        <v>-14.806999999999999</v>
      </c>
      <c r="L466" s="232">
        <f t="shared" ref="L466:N466" si="2829">+L460+L461+L464+L465</f>
        <v>-8.1969999999999992</v>
      </c>
      <c r="M466" s="232">
        <f t="shared" si="2829"/>
        <v>-3.3860000000000001</v>
      </c>
      <c r="N466" s="232">
        <f t="shared" si="2829"/>
        <v>-11.583</v>
      </c>
      <c r="P466" s="232">
        <f t="shared" ref="P466:R466" si="2830">+P460+P461+P464+P465</f>
        <v>-4.5860000000000003</v>
      </c>
      <c r="Q466" s="232">
        <f t="shared" si="2830"/>
        <v>-4.7059999999999995</v>
      </c>
      <c r="R466" s="232">
        <f t="shared" si="2830"/>
        <v>-9.2919999999999998</v>
      </c>
      <c r="T466" s="232">
        <f t="shared" ref="T466:V466" si="2831">+T460+T461+T464+T465</f>
        <v>-4.5860000000000003</v>
      </c>
      <c r="U466" s="232">
        <f t="shared" si="2831"/>
        <v>-6.8059999999999983</v>
      </c>
      <c r="V466" s="232">
        <f t="shared" si="2831"/>
        <v>-11.391999999999999</v>
      </c>
      <c r="X466" s="140">
        <f>+X460+X461+X464+X465</f>
        <v>-7.7169999999999996</v>
      </c>
      <c r="Y466" s="140">
        <f>+Y460+Y461+Y464+Y465</f>
        <v>-8.3870000000000005</v>
      </c>
      <c r="Z466" s="140">
        <f>+Z460+Z461+Z464+Z465</f>
        <v>-16.103999999999999</v>
      </c>
      <c r="AA466" s="140"/>
      <c r="AB466" s="140">
        <f>+AB460+AB461+AB464+AB465</f>
        <v>-11.771000000000001</v>
      </c>
      <c r="AC466" s="140">
        <f>+AC460+AC461+AC464+AC465</f>
        <v>-10.522</v>
      </c>
      <c r="AD466" s="140">
        <f>+AD460+AD461+AD464+AD465</f>
        <v>-22.293000000000003</v>
      </c>
      <c r="AE466" s="140"/>
      <c r="AF466" s="140">
        <f>+AF460+AF461+AF464+AF465</f>
        <v>-24.664000000000001</v>
      </c>
      <c r="AG466" s="140">
        <f>+AG460+AG461+AG464+AG465</f>
        <v>-38.17</v>
      </c>
      <c r="AH466" s="140">
        <f>+AH460+AH461+AH464+AH465</f>
        <v>-62.834000000000003</v>
      </c>
      <c r="AI466" s="140"/>
      <c r="AJ466" s="140">
        <f>+AJ460+AJ461+AJ464+AJ465</f>
        <v>-38.698999999999998</v>
      </c>
      <c r="AK466" s="140">
        <f>+AK460+AK461+AK464+AK465</f>
        <v>-31.352</v>
      </c>
      <c r="AL466" s="219">
        <f>+AL460+AL461+AL464+AL465</f>
        <v>-70.051000000000002</v>
      </c>
      <c r="AN466" s="140">
        <f>+AN460+AN461+AN464+AN465</f>
        <v>-35.688000000000002</v>
      </c>
      <c r="AO466" s="140">
        <f>+AO460+AO461+AO464+AO465</f>
        <v>-34.352000000000004</v>
      </c>
      <c r="AP466" s="219">
        <f>+AP460+AP461+AP464+AP465</f>
        <v>-70.039999999999992</v>
      </c>
      <c r="AR466" s="232">
        <f t="shared" ref="AR466:AT466" si="2832">+AR460+AR461+AR464+AR465</f>
        <v>-37.884159999999994</v>
      </c>
      <c r="AS466" s="232">
        <f t="shared" si="2832"/>
        <v>-34.538730000000001</v>
      </c>
      <c r="AT466" s="232">
        <f t="shared" si="2832"/>
        <v>-72.422889999999995</v>
      </c>
      <c r="AV466" s="232">
        <f t="shared" ref="AV466:AX466" si="2833">+AV460+AV461+AV464+AV465</f>
        <v>-38.39962525</v>
      </c>
      <c r="AW466" s="232">
        <f t="shared" si="2833"/>
        <v>-34.182786688749999</v>
      </c>
      <c r="AX466" s="232">
        <f t="shared" si="2833"/>
        <v>-72.582411938749999</v>
      </c>
      <c r="AZ466" s="232">
        <f t="shared" ref="AZ466:BB466" si="2834">+AZ460+AZ461+AZ464+AZ465</f>
        <v>-38.118617553581245</v>
      </c>
      <c r="BA466" s="232">
        <f t="shared" si="2834"/>
        <v>-33.838327053784965</v>
      </c>
      <c r="BB466" s="232">
        <f t="shared" si="2834"/>
        <v>-71.956944607366211</v>
      </c>
      <c r="BD466" s="232">
        <f t="shared" ref="BD466:BF466" si="2835">+BD460+BD461+BD464+BD465</f>
        <v>-38.322345643059236</v>
      </c>
      <c r="BE466" s="232">
        <f t="shared" si="2835"/>
        <v>-33.977645399978627</v>
      </c>
      <c r="BF466" s="232">
        <f t="shared" si="2835"/>
        <v>-72.299991043037863</v>
      </c>
      <c r="BH466" s="232">
        <f t="shared" ref="BH466:BJ466" si="2836">+BH460+BH461+BH464+BH465</f>
        <v>-38.528715801517819</v>
      </c>
      <c r="BI466" s="232">
        <f t="shared" si="2836"/>
        <v>-34.118633461218195</v>
      </c>
      <c r="BJ466" s="232">
        <f t="shared" si="2836"/>
        <v>-72.647349262736014</v>
      </c>
      <c r="BL466" s="232">
        <f t="shared" ref="BL466:BN466" si="2837">+BL460+BL461+BL464+BL465</f>
        <v>-38.737755151304064</v>
      </c>
      <c r="BM466" s="232">
        <f t="shared" si="2837"/>
        <v>-34.261303586911396</v>
      </c>
      <c r="BN466" s="232">
        <f t="shared" si="2837"/>
        <v>-72.999058738215467</v>
      </c>
      <c r="BP466" s="232">
        <f t="shared" ref="BP466:BR466" si="2838">+BP460+BP461+BP464+BP465</f>
        <v>-38.949490843525183</v>
      </c>
      <c r="BQ466" s="232">
        <f t="shared" si="2838"/>
        <v>-34.405667927960899</v>
      </c>
      <c r="BR466" s="232">
        <f t="shared" si="2838"/>
        <v>-73.355158771486074</v>
      </c>
      <c r="BT466" s="232">
        <f t="shared" ref="BT466:BV466" si="2839">+BT460+BT461+BT464+BT465</f>
        <v>-39.16395004705258</v>
      </c>
      <c r="BU466" s="232">
        <f t="shared" si="2839"/>
        <v>-34.551738422187945</v>
      </c>
      <c r="BV466" s="232">
        <f t="shared" si="2839"/>
        <v>-73.715688469240519</v>
      </c>
      <c r="BX466" s="232">
        <f t="shared" ref="BX466:BZ466" si="2840">+BX460+BX461+BX464+BX465</f>
        <v>-39.38115993701561</v>
      </c>
      <c r="BY466" s="232">
        <f t="shared" si="2840"/>
        <v>-34.699526779186868</v>
      </c>
      <c r="BZ466" s="232">
        <f t="shared" si="2840"/>
        <v>-74.080686716202479</v>
      </c>
    </row>
    <row r="467" spans="1:78">
      <c r="AL467" s="256"/>
      <c r="AP467" s="256"/>
    </row>
    <row r="468" spans="1:78">
      <c r="B468" s="132" t="str">
        <f>BS!B70</f>
        <v>Interest-bearing loans and borrowings</v>
      </c>
      <c r="C468" s="133" t="str">
        <f>BS!C70</f>
        <v>A$m</v>
      </c>
      <c r="D468" s="136">
        <f>BS!D70</f>
        <v>88.61699999999999</v>
      </c>
      <c r="E468" s="136">
        <f>BS!E70</f>
        <v>88.646000000000001</v>
      </c>
      <c r="F468" s="136">
        <f>BS!F70</f>
        <v>88.646000000000001</v>
      </c>
      <c r="H468" s="136">
        <f>BS!H70</f>
        <v>88.626000000000005</v>
      </c>
      <c r="I468" s="136">
        <f>BS!I70</f>
        <v>95.096000000000004</v>
      </c>
      <c r="J468" s="136">
        <f>BS!J70</f>
        <v>95.096000000000004</v>
      </c>
      <c r="L468" s="136">
        <f>BS!L70</f>
        <v>113.95700000000001</v>
      </c>
      <c r="M468" s="136">
        <f>BS!M70</f>
        <v>121.202</v>
      </c>
      <c r="N468" s="136">
        <f>BS!N70</f>
        <v>121.202</v>
      </c>
      <c r="P468" s="136">
        <f>BS!P70</f>
        <v>60.658000000000001</v>
      </c>
      <c r="Q468" s="136">
        <f>BS!Q70</f>
        <v>104.47499999999999</v>
      </c>
      <c r="R468" s="136">
        <f>BS!R70</f>
        <v>104.47499999999999</v>
      </c>
      <c r="T468" s="136">
        <f>BS!T70</f>
        <v>89.794000000000011</v>
      </c>
      <c r="U468" s="136">
        <f>BS!U70</f>
        <v>231.76999999999998</v>
      </c>
      <c r="V468" s="136">
        <f>BS!V70</f>
        <v>231.76999999999998</v>
      </c>
      <c r="X468" s="136">
        <f>BS!X70</f>
        <v>262.959</v>
      </c>
      <c r="Y468" s="136">
        <f>BS!Y70</f>
        <v>212.28299999999999</v>
      </c>
      <c r="Z468" s="136">
        <f>BS!Z70</f>
        <v>212.28299999999999</v>
      </c>
      <c r="AB468" s="136">
        <f>BS!AB70</f>
        <v>230.715</v>
      </c>
      <c r="AC468" s="136">
        <f>BS!AC70</f>
        <v>47.802</v>
      </c>
      <c r="AD468" s="136">
        <f>BS!AD70</f>
        <v>47.802</v>
      </c>
      <c r="AF468" s="136">
        <f>BS!AF70</f>
        <v>701.40800000000002</v>
      </c>
      <c r="AG468" s="136">
        <f>BS!AG70</f>
        <v>584.23</v>
      </c>
      <c r="AH468" s="136">
        <f>BS!AH70</f>
        <v>584.23</v>
      </c>
      <c r="AJ468" s="136">
        <f>BS!AJ70</f>
        <v>679.80900000000008</v>
      </c>
      <c r="AK468" s="136">
        <f>BS!AK70</f>
        <v>646.00099999999998</v>
      </c>
      <c r="AL468" s="136">
        <f>BS!AL70</f>
        <v>646.00099999999998</v>
      </c>
      <c r="AN468" s="136">
        <f>BS!AN70</f>
        <v>773.8889999999999</v>
      </c>
      <c r="AO468" s="136">
        <f>BS!AO70</f>
        <v>872.77099999999996</v>
      </c>
      <c r="AP468" s="136">
        <f>BS!AP70</f>
        <v>872.77099999999996</v>
      </c>
      <c r="AR468" s="136">
        <f>BS!AR70</f>
        <v>870.68764249999992</v>
      </c>
      <c r="AS468" s="136">
        <f>BS!AS70</f>
        <v>868.61845749999998</v>
      </c>
      <c r="AT468" s="136">
        <f>BS!AT70</f>
        <v>868.61845749999998</v>
      </c>
      <c r="AV468" s="136">
        <f>BS!AV70</f>
        <v>866.50788879999993</v>
      </c>
      <c r="AW468" s="136">
        <f>BS!AW70</f>
        <v>864.39732009999989</v>
      </c>
      <c r="AX468" s="136">
        <f>BS!AX70</f>
        <v>864.39732009999989</v>
      </c>
      <c r="AZ468" s="136">
        <f>BS!AZ70</f>
        <v>860.09175995199985</v>
      </c>
      <c r="BA468" s="136">
        <f>BS!BA70</f>
        <v>855.78619980399981</v>
      </c>
      <c r="BB468" s="136">
        <f>BS!BB70</f>
        <v>855.78619980399981</v>
      </c>
      <c r="BD468" s="136">
        <f>BS!BD70</f>
        <v>851.39452845303981</v>
      </c>
      <c r="BE468" s="136">
        <f>BS!BE70</f>
        <v>847.00285710207982</v>
      </c>
      <c r="BF468" s="136">
        <f>BS!BF70</f>
        <v>847.00285710207982</v>
      </c>
      <c r="BH468" s="136">
        <f>BS!BH70</f>
        <v>842.52335232410064</v>
      </c>
      <c r="BI468" s="136">
        <f>BS!BI70</f>
        <v>838.04384754612147</v>
      </c>
      <c r="BJ468" s="136">
        <f>BS!BJ70</f>
        <v>838.04384754612147</v>
      </c>
      <c r="BL468" s="136">
        <f>BS!BL70</f>
        <v>833.47475267258267</v>
      </c>
      <c r="BM468" s="136">
        <f>BS!BM70</f>
        <v>828.90565779904387</v>
      </c>
      <c r="BN468" s="136">
        <f>BS!BN70</f>
        <v>828.90565779904387</v>
      </c>
      <c r="BP468" s="136">
        <f>BS!BP70</f>
        <v>824.24518102803427</v>
      </c>
      <c r="BQ468" s="136">
        <f>BS!BQ70</f>
        <v>819.58470425702467</v>
      </c>
      <c r="BR468" s="136">
        <f>BS!BR70</f>
        <v>819.58470425702467</v>
      </c>
      <c r="BT468" s="136">
        <f>BS!BT70</f>
        <v>814.83101795059497</v>
      </c>
      <c r="BU468" s="136">
        <f>BS!BU70</f>
        <v>810.07733164416527</v>
      </c>
      <c r="BV468" s="136">
        <f>BS!BV70</f>
        <v>810.07733164416527</v>
      </c>
      <c r="BX468" s="136">
        <f>BS!BX70</f>
        <v>805.22857161160687</v>
      </c>
      <c r="BY468" s="136">
        <f>BS!BY70</f>
        <v>800.37981157904846</v>
      </c>
      <c r="BZ468" s="136">
        <f>BS!BZ70</f>
        <v>800.37981157904846</v>
      </c>
    </row>
    <row r="469" spans="1:78" s="135" customFormat="1">
      <c r="A469" s="134"/>
      <c r="B469" s="221" t="s">
        <v>613</v>
      </c>
      <c r="C469" s="157" t="s">
        <v>39</v>
      </c>
      <c r="X469" s="316">
        <f>-X465/X4/X468</f>
        <v>1.9176199893618726E-2</v>
      </c>
      <c r="Y469" s="316">
        <f>-Y465/Y4/Y468</f>
        <v>2.2323738953392853E-2</v>
      </c>
      <c r="Z469" s="316">
        <f>-Z465/Z4/Z468</f>
        <v>2.3044709185379895E-2</v>
      </c>
      <c r="AA469" s="316"/>
      <c r="AB469" s="316">
        <f>-AB465/AB4/AB468</f>
        <v>2.0592293899211241E-2</v>
      </c>
      <c r="AC469" s="316">
        <f>-AC465/AC4/AC468</f>
        <v>7.9427502578571396E-2</v>
      </c>
      <c r="AD469" s="316">
        <f>-AD465/AD4/AD468</f>
        <v>9.014267185473411E-2</v>
      </c>
      <c r="AE469" s="316"/>
      <c r="AF469" s="316">
        <f>-AF465/AF4/AF468</f>
        <v>3.6163711141515099E-2</v>
      </c>
      <c r="AG469" s="316">
        <f>-AG465/AG4/AG468</f>
        <v>9.3395537952726745E-2</v>
      </c>
      <c r="AH469" s="316">
        <f>-AH465/AH4/AH468</f>
        <v>6.8200879790493468E-2</v>
      </c>
      <c r="AI469" s="316"/>
      <c r="AJ469" s="316">
        <f>-AJ465/AJ4/AJ468</f>
        <v>7.4016442086322576E-2</v>
      </c>
      <c r="AK469" s="316">
        <f>-AK465/AK4/AK468</f>
        <v>6.8940083122723705E-2</v>
      </c>
      <c r="AL469" s="316">
        <f>-AL465/AL4/AL468</f>
        <v>7.3439514799512703E-2</v>
      </c>
      <c r="AN469" s="316">
        <f>-AN465/AN4/AN468</f>
        <v>5.5702678571980357E-2</v>
      </c>
      <c r="AO469" s="316">
        <f>-AO465/AO4/AO468</f>
        <v>5.6834727159195894E-2</v>
      </c>
      <c r="AP469" s="316">
        <f>-AP465/AP4/AP468</f>
        <v>5.3082652837915106E-2</v>
      </c>
      <c r="AR469" s="692">
        <f>+AO469+AR470</f>
        <v>5.1834727159195897E-2</v>
      </c>
      <c r="AS469" s="692">
        <f>+AR469+AS470</f>
        <v>4.9334727159195894E-2</v>
      </c>
      <c r="AT469" s="316">
        <f>-AT465/AT4/AT468</f>
        <v>5.6637064956681513E-2</v>
      </c>
      <c r="AV469" s="692">
        <f t="shared" ref="AV469" si="2841">+AS469+AV470</f>
        <v>4.9334727159195894E-2</v>
      </c>
      <c r="AW469" s="692">
        <f t="shared" ref="AW469" si="2842">+AV469+AW470</f>
        <v>4.9334727159195894E-2</v>
      </c>
      <c r="AX469" s="316">
        <f>-AX465/AX4/AX468</f>
        <v>5.5775369588631385E-2</v>
      </c>
      <c r="AZ469" s="692">
        <f t="shared" ref="AZ469" si="2843">+AW469+AZ470</f>
        <v>4.9334727159195894E-2</v>
      </c>
      <c r="BA469" s="692">
        <f t="shared" ref="BA469" si="2844">+AZ469+BA470</f>
        <v>4.9334727159195894E-2</v>
      </c>
      <c r="BB469" s="316">
        <f>-BB465/BB4/BB468</f>
        <v>5.5209862475956197E-2</v>
      </c>
      <c r="BD469" s="692">
        <f t="shared" ref="BD469" si="2845">+BA469+BD470</f>
        <v>4.9334727159195894E-2</v>
      </c>
      <c r="BE469" s="692">
        <f t="shared" ref="BE469" si="2846">+BD469+BE470</f>
        <v>4.9334727159195894E-2</v>
      </c>
      <c r="BF469" s="316">
        <f>-BF465/BF4/BF468</f>
        <v>5.5782383735578998E-2</v>
      </c>
      <c r="BH469" s="692">
        <f t="shared" ref="BH469" si="2847">+BE469+BH470</f>
        <v>4.9334727159195894E-2</v>
      </c>
      <c r="BI469" s="692">
        <f t="shared" ref="BI469" si="2848">+BH469+BI470</f>
        <v>4.9334727159195894E-2</v>
      </c>
      <c r="BJ469" s="316">
        <f>-BJ465/BJ4/BJ468</f>
        <v>5.6378718772706851E-2</v>
      </c>
      <c r="BL469" s="692">
        <f t="shared" ref="BL469" si="2849">+BI469+BL470</f>
        <v>4.9334727159195894E-2</v>
      </c>
      <c r="BM469" s="692">
        <f t="shared" ref="BM469" si="2850">+BL469+BM470</f>
        <v>4.9334727159195894E-2</v>
      </c>
      <c r="BN469" s="316">
        <f>-BN465/BN4/BN468</f>
        <v>5.7000260470479923E-2</v>
      </c>
      <c r="BP469" s="692">
        <f t="shared" ref="BP469" si="2851">+BM469+BP470</f>
        <v>4.9334727159195894E-2</v>
      </c>
      <c r="BQ469" s="692">
        <f t="shared" ref="BQ469" si="2852">+BP469+BQ470</f>
        <v>4.9334727159195894E-2</v>
      </c>
      <c r="BR469" s="316">
        <f>-BR465/BR4/BR468</f>
        <v>5.764851168474578E-2</v>
      </c>
      <c r="BT469" s="692">
        <f t="shared" ref="BT469" si="2853">+BQ469+BT470</f>
        <v>4.9334727159195894E-2</v>
      </c>
      <c r="BU469" s="692">
        <f t="shared" ref="BU469" si="2854">+BT469+BU470</f>
        <v>4.9334727159195894E-2</v>
      </c>
      <c r="BV469" s="316">
        <f>-BV465/BV4/BV468</f>
        <v>5.83250963264259E-2</v>
      </c>
      <c r="BX469" s="692">
        <f t="shared" ref="BX469" si="2855">+BU469+BX470</f>
        <v>4.9334727159195894E-2</v>
      </c>
      <c r="BY469" s="692">
        <f t="shared" ref="BY469" si="2856">+BX469+BY470</f>
        <v>4.9334727159195894E-2</v>
      </c>
      <c r="BZ469" s="316">
        <f>-BZ465/BZ4/BZ468</f>
        <v>5.9031771811917606E-2</v>
      </c>
    </row>
    <row r="470" spans="1:78">
      <c r="B470" s="440" t="s">
        <v>614</v>
      </c>
      <c r="C470" s="155" t="s">
        <v>39</v>
      </c>
      <c r="AB470" s="691">
        <f>+AB469-Y469</f>
        <v>-1.7314450541816122E-3</v>
      </c>
      <c r="AC470" s="691">
        <f>+AC469-AB469</f>
        <v>5.8835208679360151E-2</v>
      </c>
      <c r="AD470" s="691"/>
      <c r="AE470" s="241"/>
      <c r="AF470" s="691">
        <f>+AF469-AC469</f>
        <v>-4.3263791437056297E-2</v>
      </c>
      <c r="AG470" s="691">
        <f>+AG469-AF469</f>
        <v>5.7231826811211646E-2</v>
      </c>
      <c r="AH470" s="691"/>
      <c r="AI470" s="241"/>
      <c r="AJ470" s="691">
        <f>+AJ469-AG469</f>
        <v>-1.937909586640417E-2</v>
      </c>
      <c r="AK470" s="691">
        <f>+AK469-AJ469</f>
        <v>-5.0763589635988704E-3</v>
      </c>
      <c r="AL470" s="691"/>
      <c r="AM470" s="155"/>
      <c r="AN470" s="691">
        <f>+AN469-AK469</f>
        <v>-1.3237404550743348E-2</v>
      </c>
      <c r="AO470" s="691">
        <f>+AO469-AN469</f>
        <v>1.1320485872155367E-3</v>
      </c>
      <c r="AP470" s="691"/>
      <c r="AQ470" s="155"/>
      <c r="AR470" s="145">
        <v>-5.0000000000000001E-3</v>
      </c>
      <c r="AS470" s="145">
        <v>-2.5000000000000001E-3</v>
      </c>
      <c r="AV470" s="145">
        <v>0</v>
      </c>
      <c r="AW470" s="145">
        <v>0</v>
      </c>
      <c r="AZ470" s="145">
        <v>0</v>
      </c>
      <c r="BA470" s="145">
        <v>0</v>
      </c>
      <c r="BD470" s="145">
        <v>0</v>
      </c>
      <c r="BE470" s="145">
        <v>0</v>
      </c>
      <c r="BH470" s="145">
        <v>0</v>
      </c>
      <c r="BI470" s="145">
        <v>0</v>
      </c>
      <c r="BL470" s="145">
        <v>0</v>
      </c>
      <c r="BM470" s="145">
        <v>0</v>
      </c>
      <c r="BP470" s="145">
        <v>0</v>
      </c>
      <c r="BQ470" s="145">
        <v>0</v>
      </c>
      <c r="BT470" s="145">
        <v>0</v>
      </c>
      <c r="BU470" s="145">
        <v>0</v>
      </c>
      <c r="BX470" s="145">
        <v>0</v>
      </c>
      <c r="BY470" s="145">
        <v>0</v>
      </c>
    </row>
  </sheetData>
  <phoneticPr fontId="6" type="noConversion"/>
  <pageMargins left="0.7" right="0.7" top="0.75" bottom="0.75" header="0.3" footer="0.3"/>
  <pageSetup paperSize="9" orientation="portrait" horizontalDpi="4294967293"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33CCCC"/>
    <pageSetUpPr autoPageBreaks="0"/>
  </sheetPr>
  <dimension ref="A4:BZ258"/>
  <sheetViews>
    <sheetView showGridLines="0" zoomScale="70" zoomScaleNormal="70" workbookViewId="0">
      <pane xSplit="3" ySplit="10" topLeftCell="D158" activePane="bottomRight" state="frozen"/>
      <selection pane="topRight" activeCell="D1" sqref="D1"/>
      <selection pane="bottomLeft" activeCell="A11" sqref="A11"/>
      <selection pane="bottomRight" activeCell="U242" sqref="U242"/>
    </sheetView>
  </sheetViews>
  <sheetFormatPr defaultColWidth="0" defaultRowHeight="13.8" outlineLevelRow="1" outlineLevelCol="1"/>
  <cols>
    <col min="1" max="1" width="8" style="132" customWidth="1"/>
    <col min="2" max="2" width="60" style="132" customWidth="1"/>
    <col min="3" max="3" width="9.109375" style="133" customWidth="1"/>
    <col min="4" max="15" width="9.109375" style="133" customWidth="1" outlineLevel="1"/>
    <col min="16" max="16" width="10.33203125" style="133" customWidth="1" outlineLevel="1"/>
    <col min="17" max="17" width="9.109375" style="133" customWidth="1" outlineLevel="1"/>
    <col min="18" max="18" width="9.109375" style="133" customWidth="1"/>
    <col min="19" max="19" width="9.109375" style="133" customWidth="1" outlineLevel="1"/>
    <col min="20" max="20" width="11.44140625" style="133" customWidth="1" outlineLevel="1"/>
    <col min="21" max="21" width="9.109375" style="133" customWidth="1" outlineLevel="1"/>
    <col min="22" max="22" width="9.109375" style="133" customWidth="1"/>
    <col min="23" max="25" width="9.109375" style="133" customWidth="1" outlineLevel="1"/>
    <col min="26" max="26" width="9.109375" style="133" customWidth="1"/>
    <col min="27" max="29" width="9.109375" style="133" customWidth="1" outlineLevel="1"/>
    <col min="30" max="35" width="9.109375" style="133" customWidth="1"/>
    <col min="36" max="36" width="11.5546875" style="133" customWidth="1"/>
    <col min="37" max="78" width="9.109375" style="133" customWidth="1"/>
    <col min="79" max="16384" width="0" style="133" hidden="1"/>
  </cols>
  <sheetData>
    <row r="4" spans="1:78" ht="21">
      <c r="B4" s="248" t="s">
        <v>138</v>
      </c>
    </row>
    <row r="7" spans="1:78">
      <c r="B7" s="188"/>
      <c r="C7" s="191"/>
      <c r="D7" s="190">
        <f>'P&amp;L'!D4</f>
        <v>0.50273224043715847</v>
      </c>
      <c r="E7" s="190">
        <f>'P&amp;L'!E4</f>
        <v>0.49726775956284153</v>
      </c>
      <c r="F7" s="190">
        <f>'P&amp;L'!F4</f>
        <v>1</v>
      </c>
      <c r="G7" s="191"/>
      <c r="H7" s="190">
        <f>'P&amp;L'!H4</f>
        <v>0.50410958904109593</v>
      </c>
      <c r="I7" s="190">
        <f>'P&amp;L'!I4</f>
        <v>0.49589041095890413</v>
      </c>
      <c r="J7" s="190">
        <f>'P&amp;L'!J4</f>
        <v>1</v>
      </c>
      <c r="K7" s="191"/>
      <c r="L7" s="190">
        <f>'P&amp;L'!L4</f>
        <v>0.50410958904109593</v>
      </c>
      <c r="M7" s="190">
        <f>'P&amp;L'!M4</f>
        <v>0.49589041095890413</v>
      </c>
      <c r="N7" s="190">
        <f>'P&amp;L'!N4</f>
        <v>1</v>
      </c>
      <c r="O7" s="191"/>
      <c r="P7" s="190">
        <f>'P&amp;L'!P4</f>
        <v>0.50410958904109593</v>
      </c>
      <c r="Q7" s="190">
        <f>'P&amp;L'!Q4</f>
        <v>0.49589041095890413</v>
      </c>
      <c r="R7" s="190">
        <f>'P&amp;L'!R4</f>
        <v>1</v>
      </c>
      <c r="S7" s="191"/>
      <c r="T7" s="190">
        <f>'P&amp;L'!T4</f>
        <v>0.50273224043715847</v>
      </c>
      <c r="U7" s="190">
        <f>'P&amp;L'!U4</f>
        <v>0.49726775956284153</v>
      </c>
      <c r="V7" s="190">
        <f>'P&amp;L'!V4</f>
        <v>1</v>
      </c>
      <c r="W7" s="191"/>
      <c r="X7" s="190">
        <f>'P&amp;L'!X4</f>
        <v>0.50410958904109593</v>
      </c>
      <c r="Y7" s="190">
        <f>'P&amp;L'!Y4</f>
        <v>0.49589041095890413</v>
      </c>
      <c r="Z7" s="190">
        <f>'P&amp;L'!Z4</f>
        <v>1</v>
      </c>
      <c r="AA7" s="191"/>
      <c r="AB7" s="282">
        <f>'P&amp;L'!AB4</f>
        <v>0.50410958904109593</v>
      </c>
      <c r="AC7" s="282">
        <f>'P&amp;L'!AC4</f>
        <v>0.50410958904109593</v>
      </c>
      <c r="AD7" s="282">
        <f>'P&amp;L'!AD4</f>
        <v>1</v>
      </c>
      <c r="AE7" s="191"/>
      <c r="AF7" s="282">
        <f>'P&amp;L'!AF4</f>
        <v>0.50410958904109593</v>
      </c>
      <c r="AG7" s="282">
        <f>'P&amp;L'!AG4</f>
        <v>0.49589041095890413</v>
      </c>
      <c r="AH7" s="282">
        <f>'P&amp;L'!AH4</f>
        <v>1</v>
      </c>
      <c r="AI7" s="191"/>
      <c r="AJ7" s="282">
        <f>'P&amp;L'!AJ4</f>
        <v>0.50273224043715847</v>
      </c>
      <c r="AK7" s="282">
        <f>'P&amp;L'!AK4</f>
        <v>0.49726775956284153</v>
      </c>
      <c r="AL7" s="282">
        <f>'P&amp;L'!AL4</f>
        <v>1</v>
      </c>
      <c r="AM7" s="191"/>
      <c r="AN7" s="282">
        <f>'P&amp;L'!AN4</f>
        <v>0.50410958904109593</v>
      </c>
      <c r="AO7" s="282">
        <f>'P&amp;L'!AO4</f>
        <v>0.49589041095890413</v>
      </c>
      <c r="AP7" s="282">
        <f>'P&amp;L'!AP4</f>
        <v>1</v>
      </c>
      <c r="AQ7" s="215"/>
      <c r="AR7" s="217">
        <f>'P&amp;L'!AR4</f>
        <v>0.50410958904109593</v>
      </c>
      <c r="AS7" s="217">
        <f>'P&amp;L'!AS4</f>
        <v>0.49589041095890413</v>
      </c>
      <c r="AT7" s="217">
        <f>'P&amp;L'!AT4</f>
        <v>1</v>
      </c>
      <c r="AU7" s="215"/>
      <c r="AV7" s="217">
        <f>'P&amp;L'!AV4</f>
        <v>0.50410958904109593</v>
      </c>
      <c r="AW7" s="217">
        <f>'P&amp;L'!AW4</f>
        <v>0.49589041095890413</v>
      </c>
      <c r="AX7" s="217">
        <f>'P&amp;L'!AX4</f>
        <v>1</v>
      </c>
      <c r="AY7" s="215"/>
      <c r="AZ7" s="217">
        <f>'P&amp;L'!AZ4</f>
        <v>0.50273224043715847</v>
      </c>
      <c r="BA7" s="217">
        <f>'P&amp;L'!BA4</f>
        <v>0.49726775956284153</v>
      </c>
      <c r="BB7" s="217">
        <f>'P&amp;L'!BB4</f>
        <v>1</v>
      </c>
      <c r="BC7" s="215"/>
      <c r="BD7" s="217">
        <f>'P&amp;L'!BD4</f>
        <v>0.50410958904109593</v>
      </c>
      <c r="BE7" s="217">
        <f>'P&amp;L'!BE4</f>
        <v>0.49589041095890413</v>
      </c>
      <c r="BF7" s="217">
        <f>'P&amp;L'!BF4</f>
        <v>1</v>
      </c>
      <c r="BG7" s="215"/>
      <c r="BH7" s="217">
        <f>'P&amp;L'!BH4</f>
        <v>0.50410958904109593</v>
      </c>
      <c r="BI7" s="217">
        <f>'P&amp;L'!BI4</f>
        <v>0.49589041095890413</v>
      </c>
      <c r="BJ7" s="217">
        <f>'P&amp;L'!BJ4</f>
        <v>1</v>
      </c>
      <c r="BK7" s="215"/>
      <c r="BL7" s="217">
        <f>'P&amp;L'!BL4</f>
        <v>0.50410958904109593</v>
      </c>
      <c r="BM7" s="217">
        <f>'P&amp;L'!BM4</f>
        <v>0.49589041095890413</v>
      </c>
      <c r="BN7" s="217">
        <f>'P&amp;L'!BN4</f>
        <v>1</v>
      </c>
      <c r="BO7" s="215"/>
      <c r="BP7" s="217">
        <f>'P&amp;L'!BP4</f>
        <v>0.50273224043715847</v>
      </c>
      <c r="BQ7" s="217">
        <f>'P&amp;L'!BQ4</f>
        <v>0.49726775956284153</v>
      </c>
      <c r="BR7" s="217">
        <f>'P&amp;L'!BR4</f>
        <v>1</v>
      </c>
      <c r="BS7" s="215"/>
      <c r="BT7" s="217">
        <f>'P&amp;L'!BT4</f>
        <v>0.50410958904109593</v>
      </c>
      <c r="BU7" s="217">
        <f>'P&amp;L'!BU4</f>
        <v>0.49589041095890413</v>
      </c>
      <c r="BV7" s="217">
        <f>'P&amp;L'!BV4</f>
        <v>1</v>
      </c>
      <c r="BW7" s="215"/>
      <c r="BX7" s="217">
        <f>'P&amp;L'!BX4</f>
        <v>0.50410958904109593</v>
      </c>
      <c r="BY7" s="217">
        <f>'P&amp;L'!BY4</f>
        <v>0.49589041095890413</v>
      </c>
      <c r="BZ7" s="217">
        <f>'P&amp;L'!BZ4</f>
        <v>1</v>
      </c>
    </row>
    <row r="8" spans="1:78">
      <c r="B8" s="188"/>
      <c r="C8" s="191"/>
      <c r="D8" s="191">
        <f>'P&amp;L'!D5</f>
        <v>184</v>
      </c>
      <c r="E8" s="191">
        <f>'P&amp;L'!E5</f>
        <v>182</v>
      </c>
      <c r="F8" s="191">
        <f>'P&amp;L'!F5</f>
        <v>366</v>
      </c>
      <c r="G8" s="191"/>
      <c r="H8" s="191">
        <f>'P&amp;L'!H5</f>
        <v>184</v>
      </c>
      <c r="I8" s="191">
        <f>'P&amp;L'!I5</f>
        <v>181</v>
      </c>
      <c r="J8" s="191">
        <f>'P&amp;L'!J5</f>
        <v>365</v>
      </c>
      <c r="K8" s="191"/>
      <c r="L8" s="191">
        <f>'P&amp;L'!L5</f>
        <v>184</v>
      </c>
      <c r="M8" s="191">
        <f>'P&amp;L'!M5</f>
        <v>181</v>
      </c>
      <c r="N8" s="191">
        <f>'P&amp;L'!N5</f>
        <v>365</v>
      </c>
      <c r="O8" s="191"/>
      <c r="P8" s="191">
        <f>'P&amp;L'!P5</f>
        <v>184</v>
      </c>
      <c r="Q8" s="191">
        <f>'P&amp;L'!Q5</f>
        <v>181</v>
      </c>
      <c r="R8" s="191">
        <f>'P&amp;L'!R5</f>
        <v>365</v>
      </c>
      <c r="S8" s="191"/>
      <c r="T8" s="191">
        <f>'P&amp;L'!T5</f>
        <v>184</v>
      </c>
      <c r="U8" s="191">
        <f>'P&amp;L'!U5</f>
        <v>182</v>
      </c>
      <c r="V8" s="191">
        <f>'P&amp;L'!V5</f>
        <v>366</v>
      </c>
      <c r="W8" s="191"/>
      <c r="X8" s="191">
        <f>'P&amp;L'!X5</f>
        <v>184</v>
      </c>
      <c r="Y8" s="191">
        <f>'P&amp;L'!Y5</f>
        <v>181</v>
      </c>
      <c r="Z8" s="191">
        <f>'P&amp;L'!Z5</f>
        <v>365</v>
      </c>
      <c r="AA8" s="191"/>
      <c r="AB8" s="193">
        <f>'P&amp;L'!AB5</f>
        <v>184</v>
      </c>
      <c r="AC8" s="193">
        <f>'P&amp;L'!AC5</f>
        <v>184</v>
      </c>
      <c r="AD8" s="193">
        <f>'P&amp;L'!AD5</f>
        <v>365</v>
      </c>
      <c r="AE8" s="191"/>
      <c r="AF8" s="193">
        <f>'P&amp;L'!AF5</f>
        <v>184</v>
      </c>
      <c r="AG8" s="193">
        <f>'P&amp;L'!AG5</f>
        <v>181</v>
      </c>
      <c r="AH8" s="193">
        <f>'P&amp;L'!AH5</f>
        <v>365</v>
      </c>
      <c r="AI8" s="191"/>
      <c r="AJ8" s="193">
        <f>'P&amp;L'!AJ5</f>
        <v>184</v>
      </c>
      <c r="AK8" s="193">
        <f>'P&amp;L'!AK5</f>
        <v>182</v>
      </c>
      <c r="AL8" s="193">
        <f>'P&amp;L'!AL5</f>
        <v>366</v>
      </c>
      <c r="AM8" s="191"/>
      <c r="AN8" s="193">
        <f>'P&amp;L'!AN5</f>
        <v>184</v>
      </c>
      <c r="AO8" s="193">
        <f>'P&amp;L'!AO5</f>
        <v>181</v>
      </c>
      <c r="AP8" s="193">
        <f>'P&amp;L'!AP5</f>
        <v>365</v>
      </c>
      <c r="AQ8" s="215"/>
      <c r="AR8" s="215">
        <f>'P&amp;L'!AR5</f>
        <v>184</v>
      </c>
      <c r="AS8" s="215">
        <f>'P&amp;L'!AS5</f>
        <v>181</v>
      </c>
      <c r="AT8" s="215">
        <f>'P&amp;L'!AT5</f>
        <v>365</v>
      </c>
      <c r="AU8" s="215"/>
      <c r="AV8" s="215">
        <f>'P&amp;L'!AV5</f>
        <v>184</v>
      </c>
      <c r="AW8" s="215">
        <f>'P&amp;L'!AW5</f>
        <v>181</v>
      </c>
      <c r="AX8" s="215">
        <f>'P&amp;L'!AX5</f>
        <v>365</v>
      </c>
      <c r="AY8" s="215"/>
      <c r="AZ8" s="215">
        <f>'P&amp;L'!AZ5</f>
        <v>184</v>
      </c>
      <c r="BA8" s="215">
        <f>'P&amp;L'!BA5</f>
        <v>182</v>
      </c>
      <c r="BB8" s="215">
        <f>'P&amp;L'!BB5</f>
        <v>366</v>
      </c>
      <c r="BC8" s="215"/>
      <c r="BD8" s="215">
        <f>'P&amp;L'!BD5</f>
        <v>184</v>
      </c>
      <c r="BE8" s="215">
        <f>'P&amp;L'!BE5</f>
        <v>181</v>
      </c>
      <c r="BF8" s="215">
        <f>'P&amp;L'!BF5</f>
        <v>365</v>
      </c>
      <c r="BG8" s="215"/>
      <c r="BH8" s="215">
        <f>'P&amp;L'!BH5</f>
        <v>184</v>
      </c>
      <c r="BI8" s="215">
        <f>'P&amp;L'!BI5</f>
        <v>181</v>
      </c>
      <c r="BJ8" s="215">
        <f>'P&amp;L'!BJ5</f>
        <v>365</v>
      </c>
      <c r="BK8" s="215"/>
      <c r="BL8" s="215">
        <f>'P&amp;L'!BL5</f>
        <v>184</v>
      </c>
      <c r="BM8" s="215">
        <f>'P&amp;L'!BM5</f>
        <v>181</v>
      </c>
      <c r="BN8" s="215">
        <f>'P&amp;L'!BN5</f>
        <v>365</v>
      </c>
      <c r="BO8" s="215"/>
      <c r="BP8" s="215">
        <f>'P&amp;L'!BP5</f>
        <v>184</v>
      </c>
      <c r="BQ8" s="215">
        <f>'P&amp;L'!BQ5</f>
        <v>182</v>
      </c>
      <c r="BR8" s="215">
        <f>'P&amp;L'!BR5</f>
        <v>366</v>
      </c>
      <c r="BS8" s="215"/>
      <c r="BT8" s="215">
        <f>'P&amp;L'!BT5</f>
        <v>184</v>
      </c>
      <c r="BU8" s="215">
        <f>'P&amp;L'!BU5</f>
        <v>181</v>
      </c>
      <c r="BV8" s="215">
        <f>'P&amp;L'!BV5</f>
        <v>365</v>
      </c>
      <c r="BW8" s="215"/>
      <c r="BX8" s="215">
        <f>'P&amp;L'!BX5</f>
        <v>184</v>
      </c>
      <c r="BY8" s="215">
        <f>'P&amp;L'!BY5</f>
        <v>181</v>
      </c>
      <c r="BZ8" s="215">
        <f>'P&amp;L'!BZ5</f>
        <v>365</v>
      </c>
    </row>
    <row r="9" spans="1:78">
      <c r="B9" s="188"/>
      <c r="C9" s="191"/>
      <c r="D9" s="192">
        <f>'P&amp;L'!D6</f>
        <v>42369</v>
      </c>
      <c r="E9" s="194">
        <f>'P&amp;L'!E6</f>
        <v>42551</v>
      </c>
      <c r="F9" s="194">
        <f>'P&amp;L'!F6</f>
        <v>42551</v>
      </c>
      <c r="G9" s="191"/>
      <c r="H9" s="192">
        <f>'P&amp;L'!H6</f>
        <v>42735</v>
      </c>
      <c r="I9" s="194">
        <f>'P&amp;L'!I6</f>
        <v>42916</v>
      </c>
      <c r="J9" s="194">
        <f>'P&amp;L'!J6</f>
        <v>42916</v>
      </c>
      <c r="K9" s="191"/>
      <c r="L9" s="192">
        <f>'P&amp;L'!L6</f>
        <v>43100</v>
      </c>
      <c r="M9" s="194">
        <f>'P&amp;L'!M6</f>
        <v>43281</v>
      </c>
      <c r="N9" s="194">
        <f>'P&amp;L'!N6</f>
        <v>43281</v>
      </c>
      <c r="O9" s="191"/>
      <c r="P9" s="192">
        <f>'P&amp;L'!P6</f>
        <v>43465</v>
      </c>
      <c r="Q9" s="194">
        <f>'P&amp;L'!Q6</f>
        <v>43646</v>
      </c>
      <c r="R9" s="194">
        <f>'P&amp;L'!R6</f>
        <v>43646</v>
      </c>
      <c r="S9" s="191"/>
      <c r="T9" s="192">
        <f>'P&amp;L'!T6</f>
        <v>43830</v>
      </c>
      <c r="U9" s="194">
        <f>'P&amp;L'!U6</f>
        <v>44012</v>
      </c>
      <c r="V9" s="194">
        <f>'P&amp;L'!V6</f>
        <v>44012</v>
      </c>
      <c r="W9" s="191"/>
      <c r="X9" s="192">
        <f>'P&amp;L'!X6</f>
        <v>44196</v>
      </c>
      <c r="Y9" s="194">
        <f>'P&amp;L'!Y6</f>
        <v>44377</v>
      </c>
      <c r="Z9" s="194">
        <f>'P&amp;L'!Z6</f>
        <v>44377</v>
      </c>
      <c r="AA9" s="191"/>
      <c r="AB9" s="192">
        <f>'P&amp;L'!AB6</f>
        <v>44561</v>
      </c>
      <c r="AC9" s="192">
        <f>'P&amp;L'!AC6</f>
        <v>44742</v>
      </c>
      <c r="AD9" s="192">
        <f>'P&amp;L'!AD6</f>
        <v>44742</v>
      </c>
      <c r="AE9" s="191"/>
      <c r="AF9" s="192">
        <f>'P&amp;L'!AF6</f>
        <v>44926</v>
      </c>
      <c r="AG9" s="192">
        <f>'P&amp;L'!AG6</f>
        <v>45107</v>
      </c>
      <c r="AH9" s="192">
        <f>'P&amp;L'!AH6</f>
        <v>45107</v>
      </c>
      <c r="AI9" s="191"/>
      <c r="AJ9" s="192">
        <f>'P&amp;L'!AJ6</f>
        <v>45291</v>
      </c>
      <c r="AK9" s="192">
        <f>'P&amp;L'!AK6</f>
        <v>45473</v>
      </c>
      <c r="AL9" s="192">
        <f>'P&amp;L'!AL6</f>
        <v>45473</v>
      </c>
      <c r="AM9" s="191"/>
      <c r="AN9" s="192">
        <f>'P&amp;L'!AN6</f>
        <v>45657</v>
      </c>
      <c r="AO9" s="192">
        <f>'P&amp;L'!AO6</f>
        <v>45838</v>
      </c>
      <c r="AP9" s="192">
        <f>'P&amp;L'!AP6</f>
        <v>45838</v>
      </c>
      <c r="AQ9" s="215"/>
      <c r="AR9" s="214">
        <f>'P&amp;L'!AR6</f>
        <v>46022</v>
      </c>
      <c r="AS9" s="214">
        <f>'P&amp;L'!AS6</f>
        <v>46203</v>
      </c>
      <c r="AT9" s="214">
        <f>'P&amp;L'!AT6</f>
        <v>46203</v>
      </c>
      <c r="AU9" s="215"/>
      <c r="AV9" s="214">
        <f>'P&amp;L'!AV6</f>
        <v>46387</v>
      </c>
      <c r="AW9" s="214">
        <f>'P&amp;L'!AW6</f>
        <v>46568</v>
      </c>
      <c r="AX9" s="214">
        <f>'P&amp;L'!AX6</f>
        <v>46568</v>
      </c>
      <c r="AY9" s="215"/>
      <c r="AZ9" s="214">
        <f>'P&amp;L'!AZ6</f>
        <v>46752</v>
      </c>
      <c r="BA9" s="214">
        <f>'P&amp;L'!BA6</f>
        <v>46934</v>
      </c>
      <c r="BB9" s="214">
        <f>'P&amp;L'!BB6</f>
        <v>46934</v>
      </c>
      <c r="BC9" s="215"/>
      <c r="BD9" s="214">
        <f>'P&amp;L'!BD6</f>
        <v>47118</v>
      </c>
      <c r="BE9" s="214">
        <f>'P&amp;L'!BE6</f>
        <v>47299</v>
      </c>
      <c r="BF9" s="214">
        <f>'P&amp;L'!BF6</f>
        <v>47299</v>
      </c>
      <c r="BG9" s="215"/>
      <c r="BH9" s="214">
        <f>'P&amp;L'!BH6</f>
        <v>47483</v>
      </c>
      <c r="BI9" s="214">
        <f>'P&amp;L'!BI6</f>
        <v>47664</v>
      </c>
      <c r="BJ9" s="214">
        <f>'P&amp;L'!BJ6</f>
        <v>47664</v>
      </c>
      <c r="BK9" s="215"/>
      <c r="BL9" s="214">
        <f>'P&amp;L'!BL6</f>
        <v>47848</v>
      </c>
      <c r="BM9" s="214">
        <f>'P&amp;L'!BM6</f>
        <v>48029</v>
      </c>
      <c r="BN9" s="214">
        <f>'P&amp;L'!BN6</f>
        <v>48029</v>
      </c>
      <c r="BO9" s="215"/>
      <c r="BP9" s="214">
        <f>'P&amp;L'!BP6</f>
        <v>48213</v>
      </c>
      <c r="BQ9" s="214">
        <f>'P&amp;L'!BQ6</f>
        <v>48395</v>
      </c>
      <c r="BR9" s="214">
        <f>'P&amp;L'!BR6</f>
        <v>48395</v>
      </c>
      <c r="BS9" s="215"/>
      <c r="BT9" s="214">
        <f>'P&amp;L'!BT6</f>
        <v>48579</v>
      </c>
      <c r="BU9" s="214">
        <f>'P&amp;L'!BU6</f>
        <v>48760</v>
      </c>
      <c r="BV9" s="214">
        <f>'P&amp;L'!BV6</f>
        <v>48760</v>
      </c>
      <c r="BW9" s="215"/>
      <c r="BX9" s="214">
        <f>'P&amp;L'!BX6</f>
        <v>48944</v>
      </c>
      <c r="BY9" s="214">
        <f>'P&amp;L'!BY6</f>
        <v>49125</v>
      </c>
      <c r="BZ9" s="214">
        <f>'P&amp;L'!BZ6</f>
        <v>49125</v>
      </c>
    </row>
    <row r="10" spans="1:78">
      <c r="B10" s="246" t="str">
        <f>'P&amp;L'!B7</f>
        <v>A$'m</v>
      </c>
      <c r="C10" s="191"/>
      <c r="D10" s="193" t="str">
        <f>'P&amp;L'!D7</f>
        <v>1H16</v>
      </c>
      <c r="E10" s="191" t="str">
        <f>'P&amp;L'!E7</f>
        <v>2H16</v>
      </c>
      <c r="F10" s="191" t="str">
        <f>'P&amp;L'!F7</f>
        <v>FY16</v>
      </c>
      <c r="G10" s="191"/>
      <c r="H10" s="193" t="str">
        <f>'P&amp;L'!H7</f>
        <v>1H17</v>
      </c>
      <c r="I10" s="191" t="str">
        <f>'P&amp;L'!I7</f>
        <v>2H17</v>
      </c>
      <c r="J10" s="191" t="str">
        <f>'P&amp;L'!J7</f>
        <v>FY17</v>
      </c>
      <c r="K10" s="191"/>
      <c r="L10" s="193" t="str">
        <f>'P&amp;L'!L7</f>
        <v>1H18</v>
      </c>
      <c r="M10" s="191" t="str">
        <f>'P&amp;L'!M7</f>
        <v>2H18</v>
      </c>
      <c r="N10" s="191" t="str">
        <f>'P&amp;L'!N7</f>
        <v>FY18</v>
      </c>
      <c r="O10" s="191"/>
      <c r="P10" s="193" t="str">
        <f>'P&amp;L'!P7</f>
        <v>1H19</v>
      </c>
      <c r="Q10" s="191" t="str">
        <f>'P&amp;L'!Q7</f>
        <v>2H19</v>
      </c>
      <c r="R10" s="191" t="str">
        <f>'P&amp;L'!R7</f>
        <v>FY19</v>
      </c>
      <c r="S10" s="191"/>
      <c r="T10" s="193" t="str">
        <f>'P&amp;L'!T7</f>
        <v>1H20</v>
      </c>
      <c r="U10" s="191" t="str">
        <f>'P&amp;L'!U7</f>
        <v>2H20</v>
      </c>
      <c r="V10" s="191" t="str">
        <f>'P&amp;L'!V7</f>
        <v>FY20</v>
      </c>
      <c r="W10" s="191"/>
      <c r="X10" s="193" t="str">
        <f>'P&amp;L'!X7</f>
        <v>1H21</v>
      </c>
      <c r="Y10" s="191" t="str">
        <f>'P&amp;L'!Y7</f>
        <v>2H21</v>
      </c>
      <c r="Z10" s="191" t="str">
        <f>'P&amp;L'!Z7</f>
        <v>FY21</v>
      </c>
      <c r="AA10" s="191"/>
      <c r="AB10" s="193" t="str">
        <f>'P&amp;L'!AB7</f>
        <v>1H22</v>
      </c>
      <c r="AC10" s="193" t="str">
        <f>'P&amp;L'!AC7</f>
        <v>2H22</v>
      </c>
      <c r="AD10" s="193" t="str">
        <f>'P&amp;L'!AD7</f>
        <v>FY22</v>
      </c>
      <c r="AE10" s="191"/>
      <c r="AF10" s="193" t="str">
        <f>'P&amp;L'!AF7</f>
        <v>1H23</v>
      </c>
      <c r="AG10" s="193" t="str">
        <f>'P&amp;L'!AG7</f>
        <v>2H23</v>
      </c>
      <c r="AH10" s="193" t="str">
        <f>'P&amp;L'!AH7</f>
        <v>FY23</v>
      </c>
      <c r="AI10" s="191"/>
      <c r="AJ10" s="193" t="str">
        <f>'P&amp;L'!AJ7</f>
        <v>1H24</v>
      </c>
      <c r="AK10" s="193" t="str">
        <f>'P&amp;L'!AK7</f>
        <v>2H24</v>
      </c>
      <c r="AL10" s="193" t="str">
        <f>'P&amp;L'!AL7</f>
        <v>FY24</v>
      </c>
      <c r="AM10" s="191"/>
      <c r="AN10" s="193" t="str">
        <f>'P&amp;L'!AN7</f>
        <v>1H25</v>
      </c>
      <c r="AO10" s="193" t="str">
        <f>'P&amp;L'!AO7</f>
        <v>2H25</v>
      </c>
      <c r="AP10" s="193" t="str">
        <f>'P&amp;L'!AP7</f>
        <v>FY25</v>
      </c>
      <c r="AQ10" s="215"/>
      <c r="AR10" s="215" t="str">
        <f>'P&amp;L'!AR7</f>
        <v>1H26E</v>
      </c>
      <c r="AS10" s="215" t="str">
        <f>'P&amp;L'!AS7</f>
        <v>2H26E</v>
      </c>
      <c r="AT10" s="215" t="str">
        <f>'P&amp;L'!AT7</f>
        <v>FY26E</v>
      </c>
      <c r="AU10" s="215"/>
      <c r="AV10" s="215" t="str">
        <f>'P&amp;L'!AV7</f>
        <v>1H27E</v>
      </c>
      <c r="AW10" s="215" t="str">
        <f>'P&amp;L'!AW7</f>
        <v>2H27E</v>
      </c>
      <c r="AX10" s="215" t="str">
        <f>'P&amp;L'!AX7</f>
        <v>FY27E</v>
      </c>
      <c r="AY10" s="215"/>
      <c r="AZ10" s="215" t="str">
        <f>'P&amp;L'!AZ7</f>
        <v>1H28E</v>
      </c>
      <c r="BA10" s="215" t="str">
        <f>'P&amp;L'!BA7</f>
        <v>2H28E</v>
      </c>
      <c r="BB10" s="215" t="str">
        <f>'P&amp;L'!BB7</f>
        <v>FY28E</v>
      </c>
      <c r="BC10" s="215"/>
      <c r="BD10" s="215" t="str">
        <f>'P&amp;L'!BD7</f>
        <v>1H29E</v>
      </c>
      <c r="BE10" s="215" t="str">
        <f>'P&amp;L'!BE7</f>
        <v>2H29E</v>
      </c>
      <c r="BF10" s="215" t="str">
        <f>'P&amp;L'!BF7</f>
        <v>FY29E</v>
      </c>
      <c r="BG10" s="215"/>
      <c r="BH10" s="215" t="str">
        <f>'P&amp;L'!BH7</f>
        <v>1H30E</v>
      </c>
      <c r="BI10" s="215" t="str">
        <f>'P&amp;L'!BI7</f>
        <v>2H30E</v>
      </c>
      <c r="BJ10" s="215" t="str">
        <f>'P&amp;L'!BJ7</f>
        <v>FY30E</v>
      </c>
      <c r="BK10" s="215"/>
      <c r="BL10" s="215" t="str">
        <f>'P&amp;L'!BL7</f>
        <v>1H31E</v>
      </c>
      <c r="BM10" s="215" t="str">
        <f>'P&amp;L'!BM7</f>
        <v>2H31E</v>
      </c>
      <c r="BN10" s="215" t="str">
        <f>'P&amp;L'!BN7</f>
        <v>FY31E</v>
      </c>
      <c r="BO10" s="215"/>
      <c r="BP10" s="215" t="str">
        <f>'P&amp;L'!BP7</f>
        <v>1H32E</v>
      </c>
      <c r="BQ10" s="215" t="str">
        <f>'P&amp;L'!BQ7</f>
        <v>2H32E</v>
      </c>
      <c r="BR10" s="215" t="str">
        <f>'P&amp;L'!BR7</f>
        <v>FY32E</v>
      </c>
      <c r="BS10" s="215"/>
      <c r="BT10" s="215" t="str">
        <f>'P&amp;L'!BT7</f>
        <v>1H33E</v>
      </c>
      <c r="BU10" s="215" t="str">
        <f>'P&amp;L'!BU7</f>
        <v>2H33E</v>
      </c>
      <c r="BV10" s="215" t="str">
        <f>'P&amp;L'!BV7</f>
        <v>FY33E</v>
      </c>
      <c r="BW10" s="215"/>
      <c r="BX10" s="215" t="str">
        <f>'P&amp;L'!BX7</f>
        <v>1H34E</v>
      </c>
      <c r="BY10" s="215" t="str">
        <f>'P&amp;L'!BY7</f>
        <v>2H34E</v>
      </c>
      <c r="BZ10" s="215" t="str">
        <f>'P&amp;L'!BZ7</f>
        <v>FY34E</v>
      </c>
    </row>
    <row r="11" spans="1:78" s="134" customFormat="1"/>
    <row r="12" spans="1:78" s="234" customFormat="1">
      <c r="A12" s="134"/>
      <c r="B12" s="233" t="s">
        <v>135</v>
      </c>
    </row>
    <row r="13" spans="1:78" ht="15.6">
      <c r="B13" s="431" t="s">
        <v>18</v>
      </c>
      <c r="AL13" s="256"/>
    </row>
    <row r="14" spans="1:78" s="161" customFormat="1">
      <c r="A14" s="148"/>
      <c r="B14" s="148" t="s">
        <v>194</v>
      </c>
      <c r="D14" s="230">
        <v>91.233000000000004</v>
      </c>
      <c r="E14" s="161">
        <f>F14-D14</f>
        <v>100.39599999999999</v>
      </c>
      <c r="F14" s="230">
        <v>191.62899999999999</v>
      </c>
      <c r="H14" s="230">
        <v>115.327</v>
      </c>
      <c r="I14" s="161">
        <f>J14-H14</f>
        <v>111.364</v>
      </c>
      <c r="J14" s="230">
        <v>226.691</v>
      </c>
      <c r="L14" s="230">
        <v>122.806</v>
      </c>
      <c r="M14" s="161">
        <f>N14-L14</f>
        <v>110.03099999999999</v>
      </c>
      <c r="N14" s="230">
        <v>232.83699999999999</v>
      </c>
      <c r="P14" s="230">
        <v>126.26</v>
      </c>
      <c r="Q14" s="161">
        <f>R14-P14</f>
        <v>157.96800000000002</v>
      </c>
      <c r="R14" s="230">
        <v>284.22800000000001</v>
      </c>
      <c r="T14" s="230">
        <v>148.19</v>
      </c>
      <c r="U14" s="161">
        <f>V14-T14</f>
        <v>182.01400000000001</v>
      </c>
      <c r="V14" s="230">
        <v>330.20400000000001</v>
      </c>
      <c r="W14" s="218"/>
      <c r="X14" s="230">
        <v>145.74100000000001</v>
      </c>
      <c r="Y14" s="161">
        <f>Z14-X14</f>
        <v>170.93499999999997</v>
      </c>
      <c r="Z14" s="230">
        <v>316.67599999999999</v>
      </c>
      <c r="AA14" s="218"/>
      <c r="AB14" s="230">
        <v>176.11600000000001</v>
      </c>
      <c r="AC14" s="161">
        <f>AD14-AB14</f>
        <v>169.03799999999998</v>
      </c>
      <c r="AD14" s="230">
        <v>345.154</v>
      </c>
      <c r="AE14" s="218"/>
      <c r="AF14" s="181">
        <v>320.70499999999998</v>
      </c>
      <c r="AG14" s="161">
        <f>AH14-AF14</f>
        <v>495.96300000000002</v>
      </c>
      <c r="AH14" s="181">
        <v>816.66800000000001</v>
      </c>
      <c r="AI14" s="218"/>
      <c r="AJ14" s="230">
        <v>598.45399999999995</v>
      </c>
      <c r="AK14" s="161">
        <f>AL14-AJ14</f>
        <v>566.69000000000005</v>
      </c>
      <c r="AL14" s="230">
        <v>1165.144</v>
      </c>
      <c r="AN14" s="181">
        <v>581.226</v>
      </c>
      <c r="AO14" s="161">
        <f>AP14-AN14</f>
        <v>694.42099999999994</v>
      </c>
      <c r="AP14" s="916">
        <v>1275.6469999999999</v>
      </c>
    </row>
    <row r="15" spans="1:78" s="161" customFormat="1">
      <c r="A15" s="148"/>
      <c r="B15" s="148" t="s">
        <v>195</v>
      </c>
      <c r="D15" s="230">
        <f>11.423+0.051</f>
        <v>11.474</v>
      </c>
      <c r="E15" s="161">
        <f t="shared" ref="E15:E21" si="0">F15-D15</f>
        <v>8.9819999999999993</v>
      </c>
      <c r="F15" s="230">
        <f>20.454+0.002</f>
        <v>20.456</v>
      </c>
      <c r="H15" s="230">
        <f>11.59+0.001</f>
        <v>11.590999999999999</v>
      </c>
      <c r="I15" s="161">
        <f t="shared" ref="I15:I21" si="1">J15-H15</f>
        <v>10.249000000000001</v>
      </c>
      <c r="J15" s="230">
        <f>21.839+0.001</f>
        <v>21.84</v>
      </c>
      <c r="L15" s="230">
        <f>12.572+0.001</f>
        <v>12.572999999999999</v>
      </c>
      <c r="M15" s="161">
        <f t="shared" ref="M15:M21" si="2">N15-L15</f>
        <v>10.048000000000004</v>
      </c>
      <c r="N15" s="230">
        <f>22.62+0.001</f>
        <v>22.621000000000002</v>
      </c>
      <c r="P15" s="230">
        <f>15.763+0.001</f>
        <v>15.763999999999999</v>
      </c>
      <c r="Q15" s="161">
        <f t="shared" ref="Q15:Q21" si="3">R15-P15</f>
        <v>10.643000000000001</v>
      </c>
      <c r="R15" s="230">
        <f>26.371+0.036</f>
        <v>26.407</v>
      </c>
      <c r="T15" s="230">
        <v>14.387</v>
      </c>
      <c r="U15" s="161">
        <f t="shared" ref="U15:U23" si="4">V15-T15</f>
        <v>10.012999999999998</v>
      </c>
      <c r="V15" s="230">
        <v>24.4</v>
      </c>
      <c r="W15" s="218"/>
      <c r="X15" s="230">
        <v>21.486999999999998</v>
      </c>
      <c r="Y15" s="161">
        <f t="shared" ref="Y15:Y23" si="5">Z15-X15</f>
        <v>12.765000000000004</v>
      </c>
      <c r="Z15" s="230">
        <v>34.252000000000002</v>
      </c>
      <c r="AA15" s="218"/>
      <c r="AB15" s="230">
        <v>22.9</v>
      </c>
      <c r="AC15" s="161">
        <f t="shared" ref="AC15:AC23" si="6">AD15-AB15</f>
        <v>20.249000000000002</v>
      </c>
      <c r="AD15" s="230">
        <v>43.149000000000001</v>
      </c>
      <c r="AE15" s="218"/>
      <c r="AF15" s="181">
        <v>20.456</v>
      </c>
      <c r="AG15" s="161">
        <f t="shared" ref="AG15:AG21" si="7">AH15-AF15</f>
        <v>17.747000000000003</v>
      </c>
      <c r="AH15" s="181">
        <v>38.203000000000003</v>
      </c>
      <c r="AI15" s="218"/>
      <c r="AJ15" s="230">
        <v>21.143999999999998</v>
      </c>
      <c r="AK15" s="161">
        <f t="shared" ref="AK15:AK20" si="8">AL15-AJ15</f>
        <v>16.829000000000001</v>
      </c>
      <c r="AL15" s="230">
        <v>37.972999999999999</v>
      </c>
      <c r="AN15" s="181">
        <v>23.984999999999999</v>
      </c>
      <c r="AO15" s="161">
        <f t="shared" ref="AO15:AO21" si="9">AP15-AN15</f>
        <v>19.968000000000004</v>
      </c>
      <c r="AP15" s="916">
        <v>43.953000000000003</v>
      </c>
    </row>
    <row r="16" spans="1:78" s="161" customFormat="1">
      <c r="A16" s="148"/>
      <c r="B16" s="148" t="s">
        <v>196</v>
      </c>
      <c r="D16" s="230">
        <v>6.6340000000000003</v>
      </c>
      <c r="E16" s="161">
        <f t="shared" si="0"/>
        <v>4.4649999999999999</v>
      </c>
      <c r="F16" s="230">
        <v>11.099</v>
      </c>
      <c r="H16" s="230">
        <v>5.3719999999999999</v>
      </c>
      <c r="I16" s="161">
        <f t="shared" si="1"/>
        <v>5.2889999999999997</v>
      </c>
      <c r="J16" s="230">
        <v>10.661</v>
      </c>
      <c r="L16" s="230">
        <v>7.22</v>
      </c>
      <c r="M16" s="161">
        <f t="shared" si="2"/>
        <v>5.1700000000000008</v>
      </c>
      <c r="N16" s="230">
        <v>12.39</v>
      </c>
      <c r="P16" s="230">
        <v>6.5449999999999999</v>
      </c>
      <c r="Q16" s="161">
        <f t="shared" si="3"/>
        <v>7.1910000000000007</v>
      </c>
      <c r="R16" s="230">
        <v>13.736000000000001</v>
      </c>
      <c r="T16" s="230">
        <v>8.6180000000000003</v>
      </c>
      <c r="U16" s="161">
        <f t="shared" si="4"/>
        <v>5.1269999999999989</v>
      </c>
      <c r="V16" s="230">
        <v>13.744999999999999</v>
      </c>
      <c r="W16" s="218"/>
      <c r="X16" s="230">
        <v>8.4250000000000007</v>
      </c>
      <c r="Y16" s="161">
        <f t="shared" si="5"/>
        <v>6.1049999999999986</v>
      </c>
      <c r="Z16" s="230">
        <v>14.53</v>
      </c>
      <c r="AA16" s="218"/>
      <c r="AB16" s="230">
        <v>8.1460000000000008</v>
      </c>
      <c r="AC16" s="161">
        <f t="shared" si="6"/>
        <v>7.8419999999999987</v>
      </c>
      <c r="AD16" s="230">
        <v>15.988</v>
      </c>
      <c r="AE16" s="218"/>
      <c r="AF16" s="181">
        <v>12.99</v>
      </c>
      <c r="AG16" s="161">
        <f t="shared" si="7"/>
        <v>21.674999999999997</v>
      </c>
      <c r="AH16" s="181">
        <v>34.664999999999999</v>
      </c>
      <c r="AI16" s="218"/>
      <c r="AJ16" s="230">
        <v>29.286000000000001</v>
      </c>
      <c r="AK16" s="161">
        <f t="shared" si="8"/>
        <v>26.714999999999996</v>
      </c>
      <c r="AL16" s="230">
        <v>56.000999999999998</v>
      </c>
      <c r="AN16" s="181">
        <v>29.007000000000001</v>
      </c>
      <c r="AO16" s="161">
        <f t="shared" si="9"/>
        <v>25.597999999999995</v>
      </c>
      <c r="AP16" s="916">
        <v>54.604999999999997</v>
      </c>
    </row>
    <row r="17" spans="1:78" s="161" customFormat="1">
      <c r="A17" s="148"/>
      <c r="B17" s="148" t="s">
        <v>197</v>
      </c>
      <c r="D17" s="230">
        <v>-88.531000000000006</v>
      </c>
      <c r="E17" s="161">
        <f t="shared" si="0"/>
        <v>-87.35499999999999</v>
      </c>
      <c r="F17" s="230">
        <v>-175.886</v>
      </c>
      <c r="H17" s="230">
        <v>-96.373000000000005</v>
      </c>
      <c r="I17" s="161">
        <f t="shared" si="1"/>
        <v>-90.484999999999999</v>
      </c>
      <c r="J17" s="230">
        <v>-186.858</v>
      </c>
      <c r="L17" s="230">
        <v>-105.925</v>
      </c>
      <c r="M17" s="161">
        <f t="shared" si="2"/>
        <v>-99.17</v>
      </c>
      <c r="N17" s="230">
        <v>-205.095</v>
      </c>
      <c r="P17" s="230">
        <v>-117.619</v>
      </c>
      <c r="Q17" s="161">
        <f t="shared" si="3"/>
        <v>-137.93600000000001</v>
      </c>
      <c r="R17" s="230">
        <v>-255.55500000000001</v>
      </c>
      <c r="T17" s="230">
        <v>-123.717</v>
      </c>
      <c r="U17" s="161">
        <f t="shared" si="4"/>
        <v>-142.99200000000002</v>
      </c>
      <c r="V17" s="230">
        <v>-266.709</v>
      </c>
      <c r="W17" s="218"/>
      <c r="X17" s="230">
        <v>-109.005</v>
      </c>
      <c r="Y17" s="161">
        <f t="shared" si="5"/>
        <v>-145.02000000000001</v>
      </c>
      <c r="Z17" s="230">
        <v>-254.02500000000001</v>
      </c>
      <c r="AA17" s="218"/>
      <c r="AB17" s="230">
        <v>-144.738</v>
      </c>
      <c r="AC17" s="161">
        <f t="shared" si="6"/>
        <v>-124.19299999999998</v>
      </c>
      <c r="AD17" s="230">
        <v>-268.93099999999998</v>
      </c>
      <c r="AE17" s="218"/>
      <c r="AF17" s="181">
        <v>-279.17899999999997</v>
      </c>
      <c r="AG17" s="161">
        <f t="shared" si="7"/>
        <v>-397.82799999999997</v>
      </c>
      <c r="AH17" s="181">
        <v>-677.00699999999995</v>
      </c>
      <c r="AI17" s="218"/>
      <c r="AJ17" s="230">
        <v>-504.21199999999999</v>
      </c>
      <c r="AK17" s="161">
        <f t="shared" si="8"/>
        <v>-470.48</v>
      </c>
      <c r="AL17" s="230">
        <v>-974.69200000000001</v>
      </c>
      <c r="AN17" s="181">
        <v>-459.97899999999998</v>
      </c>
      <c r="AO17" s="161">
        <f t="shared" si="9"/>
        <v>-486.22300000000001</v>
      </c>
      <c r="AP17" s="916">
        <v>-946.202</v>
      </c>
    </row>
    <row r="18" spans="1:78" s="161" customFormat="1">
      <c r="A18" s="148"/>
      <c r="B18" s="148" t="s">
        <v>198</v>
      </c>
      <c r="D18" s="230">
        <v>-7.4870000000000001</v>
      </c>
      <c r="E18" s="161">
        <f t="shared" si="0"/>
        <v>-5.2129999999999992</v>
      </c>
      <c r="F18" s="230">
        <v>-12.7</v>
      </c>
      <c r="H18" s="230">
        <v>-8.1999999999999993</v>
      </c>
      <c r="I18" s="161">
        <f t="shared" si="1"/>
        <v>-6.7760000000000016</v>
      </c>
      <c r="J18" s="230">
        <v>-14.976000000000001</v>
      </c>
      <c r="L18" s="230">
        <v>-7.1029999999999998</v>
      </c>
      <c r="M18" s="161">
        <f t="shared" si="2"/>
        <v>-7.1010000000000009</v>
      </c>
      <c r="N18" s="230">
        <v>-14.204000000000001</v>
      </c>
      <c r="P18" s="230">
        <v>-9.0869999999999997</v>
      </c>
      <c r="Q18" s="161">
        <f t="shared" si="3"/>
        <v>-2.9510000000000005</v>
      </c>
      <c r="R18" s="230">
        <v>-12.038</v>
      </c>
      <c r="T18" s="230">
        <v>-10.792999999999999</v>
      </c>
      <c r="U18" s="161">
        <f t="shared" si="4"/>
        <v>-4.3080000000000016</v>
      </c>
      <c r="V18" s="230">
        <v>-15.101000000000001</v>
      </c>
      <c r="W18" s="218"/>
      <c r="X18" s="230">
        <v>-12.895</v>
      </c>
      <c r="Y18" s="161">
        <f t="shared" si="5"/>
        <v>-7.2950000000000017</v>
      </c>
      <c r="Z18" s="230">
        <v>-20.190000000000001</v>
      </c>
      <c r="AA18" s="218"/>
      <c r="AB18" s="230">
        <v>-14.109</v>
      </c>
      <c r="AC18" s="161">
        <f t="shared" si="6"/>
        <v>-12.795</v>
      </c>
      <c r="AD18" s="230">
        <v>-26.904</v>
      </c>
      <c r="AE18" s="218"/>
      <c r="AF18" s="181">
        <v>-17.715</v>
      </c>
      <c r="AG18" s="161">
        <f t="shared" si="7"/>
        <v>-14.623999999999999</v>
      </c>
      <c r="AH18" s="181">
        <v>-32.338999999999999</v>
      </c>
      <c r="AI18" s="218"/>
      <c r="AJ18" s="230">
        <v>-34.89</v>
      </c>
      <c r="AK18" s="161">
        <f t="shared" si="8"/>
        <v>-28.725999999999999</v>
      </c>
      <c r="AL18" s="230">
        <v>-63.616</v>
      </c>
      <c r="AN18" s="181">
        <v>-43.741</v>
      </c>
      <c r="AO18" s="161">
        <f t="shared" si="9"/>
        <v>-33.001000000000005</v>
      </c>
      <c r="AP18" s="916">
        <v>-76.742000000000004</v>
      </c>
      <c r="AR18" s="230"/>
      <c r="AS18" s="230"/>
      <c r="AV18" s="230"/>
      <c r="AW18" s="230"/>
      <c r="AZ18" s="230"/>
      <c r="BA18" s="230"/>
      <c r="BD18" s="230"/>
      <c r="BE18" s="230"/>
      <c r="BH18" s="230"/>
      <c r="BI18" s="230"/>
      <c r="BL18" s="230"/>
      <c r="BM18" s="230"/>
      <c r="BP18" s="230"/>
      <c r="BQ18" s="230"/>
      <c r="BT18" s="230"/>
      <c r="BU18" s="230"/>
      <c r="BX18" s="230"/>
      <c r="BY18" s="230"/>
    </row>
    <row r="19" spans="1:78" s="161" customFormat="1">
      <c r="A19" s="148"/>
      <c r="B19" s="148" t="s">
        <v>199</v>
      </c>
      <c r="D19" s="230">
        <f>1.365-1.558</f>
        <v>-0.19300000000000006</v>
      </c>
      <c r="E19" s="161">
        <f t="shared" si="0"/>
        <v>-0.36699999999999999</v>
      </c>
      <c r="F19" s="230">
        <f>3.619-4.179</f>
        <v>-0.56000000000000005</v>
      </c>
      <c r="H19" s="230">
        <f>1.555-1.881</f>
        <v>-0.32600000000000007</v>
      </c>
      <c r="I19" s="161">
        <f t="shared" si="1"/>
        <v>-0.62000000000000011</v>
      </c>
      <c r="J19" s="230">
        <f>2.784-3.73</f>
        <v>-0.94600000000000017</v>
      </c>
      <c r="L19" s="230">
        <f>-1.92+1.279</f>
        <v>-0.64100000000000001</v>
      </c>
      <c r="M19" s="161">
        <f t="shared" si="2"/>
        <v>-1.6620000000000004</v>
      </c>
      <c r="N19" s="230">
        <f>-4.679+2.376</f>
        <v>-2.3030000000000004</v>
      </c>
      <c r="P19" s="230">
        <f>-2.903+1.649+0.369</f>
        <v>-0.88500000000000001</v>
      </c>
      <c r="Q19" s="161">
        <f t="shared" si="3"/>
        <v>-1.6220000000000001</v>
      </c>
      <c r="R19" s="230">
        <f>-5.886+3.379</f>
        <v>-2.5070000000000001</v>
      </c>
      <c r="T19" s="230">
        <v>-3.0379999999999998</v>
      </c>
      <c r="U19" s="161">
        <f t="shared" si="4"/>
        <v>-4.0359999999999996</v>
      </c>
      <c r="V19" s="230">
        <v>-7.0739999999999998</v>
      </c>
      <c r="W19" s="218"/>
      <c r="X19" s="230">
        <v>-3.0870000000000002</v>
      </c>
      <c r="Y19" s="161">
        <f t="shared" si="5"/>
        <v>-3.1379999999999995</v>
      </c>
      <c r="Z19" s="230">
        <v>-6.2249999999999996</v>
      </c>
      <c r="AA19" s="218"/>
      <c r="AB19" s="230">
        <v>-2.879</v>
      </c>
      <c r="AC19" s="161">
        <f t="shared" si="6"/>
        <v>-2.61</v>
      </c>
      <c r="AD19" s="230">
        <v>-5.4889999999999999</v>
      </c>
      <c r="AE19" s="218"/>
      <c r="AF19" s="181">
        <v>-32.456000000000003</v>
      </c>
      <c r="AG19" s="161">
        <f t="shared" si="7"/>
        <v>-30.356999999999999</v>
      </c>
      <c r="AH19" s="181">
        <v>-62.813000000000002</v>
      </c>
      <c r="AI19" s="218"/>
      <c r="AJ19" s="230">
        <v>-25.831</v>
      </c>
      <c r="AK19" s="161">
        <f t="shared" si="8"/>
        <v>-21.715999999999998</v>
      </c>
      <c r="AL19" s="230">
        <v>-47.546999999999997</v>
      </c>
      <c r="AN19" s="181">
        <v>-25.978000000000002</v>
      </c>
      <c r="AO19" s="161">
        <f t="shared" si="9"/>
        <v>-29.353000000000002</v>
      </c>
      <c r="AP19" s="916">
        <v>-55.331000000000003</v>
      </c>
      <c r="AR19" s="230"/>
      <c r="AS19" s="230"/>
      <c r="AV19" s="230"/>
      <c r="AW19" s="230"/>
      <c r="AZ19" s="230"/>
      <c r="BA19" s="230"/>
      <c r="BD19" s="230"/>
      <c r="BE19" s="230"/>
      <c r="BH19" s="230"/>
      <c r="BI19" s="230"/>
      <c r="BL19" s="230"/>
      <c r="BM19" s="230"/>
      <c r="BP19" s="230"/>
      <c r="BQ19" s="230"/>
      <c r="BT19" s="230"/>
      <c r="BU19" s="230"/>
      <c r="BX19" s="230"/>
      <c r="BY19" s="230"/>
    </row>
    <row r="20" spans="1:78" s="161" customFormat="1">
      <c r="A20" s="148"/>
      <c r="B20" s="148" t="s">
        <v>685</v>
      </c>
      <c r="D20" s="230"/>
      <c r="F20" s="230"/>
      <c r="H20" s="230"/>
      <c r="J20" s="230"/>
      <c r="L20" s="230"/>
      <c r="N20" s="230"/>
      <c r="P20" s="230"/>
      <c r="R20" s="230"/>
      <c r="T20" s="230"/>
      <c r="V20" s="230"/>
      <c r="W20" s="218"/>
      <c r="X20" s="230"/>
      <c r="Z20" s="230"/>
      <c r="AA20" s="218"/>
      <c r="AB20" s="230"/>
      <c r="AD20" s="230"/>
      <c r="AE20" s="218"/>
      <c r="AF20" s="181"/>
      <c r="AH20" s="181"/>
      <c r="AI20" s="218"/>
      <c r="AJ20" s="230">
        <v>-38.497</v>
      </c>
      <c r="AK20" s="161">
        <f t="shared" si="8"/>
        <v>0</v>
      </c>
      <c r="AL20" s="230">
        <v>-38.497</v>
      </c>
      <c r="AN20" s="181">
        <v>0</v>
      </c>
      <c r="AO20" s="161">
        <f t="shared" si="9"/>
        <v>0</v>
      </c>
      <c r="AP20" s="916">
        <v>0</v>
      </c>
      <c r="AR20" s="230"/>
      <c r="AS20" s="230"/>
      <c r="AV20" s="230"/>
      <c r="AW20" s="230"/>
      <c r="AZ20" s="230"/>
      <c r="BA20" s="230"/>
      <c r="BD20" s="230"/>
      <c r="BE20" s="230"/>
      <c r="BH20" s="230"/>
      <c r="BI20" s="230"/>
      <c r="BL20" s="230"/>
      <c r="BM20" s="230"/>
      <c r="BP20" s="230"/>
      <c r="BQ20" s="230"/>
      <c r="BT20" s="230"/>
      <c r="BU20" s="230"/>
      <c r="BX20" s="230"/>
      <c r="BY20" s="230"/>
    </row>
    <row r="21" spans="1:78" s="161" customFormat="1">
      <c r="A21" s="148"/>
      <c r="B21" s="148" t="s">
        <v>200</v>
      </c>
      <c r="D21" s="230">
        <v>0</v>
      </c>
      <c r="E21" s="161">
        <f t="shared" si="0"/>
        <v>0</v>
      </c>
      <c r="F21" s="230">
        <v>0</v>
      </c>
      <c r="H21" s="230">
        <v>0</v>
      </c>
      <c r="I21" s="161">
        <f t="shared" si="1"/>
        <v>0</v>
      </c>
      <c r="J21" s="230">
        <v>0</v>
      </c>
      <c r="L21" s="230">
        <v>0</v>
      </c>
      <c r="M21" s="161">
        <f t="shared" si="2"/>
        <v>0</v>
      </c>
      <c r="N21" s="230">
        <v>0</v>
      </c>
      <c r="P21" s="230">
        <v>0</v>
      </c>
      <c r="Q21" s="161">
        <f t="shared" si="3"/>
        <v>0</v>
      </c>
      <c r="R21" s="230">
        <v>0</v>
      </c>
      <c r="T21" s="230">
        <v>-0.78600000000000003</v>
      </c>
      <c r="U21" s="161">
        <f t="shared" si="4"/>
        <v>-0.68399999999999994</v>
      </c>
      <c r="V21" s="230">
        <v>-1.47</v>
      </c>
      <c r="W21" s="218"/>
      <c r="X21" s="230">
        <v>-0.61599999999999999</v>
      </c>
      <c r="Y21" s="161">
        <f t="shared" si="5"/>
        <v>-0.56199999999999994</v>
      </c>
      <c r="Z21" s="230">
        <v>-1.1779999999999999</v>
      </c>
      <c r="AA21" s="218"/>
      <c r="AB21" s="230">
        <v>-0.51700000000000002</v>
      </c>
      <c r="AC21" s="161">
        <f t="shared" si="6"/>
        <v>-0.48899999999999999</v>
      </c>
      <c r="AD21" s="230">
        <v>-1.006</v>
      </c>
      <c r="AE21" s="218"/>
      <c r="AF21" s="181">
        <v>-1.1930000000000001</v>
      </c>
      <c r="AG21" s="161">
        <f t="shared" si="7"/>
        <v>-2.8080000000000003</v>
      </c>
      <c r="AH21" s="181">
        <v>-4.0010000000000003</v>
      </c>
      <c r="AI21" s="218"/>
      <c r="AJ21" s="230">
        <v>-2.6720000000000002</v>
      </c>
      <c r="AK21" s="161">
        <f t="shared" ref="AK21" si="10">AL21-AJ21</f>
        <v>-2.8839999999999999</v>
      </c>
      <c r="AL21" s="230">
        <v>-5.556</v>
      </c>
      <c r="AN21" s="181">
        <v>-2.3889999999999998</v>
      </c>
      <c r="AO21" s="161">
        <f t="shared" si="9"/>
        <v>-3.5089999999999999</v>
      </c>
      <c r="AP21" s="916">
        <v>-5.8979999999999997</v>
      </c>
      <c r="AR21" s="230"/>
      <c r="AS21" s="230"/>
      <c r="AV21" s="230"/>
      <c r="AW21" s="230"/>
      <c r="AZ21" s="230"/>
      <c r="BA21" s="230"/>
      <c r="BD21" s="230"/>
      <c r="BE21" s="230"/>
      <c r="BH21" s="230"/>
      <c r="BI21" s="230"/>
      <c r="BL21" s="230"/>
      <c r="BM21" s="230"/>
      <c r="BP21" s="230"/>
      <c r="BQ21" s="230"/>
      <c r="BT21" s="230"/>
      <c r="BU21" s="230"/>
      <c r="BX21" s="230"/>
      <c r="BY21" s="230"/>
    </row>
    <row r="22" spans="1:78" s="161" customFormat="1">
      <c r="A22" s="148"/>
      <c r="B22" s="148" t="s">
        <v>201</v>
      </c>
      <c r="D22" s="308">
        <f>SUM(D14:D21)</f>
        <v>13.130000000000003</v>
      </c>
      <c r="E22" s="308">
        <f>SUM(E14:E21)</f>
        <v>20.907999999999998</v>
      </c>
      <c r="F22" s="308">
        <f>SUM(F14:F21)</f>
        <v>34.037999999999968</v>
      </c>
      <c r="H22" s="308">
        <f>SUM(H14:H21)</f>
        <v>27.390999999999988</v>
      </c>
      <c r="I22" s="308">
        <f>SUM(I14:I21)</f>
        <v>29.020999999999997</v>
      </c>
      <c r="J22" s="308">
        <f>SUM(J14:J21)</f>
        <v>56.412000000000006</v>
      </c>
      <c r="L22" s="308">
        <f>SUM(L14:L21)</f>
        <v>28.929999999999993</v>
      </c>
      <c r="M22" s="308">
        <f>SUM(M14:M21)</f>
        <v>17.315999999999995</v>
      </c>
      <c r="N22" s="308">
        <f>SUM(N14:N21)</f>
        <v>46.246000000000016</v>
      </c>
      <c r="P22" s="308">
        <f>SUM(P14:P21)</f>
        <v>20.977999999999987</v>
      </c>
      <c r="Q22" s="308">
        <f>SUM(Q14:Q21)</f>
        <v>33.293000000000013</v>
      </c>
      <c r="R22" s="308">
        <f>SUM(R14:R21)</f>
        <v>54.270999999999979</v>
      </c>
      <c r="T22" s="308">
        <f>SUM(T14:T21)</f>
        <v>32.860999999999997</v>
      </c>
      <c r="U22" s="308">
        <f>SUM(U14:U21)</f>
        <v>45.134000000000007</v>
      </c>
      <c r="V22" s="308">
        <f>SUM(V14:V21)</f>
        <v>77.99499999999999</v>
      </c>
      <c r="W22" s="218"/>
      <c r="X22" s="308">
        <f>SUM(X14:X21)</f>
        <v>50.050000000000026</v>
      </c>
      <c r="Y22" s="308">
        <f>SUM(Y14:Y21)</f>
        <v>33.789999999999971</v>
      </c>
      <c r="Z22" s="308">
        <f>SUM(Z14:Z21)</f>
        <v>83.839999999999975</v>
      </c>
      <c r="AA22" s="218"/>
      <c r="AB22" s="308">
        <f>SUM(AB14:AB21)</f>
        <v>44.919000000000032</v>
      </c>
      <c r="AC22" s="308">
        <f>SUM(AC14:AC21)</f>
        <v>57.04199999999998</v>
      </c>
      <c r="AD22" s="308">
        <f>SUM(AD14:AD21)</f>
        <v>101.96100000000001</v>
      </c>
      <c r="AE22" s="218"/>
      <c r="AF22" s="446">
        <f>SUM(AF14:AF21)</f>
        <v>23.608000000000029</v>
      </c>
      <c r="AG22" s="308">
        <f>SUM(AG14:AG21)</f>
        <v>89.768000000000015</v>
      </c>
      <c r="AH22" s="308">
        <f>SUM(AH14:AH21)</f>
        <v>113.37599999999999</v>
      </c>
      <c r="AI22" s="218"/>
      <c r="AJ22" s="446">
        <f>SUM(AJ14:AJ21)</f>
        <v>42.782000000000025</v>
      </c>
      <c r="AK22" s="308">
        <f>SUM(AK14:AK21)</f>
        <v>86.428000000000026</v>
      </c>
      <c r="AL22" s="308">
        <f>SUM(AL14:AL21)</f>
        <v>129.20999999999995</v>
      </c>
      <c r="AN22" s="446">
        <f>SUM(AN14:AN21)</f>
        <v>102.13099999999999</v>
      </c>
      <c r="AO22" s="308">
        <f>SUM(AO14:AO21)</f>
        <v>187.90099999999984</v>
      </c>
      <c r="AP22" s="308">
        <f>SUM(AP14:AP21)</f>
        <v>290.03199999999987</v>
      </c>
      <c r="AR22" s="230"/>
      <c r="AS22" s="230"/>
      <c r="AV22" s="230"/>
      <c r="AW22" s="230"/>
      <c r="AZ22" s="230"/>
      <c r="BA22" s="230"/>
      <c r="BD22" s="230"/>
      <c r="BE22" s="230"/>
      <c r="BH22" s="230"/>
      <c r="BI22" s="230"/>
      <c r="BL22" s="230"/>
      <c r="BM22" s="230"/>
      <c r="BP22" s="230"/>
      <c r="BQ22" s="230"/>
      <c r="BT22" s="230"/>
      <c r="BU22" s="230"/>
      <c r="BX22" s="230"/>
      <c r="BY22" s="230"/>
    </row>
    <row r="23" spans="1:78" s="161" customFormat="1">
      <c r="A23" s="148"/>
      <c r="B23" s="148" t="s">
        <v>202</v>
      </c>
      <c r="D23" s="230">
        <v>-5.0819999999999999</v>
      </c>
      <c r="E23" s="161">
        <f>F23-D23</f>
        <v>-4.21</v>
      </c>
      <c r="F23" s="230">
        <v>-9.2919999999999998</v>
      </c>
      <c r="H23" s="230">
        <v>-1.415</v>
      </c>
      <c r="I23" s="161">
        <f>J23-H23</f>
        <v>0.53200000000000003</v>
      </c>
      <c r="J23" s="230">
        <v>-0.88300000000000001</v>
      </c>
      <c r="L23" s="230">
        <v>8.3620000000000001</v>
      </c>
      <c r="M23" s="161">
        <f>N23-L23</f>
        <v>2.8989999999999991</v>
      </c>
      <c r="N23" s="230">
        <v>11.260999999999999</v>
      </c>
      <c r="P23" s="230">
        <v>-3.8879999999999999</v>
      </c>
      <c r="Q23" s="161">
        <f>R23-P23</f>
        <v>19.145</v>
      </c>
      <c r="R23" s="230">
        <v>15.257</v>
      </c>
      <c r="T23" s="230">
        <v>-15.176</v>
      </c>
      <c r="U23" s="161">
        <f t="shared" si="4"/>
        <v>27.29</v>
      </c>
      <c r="V23" s="230">
        <v>12.114000000000001</v>
      </c>
      <c r="W23" s="218"/>
      <c r="X23" s="230">
        <v>-17.323</v>
      </c>
      <c r="Y23" s="161">
        <f t="shared" si="5"/>
        <v>46.069000000000003</v>
      </c>
      <c r="Z23" s="230">
        <v>28.745999999999999</v>
      </c>
      <c r="AA23" s="218"/>
      <c r="AB23" s="230">
        <v>-17.861000000000001</v>
      </c>
      <c r="AC23" s="161">
        <f t="shared" si="6"/>
        <v>11.435</v>
      </c>
      <c r="AD23" s="230">
        <v>-6.4260000000000002</v>
      </c>
      <c r="AE23" s="218"/>
      <c r="AF23" s="181">
        <v>40.768999999999998</v>
      </c>
      <c r="AG23" s="161">
        <f t="shared" ref="AG23" si="11">AH23-AF23</f>
        <v>48.092999999999996</v>
      </c>
      <c r="AH23" s="181">
        <v>88.861999999999995</v>
      </c>
      <c r="AI23" s="218"/>
      <c r="AJ23" s="231">
        <v>-60.103000000000002</v>
      </c>
      <c r="AK23" s="161">
        <f t="shared" ref="AK23" si="12">AL23-AJ23</f>
        <v>12.893000000000001</v>
      </c>
      <c r="AL23" s="230">
        <v>-47.21</v>
      </c>
      <c r="AN23" s="175">
        <v>86.366</v>
      </c>
      <c r="AO23" s="161">
        <f t="shared" ref="AO23" si="13">AP23-AN23</f>
        <v>10.134</v>
      </c>
      <c r="AP23" s="916">
        <v>96.5</v>
      </c>
      <c r="AR23" s="230"/>
      <c r="AS23" s="230"/>
      <c r="AV23" s="230"/>
      <c r="AW23" s="230"/>
      <c r="AZ23" s="230"/>
      <c r="BA23" s="230"/>
      <c r="BD23" s="230"/>
      <c r="BE23" s="230"/>
      <c r="BH23" s="230"/>
      <c r="BI23" s="230"/>
      <c r="BL23" s="230"/>
      <c r="BM23" s="230"/>
      <c r="BP23" s="230"/>
      <c r="BQ23" s="230"/>
      <c r="BT23" s="230"/>
      <c r="BU23" s="230"/>
      <c r="BX23" s="230"/>
      <c r="BY23" s="230"/>
    </row>
    <row r="24" spans="1:78" s="161" customFormat="1">
      <c r="A24" s="148"/>
      <c r="B24" s="149" t="s">
        <v>225</v>
      </c>
      <c r="D24" s="312">
        <f>SUM(D22:D23)</f>
        <v>8.0480000000000018</v>
      </c>
      <c r="E24" s="312">
        <f>SUM(E22:E23)</f>
        <v>16.697999999999997</v>
      </c>
      <c r="F24" s="312">
        <f>SUM(F22:F23)</f>
        <v>24.745999999999967</v>
      </c>
      <c r="H24" s="312">
        <f>SUM(H22:H23)</f>
        <v>25.975999999999988</v>
      </c>
      <c r="I24" s="312">
        <f>SUM(I22:I23)</f>
        <v>29.552999999999997</v>
      </c>
      <c r="J24" s="312">
        <f>SUM(J22:J23)</f>
        <v>55.529000000000003</v>
      </c>
      <c r="L24" s="312">
        <f>SUM(L22:L23)</f>
        <v>37.291999999999994</v>
      </c>
      <c r="M24" s="312">
        <f>SUM(M22:M23)</f>
        <v>20.214999999999996</v>
      </c>
      <c r="N24" s="312">
        <f>SUM(N22:N23)</f>
        <v>57.507000000000019</v>
      </c>
      <c r="P24" s="312">
        <f>SUM(P22:P23)</f>
        <v>17.089999999999989</v>
      </c>
      <c r="Q24" s="312">
        <f>SUM(Q22:Q23)</f>
        <v>52.438000000000017</v>
      </c>
      <c r="R24" s="312">
        <f>SUM(R22:R23)</f>
        <v>69.527999999999977</v>
      </c>
      <c r="T24" s="312">
        <f>SUM(T22:T23)</f>
        <v>17.684999999999995</v>
      </c>
      <c r="U24" s="312">
        <f>SUM(U22:U23)</f>
        <v>72.424000000000007</v>
      </c>
      <c r="V24" s="312">
        <f>SUM(V22:V23)</f>
        <v>90.108999999999995</v>
      </c>
      <c r="W24" s="218"/>
      <c r="X24" s="312">
        <f>SUM(X22:X23)</f>
        <v>32.727000000000025</v>
      </c>
      <c r="Y24" s="312">
        <f>SUM(Y22:Y23)</f>
        <v>79.85899999999998</v>
      </c>
      <c r="Z24" s="312">
        <f>SUM(Z22:Z23)</f>
        <v>112.58599999999997</v>
      </c>
      <c r="AA24" s="218"/>
      <c r="AB24" s="312">
        <f>SUM(AB22:AB23)</f>
        <v>27.058000000000032</v>
      </c>
      <c r="AC24" s="312">
        <f>SUM(AC22:AC23)</f>
        <v>68.476999999999975</v>
      </c>
      <c r="AD24" s="312">
        <f>SUM(AD22:AD23)</f>
        <v>95.535000000000011</v>
      </c>
      <c r="AE24" s="218"/>
      <c r="AF24" s="447">
        <f>SUM(AF22:AF23)</f>
        <v>64.377000000000024</v>
      </c>
      <c r="AG24" s="312">
        <f>SUM(AG22:AG23)</f>
        <v>137.86100000000002</v>
      </c>
      <c r="AH24" s="312">
        <f>SUM(AH22:AH23)</f>
        <v>202.238</v>
      </c>
      <c r="AI24" s="218"/>
      <c r="AJ24" s="447">
        <f>SUM(AJ22:AJ23)</f>
        <v>-17.320999999999977</v>
      </c>
      <c r="AK24" s="312">
        <f>SUM(AK22:AK23)</f>
        <v>99.321000000000026</v>
      </c>
      <c r="AL24" s="312">
        <f>SUM(AL22:AL23)</f>
        <v>81.999999999999943</v>
      </c>
      <c r="AM24" s="258"/>
      <c r="AN24" s="447">
        <f>SUM(AN22:AN23)</f>
        <v>188.49699999999999</v>
      </c>
      <c r="AO24" s="312">
        <f>SUM(AO22:AO23)</f>
        <v>198.03499999999985</v>
      </c>
      <c r="AP24" s="312">
        <f>SUM(AP22:AP23)</f>
        <v>386.53199999999987</v>
      </c>
      <c r="AQ24" s="258"/>
      <c r="AR24" s="415">
        <f>AR37</f>
        <v>-0.7530756389202331</v>
      </c>
      <c r="AS24" s="415">
        <f>AS37</f>
        <v>301.98359500232027</v>
      </c>
      <c r="AT24" s="415">
        <f t="shared" ref="AT24" si="14">+AS24+AR24</f>
        <v>301.23051936340005</v>
      </c>
      <c r="AU24" s="258"/>
      <c r="AV24" s="415">
        <f>AV37</f>
        <v>-12.769146893982338</v>
      </c>
      <c r="AW24" s="415">
        <f>AW37</f>
        <v>327.25470893802134</v>
      </c>
      <c r="AX24" s="415">
        <f t="shared" ref="AX24" si="15">+AW24+AV24</f>
        <v>314.485562044039</v>
      </c>
      <c r="AY24" s="258"/>
      <c r="AZ24" s="415">
        <f>AZ37</f>
        <v>-44.760304941735434</v>
      </c>
      <c r="BA24" s="415">
        <f>BA37</f>
        <v>335.41127156106342</v>
      </c>
      <c r="BB24" s="415">
        <f t="shared" ref="BB24" si="16">+BA24+AZ24</f>
        <v>290.65096661932796</v>
      </c>
      <c r="BC24" s="258"/>
      <c r="BD24" s="415">
        <f>BD37</f>
        <v>-43.603608231637295</v>
      </c>
      <c r="BE24" s="415">
        <f>BE37</f>
        <v>366.40335802467246</v>
      </c>
      <c r="BF24" s="415">
        <f t="shared" ref="BF24" si="17">+BE24+BD24</f>
        <v>322.79974979303518</v>
      </c>
      <c r="BG24" s="258"/>
      <c r="BH24" s="415">
        <f>BH37</f>
        <v>-53.983196499267024</v>
      </c>
      <c r="BI24" s="415">
        <f>BI37</f>
        <v>384.75923431861986</v>
      </c>
      <c r="BJ24" s="415">
        <f t="shared" ref="BJ24" si="18">+BI24+BH24</f>
        <v>330.77603781935284</v>
      </c>
      <c r="BK24" s="258"/>
      <c r="BL24" s="415">
        <f>BL37</f>
        <v>-57.442098301023918</v>
      </c>
      <c r="BM24" s="415">
        <f>BM37</f>
        <v>403.86126362981383</v>
      </c>
      <c r="BN24" s="415">
        <f t="shared" ref="BN24" si="19">+BM24+BL24</f>
        <v>346.41916532878992</v>
      </c>
      <c r="BO24" s="258"/>
      <c r="BP24" s="415">
        <f>BP37</f>
        <v>-34.639281362172056</v>
      </c>
      <c r="BQ24" s="415">
        <f>BQ37</f>
        <v>410.70242196458474</v>
      </c>
      <c r="BR24" s="415">
        <f t="shared" ref="BR24" si="20">+BQ24+BP24</f>
        <v>376.06314060241266</v>
      </c>
      <c r="BS24" s="258"/>
      <c r="BT24" s="415">
        <f>BT37</f>
        <v>-57.991154445256001</v>
      </c>
      <c r="BU24" s="415">
        <f>BU37</f>
        <v>446.63568956598215</v>
      </c>
      <c r="BV24" s="415">
        <f t="shared" ref="BV24" si="21">+BU24+BT24</f>
        <v>388.64453512072612</v>
      </c>
      <c r="BW24" s="258"/>
      <c r="BX24" s="415">
        <f>BX37</f>
        <v>-69.745117785914076</v>
      </c>
      <c r="BY24" s="415">
        <f>BY37</f>
        <v>468.28616131419147</v>
      </c>
      <c r="BZ24" s="415">
        <f t="shared" ref="BZ24" si="22">+BY24+BX24</f>
        <v>398.54104352827738</v>
      </c>
    </row>
    <row r="25" spans="1:78" s="161" customFormat="1">
      <c r="A25" s="148"/>
      <c r="B25" s="149"/>
      <c r="D25" s="312"/>
      <c r="E25" s="312"/>
      <c r="F25" s="312"/>
      <c r="H25" s="312"/>
      <c r="I25" s="312"/>
      <c r="J25" s="312"/>
      <c r="L25" s="312"/>
      <c r="M25" s="312"/>
      <c r="N25" s="312"/>
      <c r="P25" s="312"/>
      <c r="Q25" s="312"/>
      <c r="R25" s="312"/>
      <c r="T25" s="312"/>
      <c r="U25" s="312"/>
      <c r="V25" s="312"/>
      <c r="W25" s="218"/>
      <c r="X25" s="312"/>
      <c r="Y25" s="312"/>
      <c r="Z25" s="312"/>
      <c r="AA25" s="218"/>
      <c r="AB25" s="312"/>
      <c r="AC25" s="312"/>
      <c r="AD25" s="312"/>
      <c r="AE25" s="218"/>
      <c r="AF25" s="447"/>
      <c r="AG25" s="312"/>
      <c r="AH25" s="312"/>
      <c r="AI25" s="218"/>
      <c r="AJ25" s="447"/>
      <c r="AK25" s="312"/>
      <c r="AL25" s="312"/>
      <c r="AM25" s="258"/>
      <c r="AN25" s="447"/>
      <c r="AO25" s="312"/>
      <c r="AP25" s="312"/>
      <c r="AQ25" s="258"/>
      <c r="AR25" s="415"/>
      <c r="AS25" s="415"/>
      <c r="AT25" s="415"/>
      <c r="AU25" s="258"/>
      <c r="AV25" s="415"/>
      <c r="AW25" s="415"/>
      <c r="AX25" s="415"/>
      <c r="AY25" s="258"/>
      <c r="AZ25" s="415"/>
      <c r="BA25" s="415"/>
      <c r="BB25" s="415"/>
      <c r="BC25" s="258"/>
      <c r="BD25" s="415"/>
      <c r="BE25" s="415"/>
      <c r="BF25" s="415"/>
      <c r="BG25" s="258"/>
      <c r="BH25" s="415"/>
      <c r="BI25" s="415"/>
      <c r="BJ25" s="415"/>
      <c r="BK25" s="258"/>
      <c r="BL25" s="415"/>
      <c r="BM25" s="415"/>
      <c r="BN25" s="415"/>
      <c r="BO25" s="258"/>
      <c r="BP25" s="415"/>
      <c r="BQ25" s="415"/>
      <c r="BR25" s="415"/>
      <c r="BS25" s="258"/>
      <c r="BT25" s="415"/>
      <c r="BU25" s="415"/>
      <c r="BV25" s="415"/>
      <c r="BW25" s="258"/>
      <c r="BX25" s="415"/>
      <c r="BY25" s="415"/>
      <c r="BZ25" s="415"/>
    </row>
    <row r="26" spans="1:78" s="161" customFormat="1">
      <c r="A26" s="148"/>
      <c r="B26" s="149" t="s">
        <v>491</v>
      </c>
      <c r="D26" s="312"/>
      <c r="E26" s="312"/>
      <c r="F26" s="312"/>
      <c r="H26" s="312"/>
      <c r="I26" s="312"/>
      <c r="J26" s="312"/>
      <c r="L26" s="312"/>
      <c r="M26" s="312"/>
      <c r="N26" s="312"/>
      <c r="P26" s="312"/>
      <c r="Q26" s="312"/>
      <c r="R26" s="312"/>
      <c r="T26" s="312"/>
      <c r="U26" s="312"/>
      <c r="V26" s="312"/>
      <c r="W26" s="218"/>
      <c r="X26" s="312"/>
      <c r="Y26" s="312"/>
      <c r="Z26" s="312"/>
      <c r="AA26" s="218"/>
      <c r="AB26" s="415">
        <f>+AB24-AB32</f>
        <v>35.505000000000038</v>
      </c>
      <c r="AC26" s="415">
        <f>+AC24-AC32</f>
        <v>-67.869</v>
      </c>
      <c r="AD26" s="415">
        <f>+AC26+AB26</f>
        <v>-32.363999999999962</v>
      </c>
      <c r="AE26" s="218"/>
      <c r="AF26" s="415">
        <f>+AF24-AF32</f>
        <v>-436.92599999999999</v>
      </c>
      <c r="AG26" s="415">
        <f>+AG24-AG32</f>
        <v>35.925999999999959</v>
      </c>
      <c r="AH26" s="415">
        <f>+AG26+AF26</f>
        <v>-401</v>
      </c>
      <c r="AI26" s="218"/>
      <c r="AJ26" s="415">
        <f>+AJ24-AJ32</f>
        <v>34.697000000000052</v>
      </c>
      <c r="AK26" s="415">
        <f>+AK24-AK32</f>
        <v>74.72199999999998</v>
      </c>
      <c r="AL26" s="648">
        <f>+AK26+AJ26</f>
        <v>109.41900000000004</v>
      </c>
      <c r="AM26" s="258"/>
      <c r="AN26" s="415">
        <f>+AN24-AN32</f>
        <v>68.196000000000055</v>
      </c>
      <c r="AO26" s="415">
        <f>+AO24-AO32</f>
        <v>163.91399999999976</v>
      </c>
      <c r="AP26" s="648">
        <f>+AO26+AN26</f>
        <v>232.10999999999981</v>
      </c>
      <c r="AQ26" s="258"/>
      <c r="AR26" s="415">
        <f t="shared" ref="AR26:AS26" si="23">+AR24-AR32</f>
        <v>32.568066106940122</v>
      </c>
      <c r="AS26" s="415">
        <f t="shared" si="23"/>
        <v>202.91004447611431</v>
      </c>
      <c r="AT26" s="415">
        <f t="shared" ref="AT26" si="24">+AS26+AR26</f>
        <v>235.47811058305444</v>
      </c>
      <c r="AU26" s="258"/>
      <c r="AV26" s="415">
        <f t="shared" ref="AV26:AW26" si="25">+AV24-AV32</f>
        <v>40.088272070086873</v>
      </c>
      <c r="AW26" s="415">
        <f t="shared" si="25"/>
        <v>221.10504390591535</v>
      </c>
      <c r="AX26" s="415">
        <f t="shared" ref="AX26" si="26">+AW26+AV26</f>
        <v>261.19331597600222</v>
      </c>
      <c r="AY26" s="258"/>
      <c r="AZ26" s="415">
        <f t="shared" ref="AZ26:BA26" si="27">+AZ24-AZ32</f>
        <v>12.048244958780366</v>
      </c>
      <c r="BA26" s="415">
        <f t="shared" si="27"/>
        <v>228.61708948451661</v>
      </c>
      <c r="BB26" s="415">
        <f t="shared" ref="BB26" si="28">+BA26+AZ26</f>
        <v>240.66533444329698</v>
      </c>
      <c r="BC26" s="258"/>
      <c r="BD26" s="415">
        <f t="shared" ref="BD26:BE26" si="29">+BD24-BD32</f>
        <v>23.935550432024897</v>
      </c>
      <c r="BE26" s="415">
        <f t="shared" si="29"/>
        <v>246.40726212200082</v>
      </c>
      <c r="BF26" s="415">
        <f t="shared" ref="BF26" si="30">+BE26+BD26</f>
        <v>270.34281255402573</v>
      </c>
      <c r="BG26" s="258"/>
      <c r="BH26" s="415">
        <f t="shared" ref="BH26:BI26" si="31">+BH24-BH32</f>
        <v>21.700755389906135</v>
      </c>
      <c r="BI26" s="415">
        <f t="shared" si="31"/>
        <v>257.72189810889006</v>
      </c>
      <c r="BJ26" s="415">
        <f t="shared" ref="BJ26" si="32">+BI26+BH26</f>
        <v>279.42265349879619</v>
      </c>
      <c r="BK26" s="258"/>
      <c r="BL26" s="415">
        <f t="shared" ref="BL26:BM26" si="33">+BL24-BL32</f>
        <v>23.203196055897195</v>
      </c>
      <c r="BM26" s="415">
        <f t="shared" si="33"/>
        <v>269.42794421679844</v>
      </c>
      <c r="BN26" s="415">
        <f t="shared" ref="BN26" si="34">+BM26+BL26</f>
        <v>292.63114027269563</v>
      </c>
      <c r="BO26" s="258"/>
      <c r="BP26" s="415">
        <f t="shared" ref="BP26:BQ26" si="35">+BP24-BP32</f>
        <v>47.645886987095622</v>
      </c>
      <c r="BQ26" s="415">
        <f t="shared" si="35"/>
        <v>276.07969181445031</v>
      </c>
      <c r="BR26" s="415">
        <f t="shared" ref="BR26" si="36">+BQ26+BP26</f>
        <v>323.72557880154591</v>
      </c>
      <c r="BS26" s="258"/>
      <c r="BT26" s="415">
        <f t="shared" ref="BT26:BU26" si="37">+BT24-BT32</f>
        <v>29.337807612416242</v>
      </c>
      <c r="BU26" s="415">
        <f t="shared" si="37"/>
        <v>296.27403727470619</v>
      </c>
      <c r="BV26" s="415">
        <f t="shared" ref="BV26" si="38">+BU26+BT26</f>
        <v>325.6118448871224</v>
      </c>
      <c r="BW26" s="258"/>
      <c r="BX26" s="415">
        <f t="shared" ref="BX26:BY26" si="39">+BX24-BX32</f>
        <v>27.344141094876491</v>
      </c>
      <c r="BY26" s="415">
        <f t="shared" si="39"/>
        <v>309.35379855923446</v>
      </c>
      <c r="BZ26" s="415">
        <f t="shared" ref="BZ26" si="40">+BY26+BX26</f>
        <v>336.69793965411094</v>
      </c>
    </row>
    <row r="27" spans="1:78" s="161" customFormat="1">
      <c r="A27" s="148"/>
      <c r="B27" s="148"/>
      <c r="D27" s="230"/>
      <c r="E27" s="230"/>
      <c r="F27" s="230"/>
      <c r="H27" s="230"/>
      <c r="I27" s="230"/>
      <c r="J27" s="230"/>
      <c r="L27" s="230"/>
      <c r="M27" s="230"/>
      <c r="N27" s="230"/>
      <c r="P27" s="230"/>
      <c r="Q27" s="230"/>
      <c r="R27" s="230"/>
      <c r="T27" s="230"/>
      <c r="U27" s="230"/>
      <c r="V27" s="230"/>
      <c r="W27" s="218"/>
      <c r="X27" s="230"/>
      <c r="Y27" s="230"/>
      <c r="Z27" s="230"/>
      <c r="AA27" s="218"/>
      <c r="AB27" s="230"/>
      <c r="AC27" s="230"/>
      <c r="AD27" s="230"/>
      <c r="AE27" s="218"/>
      <c r="AF27" s="181"/>
      <c r="AG27" s="230"/>
      <c r="AH27" s="230"/>
      <c r="AI27" s="218"/>
      <c r="AJ27" s="181"/>
      <c r="AK27" s="230"/>
      <c r="AL27" s="230"/>
      <c r="AN27" s="181"/>
      <c r="AO27" s="230"/>
      <c r="AP27" s="230"/>
      <c r="AR27" s="230"/>
      <c r="AS27" s="230"/>
      <c r="AV27" s="230"/>
      <c r="AW27" s="230"/>
      <c r="AZ27" s="230"/>
      <c r="BA27" s="230"/>
      <c r="BD27" s="230"/>
      <c r="BE27" s="230"/>
      <c r="BH27" s="230"/>
      <c r="BI27" s="230"/>
      <c r="BL27" s="230"/>
      <c r="BM27" s="230"/>
      <c r="BP27" s="230"/>
      <c r="BQ27" s="230"/>
      <c r="BT27" s="230"/>
      <c r="BU27" s="230"/>
      <c r="BX27" s="230"/>
      <c r="BY27" s="230"/>
    </row>
    <row r="28" spans="1:78" ht="14.4">
      <c r="B28" s="510" t="s">
        <v>441</v>
      </c>
    </row>
    <row r="29" spans="1:78">
      <c r="B29" s="448" t="s">
        <v>175</v>
      </c>
      <c r="P29" s="258">
        <f>'P&amp;L'!P89</f>
        <v>4.4590000000000227</v>
      </c>
      <c r="Q29" s="258">
        <f>'P&amp;L'!Q89</f>
        <v>41.296999999999997</v>
      </c>
      <c r="T29" s="258">
        <f>'P&amp;L'!T89</f>
        <v>7.7430000000000323</v>
      </c>
      <c r="U29" s="258">
        <f>'P&amp;L'!U89</f>
        <v>37.064000000000014</v>
      </c>
      <c r="X29" s="258">
        <f>'P&amp;L'!X89</f>
        <v>23.300000000000004</v>
      </c>
      <c r="Y29" s="258">
        <f>'P&amp;L'!Y89</f>
        <v>47.39400000000002</v>
      </c>
      <c r="AB29" s="258">
        <f>'P&amp;L'!AB89</f>
        <v>29.599000000000018</v>
      </c>
      <c r="AC29" s="258">
        <f>'P&amp;L'!AC89</f>
        <v>51.257999999999996</v>
      </c>
      <c r="AD29" s="258">
        <f>'P&amp;L'!AD89</f>
        <v>80.856999999999914</v>
      </c>
      <c r="AF29" s="258">
        <f>'P&amp;L'!AF89</f>
        <v>2.2659999999999627</v>
      </c>
      <c r="AG29" s="258">
        <f>'P&amp;L'!AG89</f>
        <v>62.967000000000027</v>
      </c>
      <c r="AH29" s="258">
        <f>'P&amp;L'!AH89</f>
        <v>65.133000000000067</v>
      </c>
      <c r="AJ29" s="258">
        <f>'P&amp;L'!AJ89</f>
        <v>53.232000000000056</v>
      </c>
      <c r="AK29" s="258">
        <f>'P&amp;L'!AK89</f>
        <v>83.822000000000031</v>
      </c>
      <c r="AL29" s="258">
        <f>'P&amp;L'!AL89</f>
        <v>137.07600000000008</v>
      </c>
      <c r="AN29" s="258">
        <f>'P&amp;L'!AN89</f>
        <v>26.544999999999959</v>
      </c>
      <c r="AO29" s="258">
        <f>'P&amp;L'!AO89</f>
        <v>153.54499999999985</v>
      </c>
      <c r="AP29" s="258">
        <f>'P&amp;L'!AP89</f>
        <v>180.0899999999998</v>
      </c>
      <c r="AR29" s="258">
        <f>'P&amp;L'!AR89</f>
        <v>75.751704748675081</v>
      </c>
      <c r="AS29" s="258">
        <f>'P&amp;L'!AS89</f>
        <v>115.86775864405007</v>
      </c>
      <c r="AT29" s="258">
        <f>'P&amp;L'!AT89</f>
        <v>191.6194633927249</v>
      </c>
      <c r="AV29" s="258">
        <f>'P&amp;L'!AV89</f>
        <v>82.86952140910887</v>
      </c>
      <c r="AW29" s="258">
        <f>'P&amp;L'!AW89</f>
        <v>127.74677016070908</v>
      </c>
      <c r="AX29" s="258">
        <f>'P&amp;L'!AX89</f>
        <v>210.61629156981792</v>
      </c>
      <c r="AZ29" s="258">
        <f>'P&amp;L'!AZ89</f>
        <v>91.391561675092831</v>
      </c>
      <c r="BA29" s="258">
        <f>'P&amp;L'!BA89</f>
        <v>139.11984717231823</v>
      </c>
      <c r="BB29" s="258">
        <f>'P&amp;L'!BB89</f>
        <v>230.51140884741119</v>
      </c>
      <c r="BD29" s="258">
        <f>'P&amp;L'!BD89</f>
        <v>96.192927062577667</v>
      </c>
      <c r="BE29" s="258">
        <f>'P&amp;L'!BE89</f>
        <v>146.15129131732908</v>
      </c>
      <c r="BF29" s="258">
        <f>'P&amp;L'!BF89</f>
        <v>242.34421837990647</v>
      </c>
      <c r="BH29" s="258">
        <f>'P&amp;L'!BH89</f>
        <v>101.21830809386506</v>
      </c>
      <c r="BI29" s="258">
        <f>'P&amp;L'!BI89</f>
        <v>153.51445501175158</v>
      </c>
      <c r="BJ29" s="258">
        <f>'P&amp;L'!BJ89</f>
        <v>254.73276310561658</v>
      </c>
      <c r="BL29" s="258">
        <f>'P&amp;L'!BL89</f>
        <v>106.47870074991104</v>
      </c>
      <c r="BM29" s="258">
        <f>'P&amp;L'!BM89</f>
        <v>161.22564237343471</v>
      </c>
      <c r="BN29" s="258">
        <f>'P&amp;L'!BN89</f>
        <v>267.70434312334567</v>
      </c>
      <c r="BP29" s="258">
        <f>'P&amp;L'!BP89</f>
        <v>111.98565619840416</v>
      </c>
      <c r="BQ29" s="258">
        <f>'P&amp;L'!BQ89</f>
        <v>169.3019773602357</v>
      </c>
      <c r="BR29" s="258">
        <f>'P&amp;L'!BR89</f>
        <v>281.28763355863987</v>
      </c>
      <c r="BT29" s="258">
        <f>'P&amp;L'!BT89</f>
        <v>117.75130929751597</v>
      </c>
      <c r="BU29" s="258">
        <f>'P&amp;L'!BU89</f>
        <v>177.76144558071212</v>
      </c>
      <c r="BV29" s="258">
        <f>'P&amp;L'!BV89</f>
        <v>295.51275487822812</v>
      </c>
      <c r="BX29" s="258">
        <f>'P&amp;L'!BX89</f>
        <v>123.78840858012643</v>
      </c>
      <c r="BY29" s="258">
        <f>'P&amp;L'!BY89</f>
        <v>186.62293825928731</v>
      </c>
      <c r="BZ29" s="258">
        <f>'P&amp;L'!BZ89</f>
        <v>310.41134683941328</v>
      </c>
    </row>
    <row r="30" spans="1:78">
      <c r="B30" s="448" t="s">
        <v>442</v>
      </c>
      <c r="P30" s="258">
        <f>-(BS!P15-BS!M15)</f>
        <v>40.301000000000016</v>
      </c>
      <c r="Q30" s="258">
        <f>-(BS!Q15-BS!P15)</f>
        <v>59.810999999999993</v>
      </c>
      <c r="T30" s="258">
        <f>-(BS!T15-BS!Q15)</f>
        <v>11.096999999999994</v>
      </c>
      <c r="U30" s="258">
        <f>-(BS!U15-BS!T15)</f>
        <v>-0.18200000000000216</v>
      </c>
      <c r="X30" s="258">
        <f>-(BS!X15-BS!U15)</f>
        <v>11.007000000000005</v>
      </c>
      <c r="Y30" s="258">
        <f>-(BS!Y15-BS!X15)</f>
        <v>-6.4110000000000014</v>
      </c>
      <c r="AB30" s="258">
        <f>-(BS!AB15-BS!Y15)</f>
        <v>1.4680000000000035</v>
      </c>
      <c r="AC30" s="258">
        <f>-(BS!AC15-BS!AB15)</f>
        <v>-55.066000000000003</v>
      </c>
      <c r="AD30" s="258">
        <f t="shared" ref="AD30:AD36" si="41">SUM(AB30:AC30)</f>
        <v>-53.597999999999999</v>
      </c>
      <c r="AF30" s="258">
        <f>-(BS!AF15-BS!AC15)</f>
        <v>-151.44199999999998</v>
      </c>
      <c r="AG30" s="258">
        <f>-(BS!AG15-BS!AF15)</f>
        <v>-43.958000000000027</v>
      </c>
      <c r="AH30" s="258">
        <f t="shared" ref="AH30:AH36" si="42">SUM(AF30:AG30)</f>
        <v>-195.4</v>
      </c>
      <c r="AJ30" s="258">
        <f>-(BS!AJ15-BS!AG15)</f>
        <v>77.799000000000007</v>
      </c>
      <c r="AK30" s="258">
        <f>-(BS!AK15-BS!AJ15)</f>
        <v>-51.66</v>
      </c>
      <c r="AL30" s="258">
        <f t="shared" ref="AL30:AL36" si="43">SUM(AJ30:AK30)</f>
        <v>26.13900000000001</v>
      </c>
      <c r="AM30" s="258"/>
      <c r="AN30" s="258">
        <f>-(BS!AN15-BS!AK15)</f>
        <v>36.631</v>
      </c>
      <c r="AO30" s="258">
        <f>-(BS!AO15-BS!AN15)</f>
        <v>-50.74199999999999</v>
      </c>
      <c r="AP30" s="258">
        <f t="shared" ref="AP30:AP36" si="44">SUM(AN30:AO30)</f>
        <v>-14.11099999999999</v>
      </c>
      <c r="AQ30" s="258"/>
      <c r="AR30" s="258">
        <f>-(BS!AR15-BS!AO15)</f>
        <v>13.242671958402241</v>
      </c>
      <c r="AS30" s="258">
        <f>-(BS!AS15-BS!AR15)</f>
        <v>-27.682315588204744</v>
      </c>
      <c r="AT30" s="258">
        <f t="shared" ref="AT30:AT36" si="45">SUM(AR30:AS30)</f>
        <v>-14.439643629802504</v>
      </c>
      <c r="AU30" s="258"/>
      <c r="AV30" s="258">
        <f>-(BS!AV15-BS!AS15)</f>
        <v>14.768984710548807</v>
      </c>
      <c r="AW30" s="258">
        <f>-(BS!AW15-BS!AV15)</f>
        <v>-29.659465229558975</v>
      </c>
      <c r="AX30" s="258">
        <f t="shared" ref="AX30:AX36" si="46">SUM(AV30:AW30)</f>
        <v>-14.890480519010168</v>
      </c>
      <c r="AY30" s="258"/>
      <c r="AZ30" s="258">
        <f>-(BS!AZ15-BS!AW15)</f>
        <v>-0.68008318879515173</v>
      </c>
      <c r="BA30" s="258">
        <f>-(BS!BA15-BS!AZ15)</f>
        <v>-31.410053551925557</v>
      </c>
      <c r="BB30" s="258">
        <f t="shared" ref="BB30:BB36" si="47">SUM(AZ30:BA30)</f>
        <v>-32.090136740720709</v>
      </c>
      <c r="BC30" s="258"/>
      <c r="BD30" s="258">
        <f>-(BS!BD15-BS!BA15)</f>
        <v>19.864458430488867</v>
      </c>
      <c r="BE30" s="258">
        <f>-(BS!BE15-BS!BD15)</f>
        <v>-35.292969383138711</v>
      </c>
      <c r="BF30" s="258">
        <f t="shared" ref="BF30:BF36" si="48">SUM(BD30:BE30)</f>
        <v>-15.428510952649845</v>
      </c>
      <c r="BG30" s="258"/>
      <c r="BH30" s="258">
        <f>-(BS!BH15-BS!BE15)</f>
        <v>22.259985849756845</v>
      </c>
      <c r="BI30" s="258">
        <f>-(BS!BI15-BS!BH15)</f>
        <v>-37.363922414626416</v>
      </c>
      <c r="BJ30" s="258">
        <f t="shared" ref="BJ30:BJ36" si="49">SUM(BH30:BI30)</f>
        <v>-15.103936564869571</v>
      </c>
      <c r="BK30" s="258"/>
      <c r="BL30" s="258">
        <f>-(BS!BL15-BS!BI15)</f>
        <v>23.71920422262383</v>
      </c>
      <c r="BM30" s="258">
        <f>-(BS!BM15-BS!BL15)</f>
        <v>-39.539211592063339</v>
      </c>
      <c r="BN30" s="258">
        <f t="shared" ref="BN30:BN36" si="50">SUM(BL30:BM30)</f>
        <v>-15.820007369439509</v>
      </c>
      <c r="BO30" s="258"/>
      <c r="BP30" s="258">
        <f>-(BS!BP15-BS!BM15)</f>
        <v>43.432629886414134</v>
      </c>
      <c r="BQ30" s="258">
        <f>-(BS!BQ15-BS!BP15)</f>
        <v>-37.615174600772832</v>
      </c>
      <c r="BR30" s="258">
        <f t="shared" ref="BR30:BR36" si="51">SUM(BP30:BQ30)</f>
        <v>5.8174552856413015</v>
      </c>
      <c r="BS30" s="258"/>
      <c r="BT30" s="258">
        <f>-(BS!BT15-BS!BQ15)</f>
        <v>24.400739398467238</v>
      </c>
      <c r="BU30" s="258">
        <f>-(BS!BU15-BS!BT15)</f>
        <v>-42.012814610797705</v>
      </c>
      <c r="BV30" s="258">
        <f t="shared" ref="BV30:BV36" si="52">SUM(BT30:BU30)</f>
        <v>-17.612075212330467</v>
      </c>
      <c r="BW30" s="258"/>
      <c r="BX30" s="258">
        <f>-(BS!BX15-BS!BU15)</f>
        <v>27.127881157867932</v>
      </c>
      <c r="BY30" s="258">
        <f>-(BS!BY15-BS!BX15)</f>
        <v>-44.407571946238022</v>
      </c>
      <c r="BZ30" s="258">
        <f t="shared" ref="BZ30:BZ36" si="53">SUM(BX30:BY30)</f>
        <v>-17.27969078837009</v>
      </c>
    </row>
    <row r="31" spans="1:78">
      <c r="B31" s="448" t="s">
        <v>443</v>
      </c>
      <c r="P31" s="258">
        <f>-((BS!P16-BS!M16)+(BS!P17-BS!M17))</f>
        <v>-9.5000000000000001E-2</v>
      </c>
      <c r="Q31" s="258">
        <f>-((BS!Q16-BS!P16)+(BS!Q17-BS!P17))</f>
        <v>9.6000000000000002E-2</v>
      </c>
      <c r="T31" s="258">
        <f>-((BS!T16-BS!Q16)+(BS!T17-BS!Q17))</f>
        <v>-0.47699999999999998</v>
      </c>
      <c r="U31" s="258">
        <f>-((BS!U16-BS!T16)+(BS!U17-BS!T17))</f>
        <v>-0.39200000000000002</v>
      </c>
      <c r="X31" s="258">
        <f>-((BS!X16-BS!U16)+(BS!X17-BS!U17))</f>
        <v>-0.55700000000000005</v>
      </c>
      <c r="Y31" s="258">
        <f>-((BS!Y16-BS!X16)+(BS!Y17-BS!X17))</f>
        <v>-0.16499999999999992</v>
      </c>
      <c r="AB31" s="258">
        <f>-((BS!AB16-BS!Y16)+(BS!AB17-BS!Y17))</f>
        <v>-0.19900000000000007</v>
      </c>
      <c r="AC31" s="258">
        <f>-((BS!AC16-BS!AB16)+(BS!AC17-BS!AB17))</f>
        <v>-1.0900000000000001</v>
      </c>
      <c r="AD31" s="258">
        <f t="shared" si="41"/>
        <v>-1.2890000000000001</v>
      </c>
      <c r="AF31" s="258">
        <f>-((BS!AF16-BS!AC16)+(BS!AF17-BS!AC17))</f>
        <v>-19.475999999999999</v>
      </c>
      <c r="AG31" s="258">
        <f>-((BS!AG16-BS!AF16)+(BS!AG17-BS!AF17))</f>
        <v>-4.9800000000000004</v>
      </c>
      <c r="AH31" s="258">
        <f t="shared" si="42"/>
        <v>-24.456</v>
      </c>
      <c r="AJ31" s="258">
        <f>-((BS!AJ16-BS!AG16)+(BS!AJ17-BS!AG17))</f>
        <v>1.3099999999999985</v>
      </c>
      <c r="AK31" s="258">
        <f>-((BS!AK16-BS!AJ16)+(BS!AK17-BS!AJ17))</f>
        <v>-8.0949999999999989</v>
      </c>
      <c r="AL31" s="258">
        <f t="shared" si="43"/>
        <v>-6.7850000000000001</v>
      </c>
      <c r="AM31" s="258"/>
      <c r="AN31" s="258">
        <f>-((BS!AN16-BS!AK16)+(BS!AN17-BS!AK17))</f>
        <v>2.4469999999999983</v>
      </c>
      <c r="AO31" s="258">
        <f>-((BS!AO16-BS!AN16)+(BS!AO17-BS!AN17))</f>
        <v>8.7000000000002409E-2</v>
      </c>
      <c r="AP31" s="258">
        <f t="shared" si="44"/>
        <v>2.5340000000000007</v>
      </c>
      <c r="AQ31" s="258"/>
      <c r="AR31" s="258">
        <f>-((BS!AR16-BS!AO16)+(BS!AR17-BS!AO17))</f>
        <v>-1.263800000000002</v>
      </c>
      <c r="AS31" s="258">
        <f>-((BS!AS16-BS!AR16)+(BS!AS17-BS!AR17))</f>
        <v>-1.3143519999999977</v>
      </c>
      <c r="AT31" s="258">
        <f t="shared" si="45"/>
        <v>-2.5781519999999998</v>
      </c>
      <c r="AU31" s="258"/>
      <c r="AV31" s="258">
        <f>-((BS!AV16-BS!AS16)+(BS!AV17-BS!AS17))</f>
        <v>-1.3669260799999989</v>
      </c>
      <c r="AW31" s="258">
        <f>-((BS!AW16-BS!AV16)+(BS!AW17-BS!AV17))</f>
        <v>-1.421603123200003</v>
      </c>
      <c r="AX31" s="258">
        <f t="shared" si="46"/>
        <v>-2.7885292032000022</v>
      </c>
      <c r="AY31" s="258"/>
      <c r="AZ31" s="258">
        <f>-((BS!AZ16-BS!AW16)+(BS!AZ17-BS!AW17))</f>
        <v>-1.478467248128003</v>
      </c>
      <c r="BA31" s="258">
        <f>-((BS!BA16-BS!AZ16)+(BS!BA17-BS!AZ17))</f>
        <v>-1.5376059380531184</v>
      </c>
      <c r="BB31" s="258">
        <f t="shared" si="47"/>
        <v>-3.0160731861811216</v>
      </c>
      <c r="BC31" s="258"/>
      <c r="BD31" s="258">
        <f>-((BS!BD16-BS!BA16)+(BS!BD17-BS!BA17))</f>
        <v>-1.5991101755752488</v>
      </c>
      <c r="BE31" s="258">
        <f>-((BS!BE16-BS!BD16)+(BS!BE17-BS!BD17))</f>
        <v>-1.6630745825982569</v>
      </c>
      <c r="BF31" s="258">
        <f t="shared" si="48"/>
        <v>-3.2621847581735057</v>
      </c>
      <c r="BG31" s="258"/>
      <c r="BH31" s="258">
        <f>-((BS!BH16-BS!BE16)+(BS!BH17-BS!BE17))</f>
        <v>-1.7295975659021883</v>
      </c>
      <c r="BI31" s="258">
        <f>-((BS!BI16-BS!BH16)+(BS!BI17-BS!BH17))</f>
        <v>-1.7987814685382746</v>
      </c>
      <c r="BJ31" s="258">
        <f t="shared" si="49"/>
        <v>-3.5283790344404631</v>
      </c>
      <c r="BK31" s="258"/>
      <c r="BL31" s="258">
        <f>-((BS!BL16-BS!BI16)+(BS!BL17-BS!BI17))</f>
        <v>-1.8707327272798033</v>
      </c>
      <c r="BM31" s="258">
        <f>-((BS!BM16-BS!BL16)+(BS!BM17-BS!BL17))</f>
        <v>-1.9455620363709949</v>
      </c>
      <c r="BN31" s="258">
        <f t="shared" si="50"/>
        <v>-3.8162947636507982</v>
      </c>
      <c r="BO31" s="258"/>
      <c r="BP31" s="258">
        <f>-((BS!BP16-BS!BM16)+(BS!BP17-BS!BM17))</f>
        <v>-2.0233845178258369</v>
      </c>
      <c r="BQ31" s="258">
        <f>-((BS!BQ16-BS!BP16)+(BS!BQ17-BS!BP17))</f>
        <v>-2.1043198985388711</v>
      </c>
      <c r="BR31" s="258">
        <f t="shared" si="51"/>
        <v>-4.1277044163647076</v>
      </c>
      <c r="BS31" s="258"/>
      <c r="BT31" s="258">
        <f>-((BS!BT16-BS!BQ16)+(BS!BT17-BS!BQ17))</f>
        <v>-2.1884926944804262</v>
      </c>
      <c r="BU31" s="258">
        <f>-((BS!BU16-BS!BT16)+(BS!BU17-BS!BT17))</f>
        <v>-2.2760324022596445</v>
      </c>
      <c r="BV31" s="258">
        <f t="shared" si="52"/>
        <v>-4.4645250967400703</v>
      </c>
      <c r="BW31" s="258"/>
      <c r="BX31" s="258">
        <f>-((BS!BX16-BS!BU16)+(BS!BX17-BS!BU17))</f>
        <v>-2.367073698350032</v>
      </c>
      <c r="BY31" s="258">
        <f>-((BS!BY16-BS!BX16)+(BS!BY17-BS!BX17))</f>
        <v>-2.4617566462840266</v>
      </c>
      <c r="BZ31" s="258">
        <f t="shared" si="53"/>
        <v>-4.8288303446340581</v>
      </c>
    </row>
    <row r="32" spans="1:78">
      <c r="B32" s="148" t="s">
        <v>472</v>
      </c>
      <c r="P32" s="258">
        <f>+(BS!P14-BS!M14)</f>
        <v>14.119</v>
      </c>
      <c r="Q32" s="258">
        <f>+(BS!Q14-BS!P14)</f>
        <v>35.893000000000001</v>
      </c>
      <c r="T32" s="258">
        <f>+(BS!T14-BS!Q14)</f>
        <v>-15.175999999999988</v>
      </c>
      <c r="U32" s="258">
        <f>+(BS!U14-BS!T14)</f>
        <v>23.97199999999998</v>
      </c>
      <c r="X32" s="258">
        <f>+(BS!X14-BS!U14)</f>
        <v>1.0700000000000216</v>
      </c>
      <c r="Y32" s="258">
        <f>+(BS!Y14-BS!X14)</f>
        <v>45.384999999999991</v>
      </c>
      <c r="AB32" s="258">
        <f>+(BS!AB14-BS!Y14)</f>
        <v>-8.4470000000000027</v>
      </c>
      <c r="AC32" s="258">
        <f>+(BS!AC14-BS!AB14)</f>
        <v>136.34599999999998</v>
      </c>
      <c r="AD32" s="258">
        <f t="shared" si="41"/>
        <v>127.89899999999997</v>
      </c>
      <c r="AF32" s="258">
        <f>+(BS!AF14-BS!AC14)</f>
        <v>501.303</v>
      </c>
      <c r="AG32" s="258">
        <f>+(BS!AG14-BS!AF14)</f>
        <v>101.93500000000006</v>
      </c>
      <c r="AH32" s="258">
        <f t="shared" si="42"/>
        <v>603.23800000000006</v>
      </c>
      <c r="AJ32" s="258">
        <f>+(BS!AJ14-BS!AG14)</f>
        <v>-52.018000000000029</v>
      </c>
      <c r="AK32" s="258">
        <f>+(BS!AK14-BS!AJ14)</f>
        <v>24.599000000000046</v>
      </c>
      <c r="AL32" s="258">
        <f t="shared" si="43"/>
        <v>-27.418999999999983</v>
      </c>
      <c r="AM32" s="258"/>
      <c r="AN32" s="258">
        <f>+(BS!AN14-BS!AK14)</f>
        <v>120.30099999999993</v>
      </c>
      <c r="AO32" s="258">
        <f>+(BS!AO14-BS!AN14)</f>
        <v>34.121000000000095</v>
      </c>
      <c r="AP32" s="258">
        <f t="shared" si="44"/>
        <v>154.42200000000003</v>
      </c>
      <c r="AQ32" s="258"/>
      <c r="AR32" s="258">
        <f>+(BS!AR14-BS!AO14)</f>
        <v>-33.321141745860359</v>
      </c>
      <c r="AS32" s="258">
        <f>+(BS!AS14-BS!AR14)</f>
        <v>99.073550526205963</v>
      </c>
      <c r="AT32" s="258">
        <f t="shared" si="45"/>
        <v>65.752408780345604</v>
      </c>
      <c r="AU32" s="258"/>
      <c r="AV32" s="258">
        <f>+(BS!AV14-BS!AS14)</f>
        <v>-52.857418964069211</v>
      </c>
      <c r="AW32" s="258">
        <f>+(BS!AW14-BS!AV14)</f>
        <v>106.14966503210599</v>
      </c>
      <c r="AX32" s="258">
        <f t="shared" si="46"/>
        <v>53.292246068036775</v>
      </c>
      <c r="AY32" s="258"/>
      <c r="AZ32" s="258">
        <f>+(BS!AZ14-BS!AW14)</f>
        <v>-56.8085499005158</v>
      </c>
      <c r="BA32" s="258">
        <f>+(BS!BA14-BS!AZ14)</f>
        <v>106.7941820765468</v>
      </c>
      <c r="BB32" s="258">
        <f t="shared" si="47"/>
        <v>49.985632176031004</v>
      </c>
      <c r="BC32" s="258"/>
      <c r="BD32" s="258">
        <f>+(BS!BD14-BS!BA14)</f>
        <v>-67.539158663662192</v>
      </c>
      <c r="BE32" s="258">
        <f>+(BS!BE14-BS!BD14)</f>
        <v>119.99609590267164</v>
      </c>
      <c r="BF32" s="258">
        <f t="shared" si="48"/>
        <v>52.456937239009449</v>
      </c>
      <c r="BG32" s="258"/>
      <c r="BH32" s="258">
        <f>+(BS!BH14-BS!BE14)</f>
        <v>-75.683951889173159</v>
      </c>
      <c r="BI32" s="258">
        <f>+(BS!BI14-BS!BH14)</f>
        <v>127.0373362097298</v>
      </c>
      <c r="BJ32" s="258">
        <f t="shared" si="49"/>
        <v>51.353384320556643</v>
      </c>
      <c r="BK32" s="258"/>
      <c r="BL32" s="258">
        <f>+(BS!BL14-BS!BI14)</f>
        <v>-80.645294356921113</v>
      </c>
      <c r="BM32" s="258">
        <f>+(BS!BM14-BS!BL14)</f>
        <v>134.4333194130154</v>
      </c>
      <c r="BN32" s="258">
        <f t="shared" si="50"/>
        <v>53.788025056094284</v>
      </c>
      <c r="BO32" s="258"/>
      <c r="BP32" s="258">
        <f>+(BS!BP14-BS!BM14)</f>
        <v>-82.285168349267678</v>
      </c>
      <c r="BQ32" s="258">
        <f>+(BS!BQ14-BS!BP14)</f>
        <v>134.62273015013443</v>
      </c>
      <c r="BR32" s="258">
        <f t="shared" si="51"/>
        <v>52.337561800866752</v>
      </c>
      <c r="BS32" s="258"/>
      <c r="BT32" s="258">
        <f>+(BS!BT14-BS!BQ14)</f>
        <v>-87.328962057672243</v>
      </c>
      <c r="BU32" s="258">
        <f>+(BS!BU14-BS!BT14)</f>
        <v>150.36165229127596</v>
      </c>
      <c r="BV32" s="258">
        <f t="shared" si="52"/>
        <v>63.032690233603716</v>
      </c>
      <c r="BW32" s="258"/>
      <c r="BX32" s="258">
        <f>+(BS!BX14-BS!BU14)</f>
        <v>-97.089258880790567</v>
      </c>
      <c r="BY32" s="258">
        <f>+(BS!BY14-BS!BX14)</f>
        <v>158.93236275495701</v>
      </c>
      <c r="BZ32" s="258">
        <f t="shared" si="53"/>
        <v>61.843103874166445</v>
      </c>
    </row>
    <row r="33" spans="1:78">
      <c r="B33" s="448" t="s">
        <v>444</v>
      </c>
      <c r="P33" s="258">
        <f>+(BS!P33-BS!M33)</f>
        <v>-23.899000000000001</v>
      </c>
      <c r="Q33" s="258">
        <f>BS!Q33-BS!P33</f>
        <v>-4.210000000000008</v>
      </c>
      <c r="T33" s="258">
        <f>+(BS!T33-BS!Q33)</f>
        <v>-20.365999999999985</v>
      </c>
      <c r="U33" s="258">
        <f>BS!U33-BS!T33</f>
        <v>19.024000000000001</v>
      </c>
      <c r="X33" s="258">
        <f>+(BS!X33-BS!U33)</f>
        <v>-19.403999999999996</v>
      </c>
      <c r="Y33" s="258">
        <f>BS!Y33-BS!X33</f>
        <v>47.121999999999986</v>
      </c>
      <c r="AB33" s="258">
        <f>+(BS!AB33-BS!Y33)</f>
        <v>-4.1999999999999886</v>
      </c>
      <c r="AC33" s="258">
        <f>BS!AC33-BS!AB33</f>
        <v>186.92099999999999</v>
      </c>
      <c r="AD33" s="258">
        <f t="shared" si="41"/>
        <v>182.721</v>
      </c>
      <c r="AF33" s="258">
        <f>+(BS!AF33-BS!AC33)</f>
        <v>532.89599999999996</v>
      </c>
      <c r="AG33" s="258">
        <f>BS!AG33-BS!AF33</f>
        <v>127.73399999999992</v>
      </c>
      <c r="AH33" s="258">
        <f t="shared" si="42"/>
        <v>660.62999999999988</v>
      </c>
      <c r="AJ33" s="258">
        <f>+(BS!AJ33-BS!AG33)</f>
        <v>-99.046999999999912</v>
      </c>
      <c r="AK33" s="258">
        <f>BS!AK33-BS!AJ33</f>
        <v>218.95300000000009</v>
      </c>
      <c r="AL33" s="258">
        <f t="shared" si="43"/>
        <v>119.90600000000018</v>
      </c>
      <c r="AM33" s="258"/>
      <c r="AN33" s="258">
        <f>+(BS!AN33-BS!AK33)</f>
        <v>133.46699999999987</v>
      </c>
      <c r="AO33" s="258">
        <f>BS!AO33-BS!AN33</f>
        <v>-43.772999999999911</v>
      </c>
      <c r="AP33" s="258">
        <f t="shared" si="44"/>
        <v>89.69399999999996</v>
      </c>
      <c r="AQ33" s="258"/>
      <c r="AR33" s="258">
        <f>+(BS!AR33-BS!AO33)</f>
        <v>-46.522846407144925</v>
      </c>
      <c r="AS33" s="258">
        <f>BS!AS33-BS!AR33</f>
        <v>99.4087558995775</v>
      </c>
      <c r="AT33" s="258">
        <f t="shared" si="45"/>
        <v>52.885909492432575</v>
      </c>
      <c r="AU33" s="258"/>
      <c r="AV33" s="258">
        <f>+(BS!AV33-BS!AS33)</f>
        <v>-47.310815632941512</v>
      </c>
      <c r="AW33" s="258">
        <f>BS!AW33-BS!AV33</f>
        <v>106.62136861399063</v>
      </c>
      <c r="AX33" s="258">
        <f t="shared" si="46"/>
        <v>59.310552981049113</v>
      </c>
      <c r="AY33" s="258"/>
      <c r="AZ33" s="258">
        <f>+(BS!AZ33-BS!AW33)</f>
        <v>-67.649048616179698</v>
      </c>
      <c r="BA33" s="258">
        <f>BS!BA33-BS!AZ33</f>
        <v>104.5187415650521</v>
      </c>
      <c r="BB33" s="258">
        <f t="shared" si="47"/>
        <v>36.869692948872398</v>
      </c>
      <c r="BC33" s="258"/>
      <c r="BD33" s="258">
        <f>+(BS!BD33-BS!BA33)</f>
        <v>-79.185798501053341</v>
      </c>
      <c r="BE33" s="258">
        <f>BS!BE33-BS!BD33</f>
        <v>117.0698197448512</v>
      </c>
      <c r="BF33" s="258">
        <f t="shared" si="48"/>
        <v>37.884021243797861</v>
      </c>
      <c r="BG33" s="258"/>
      <c r="BH33" s="258">
        <f>+(BS!BH33-BS!BE33)</f>
        <v>-87.343853344053059</v>
      </c>
      <c r="BI33" s="258">
        <f>BS!BI33-BS!BH33</f>
        <v>122.04602987286717</v>
      </c>
      <c r="BJ33" s="258">
        <f t="shared" si="49"/>
        <v>34.702176528814107</v>
      </c>
      <c r="BK33" s="258"/>
      <c r="BL33" s="258">
        <f>+(BS!BL33-BS!BI33)</f>
        <v>-91.587092054826371</v>
      </c>
      <c r="BM33" s="258">
        <f>BS!BM33-BS!BL33</f>
        <v>127.12149017353727</v>
      </c>
      <c r="BN33" s="258">
        <f t="shared" si="50"/>
        <v>35.534398118710897</v>
      </c>
      <c r="BO33" s="258"/>
      <c r="BP33" s="258">
        <f>+(BS!BP33-BS!BM33)</f>
        <v>-91.936865975111459</v>
      </c>
      <c r="BQ33" s="258">
        <f>BS!BQ33-BS!BP33</f>
        <v>123.89982972081884</v>
      </c>
      <c r="BR33" s="258">
        <f t="shared" si="51"/>
        <v>31.962963745707384</v>
      </c>
      <c r="BS33" s="258"/>
      <c r="BT33" s="258">
        <f>+(BS!BT33-BS!BQ33)</f>
        <v>-95.96696326851179</v>
      </c>
      <c r="BU33" s="258">
        <f>BS!BU33-BS!BT33</f>
        <v>137.56216986223467</v>
      </c>
      <c r="BV33" s="258">
        <f t="shared" si="52"/>
        <v>41.595206593722878</v>
      </c>
      <c r="BW33" s="258"/>
      <c r="BX33" s="258">
        <f>+(BS!BX33-BS!BU33)</f>
        <v>-104.90795483804459</v>
      </c>
      <c r="BY33" s="258">
        <f>BS!BY33-BS!BX33</f>
        <v>142.9222655617009</v>
      </c>
      <c r="BZ33" s="258">
        <f t="shared" si="53"/>
        <v>38.014310723656308</v>
      </c>
    </row>
    <row r="34" spans="1:78">
      <c r="B34" s="448" t="s">
        <v>445</v>
      </c>
      <c r="P34" s="258">
        <f>+(BS!P35-BS!M35)</f>
        <v>-1.3359999999999999</v>
      </c>
      <c r="Q34" s="258">
        <f>BS!Q35-BS!P35</f>
        <v>2.7290000000000005</v>
      </c>
      <c r="T34" s="258">
        <f>+(BS!T35-BS!Q35)</f>
        <v>-1.0720000000000001</v>
      </c>
      <c r="U34" s="258">
        <f>BS!U35-BS!T35</f>
        <v>3.9049999999999994</v>
      </c>
      <c r="X34" s="258">
        <f>+(BS!X35-BS!U35)</f>
        <v>-3.3869999999999996</v>
      </c>
      <c r="Y34" s="258">
        <f>BS!Y35-BS!X35</f>
        <v>3.7269999999999994</v>
      </c>
      <c r="AB34" s="258">
        <f>+(BS!AB35-BS!Y35)</f>
        <v>-3.3499999999999996</v>
      </c>
      <c r="AC34" s="258">
        <f>BS!AC35-BS!AB35</f>
        <v>1.6109999999999998</v>
      </c>
      <c r="AD34" s="258">
        <f t="shared" si="41"/>
        <v>-1.7389999999999999</v>
      </c>
      <c r="AF34" s="258">
        <f>+(BS!AF35-BS!AC35)</f>
        <v>9.2520000000000024</v>
      </c>
      <c r="AG34" s="258">
        <f>BS!AG35-BS!AF35</f>
        <v>9.2629999999999981</v>
      </c>
      <c r="AH34" s="258">
        <f t="shared" si="42"/>
        <v>18.515000000000001</v>
      </c>
      <c r="AJ34" s="258">
        <f>+(BS!AJ35-BS!AG35)</f>
        <v>-8.7740000000000009</v>
      </c>
      <c r="AK34" s="258">
        <f>BS!AK35-BS!AJ35</f>
        <v>7.6700000000000017</v>
      </c>
      <c r="AL34" s="258">
        <f t="shared" si="43"/>
        <v>-1.1039999999999992</v>
      </c>
      <c r="AM34" s="258"/>
      <c r="AN34" s="258">
        <f>+(BS!AN35-BS!AK35)</f>
        <v>-7.3730000000000011</v>
      </c>
      <c r="AO34" s="258">
        <f>BS!AO35-BS!AN35</f>
        <v>12.001000000000001</v>
      </c>
      <c r="AP34" s="258">
        <f t="shared" si="44"/>
        <v>4.6280000000000001</v>
      </c>
      <c r="AQ34" s="258"/>
      <c r="AR34" s="258">
        <f>+(BS!AR35-BS!AO35)</f>
        <v>-1.4280066969716252</v>
      </c>
      <c r="AS34" s="258">
        <f>BS!AS35-BS!AR35</f>
        <v>2.7487218138374736</v>
      </c>
      <c r="AT34" s="258">
        <f t="shared" si="45"/>
        <v>1.3207151168658484</v>
      </c>
      <c r="AU34" s="258"/>
      <c r="AV34" s="258">
        <f>+(BS!AV35-BS!AS35)</f>
        <v>-1.4664896913253642</v>
      </c>
      <c r="AW34" s="258">
        <f>BS!AW35-BS!AV35</f>
        <v>2.9450433365473501</v>
      </c>
      <c r="AX34" s="258">
        <f t="shared" si="46"/>
        <v>1.4785536452219858</v>
      </c>
      <c r="AY34" s="258"/>
      <c r="AZ34" s="258">
        <f>+(BS!AZ35-BS!AW35)</f>
        <v>-1.5761108741401024</v>
      </c>
      <c r="BA34" s="258">
        <f>BS!BA35-BS!AZ35</f>
        <v>2.9629249815478111</v>
      </c>
      <c r="BB34" s="258">
        <f t="shared" si="47"/>
        <v>1.3868141074077087</v>
      </c>
      <c r="BC34" s="258"/>
      <c r="BD34" s="258">
        <f>+(BS!BD35-BS!BA35)</f>
        <v>-1.873823616101582</v>
      </c>
      <c r="BE34" s="258">
        <f>BS!BE35-BS!BD35</f>
        <v>3.3292022404684118</v>
      </c>
      <c r="BF34" s="258">
        <f t="shared" si="48"/>
        <v>1.4553786243668299</v>
      </c>
      <c r="BG34" s="258"/>
      <c r="BH34" s="258">
        <f>+(BS!BH35-BS!BE35)</f>
        <v>-2.0997948333361478</v>
      </c>
      <c r="BI34" s="258">
        <f>BS!BI35-BS!BH35</f>
        <v>3.5245562045252825</v>
      </c>
      <c r="BJ34" s="258">
        <f t="shared" si="49"/>
        <v>1.4247613711891347</v>
      </c>
      <c r="BK34" s="258"/>
      <c r="BL34" s="258">
        <f>+(BS!BL35-BS!BI35)</f>
        <v>-2.2374435821150698</v>
      </c>
      <c r="BM34" s="258">
        <f>BS!BM35-BS!BL35</f>
        <v>3.7297522458266315</v>
      </c>
      <c r="BN34" s="258">
        <f t="shared" si="50"/>
        <v>1.4923086637115617</v>
      </c>
      <c r="BO34" s="258"/>
      <c r="BP34" s="258">
        <f>+(BS!BP35-BS!BM35)</f>
        <v>-2.2829406637354026</v>
      </c>
      <c r="BQ34" s="258">
        <f>BS!BQ35-BS!BP35</f>
        <v>3.735007305548713</v>
      </c>
      <c r="BR34" s="258">
        <f t="shared" si="51"/>
        <v>1.4520666418133104</v>
      </c>
      <c r="BS34" s="258"/>
      <c r="BT34" s="258">
        <f>+(BS!BT35-BS!BQ35)</f>
        <v>-2.4228769607304415</v>
      </c>
      <c r="BU34" s="258">
        <f>BS!BU35-BS!BT35</f>
        <v>4.1716719691836559</v>
      </c>
      <c r="BV34" s="258">
        <f t="shared" si="52"/>
        <v>1.7487950084532145</v>
      </c>
      <c r="BW34" s="258"/>
      <c r="BX34" s="258">
        <f>+(BS!BX35-BS!BU35)</f>
        <v>-2.6936691211480408</v>
      </c>
      <c r="BY34" s="258">
        <f>BS!BY35-BS!BX35</f>
        <v>4.4094599427293701</v>
      </c>
      <c r="BZ34" s="258">
        <f t="shared" si="53"/>
        <v>1.7157908215813293</v>
      </c>
    </row>
    <row r="35" spans="1:78">
      <c r="B35" s="448" t="s">
        <v>446</v>
      </c>
      <c r="P35" s="258">
        <f>+(BS!P36-BS!M36)</f>
        <v>-1.7169999999999987</v>
      </c>
      <c r="Q35" s="258">
        <f>BS!Q36-BS!P36</f>
        <v>2.5809999999999995</v>
      </c>
      <c r="T35" s="258">
        <f>+(BS!T36-BS!Q36)</f>
        <v>3.2000000000000028E-2</v>
      </c>
      <c r="U35" s="258">
        <f>BS!U36-BS!T36</f>
        <v>2.0299999999999994</v>
      </c>
      <c r="X35" s="258">
        <f>+(BS!X36-BS!U36)</f>
        <v>0.81599999999999895</v>
      </c>
      <c r="Y35" s="258">
        <f>BS!Y36-BS!X36</f>
        <v>2.370000000000001</v>
      </c>
      <c r="AB35" s="258">
        <f>+(BS!AB36-BS!Y36)</f>
        <v>-0.52299999999999969</v>
      </c>
      <c r="AC35" s="258">
        <f>BS!AC36-BS!AB36</f>
        <v>8.9469999999999992</v>
      </c>
      <c r="AD35" s="258">
        <f t="shared" si="41"/>
        <v>8.4239999999999995</v>
      </c>
      <c r="AF35" s="258">
        <f>+(BS!AF36-BS!AC36)</f>
        <v>129.74799999999999</v>
      </c>
      <c r="AG35" s="258">
        <f>BS!AG36-BS!AF36</f>
        <v>45.694999999999993</v>
      </c>
      <c r="AH35" s="258">
        <f t="shared" si="42"/>
        <v>175.44299999999998</v>
      </c>
      <c r="AJ35" s="258">
        <f>+(BS!AJ36-BS!AG36)</f>
        <v>-84.096000000000004</v>
      </c>
      <c r="AK35" s="258">
        <f>BS!AK36-BS!AJ36</f>
        <v>-34.364999999999995</v>
      </c>
      <c r="AL35" s="258">
        <f t="shared" si="43"/>
        <v>-118.461</v>
      </c>
      <c r="AM35" s="258"/>
      <c r="AN35" s="258">
        <f>+(BS!AN36-BS!AK36)</f>
        <v>-0.90899999999999181</v>
      </c>
      <c r="AO35" s="258">
        <f>BS!AO36-BS!AN36</f>
        <v>15.024999999999991</v>
      </c>
      <c r="AP35" s="258">
        <f t="shared" si="44"/>
        <v>14.116</v>
      </c>
      <c r="AQ35" s="258"/>
      <c r="AR35" s="258">
        <f>+(BS!AR36-BS!AO36)</f>
        <v>-4.768683831565383</v>
      </c>
      <c r="AS35" s="258">
        <f>BS!AS36-BS!AR36</f>
        <v>9.1790782906799535</v>
      </c>
      <c r="AT35" s="258">
        <f t="shared" si="45"/>
        <v>4.4103944591145705</v>
      </c>
      <c r="AU35" s="258"/>
      <c r="AV35" s="258">
        <f>+(BS!AV36-BS!AS36)</f>
        <v>-4.8971938962269093</v>
      </c>
      <c r="AW35" s="258">
        <f>BS!AW36-BS!AV36</f>
        <v>9.8346741454614914</v>
      </c>
      <c r="AX35" s="258">
        <f t="shared" si="46"/>
        <v>4.9374802492345822</v>
      </c>
      <c r="AY35" s="258"/>
      <c r="AZ35" s="258">
        <f>+(BS!AZ36-BS!AW36)</f>
        <v>-5.2632627411379787</v>
      </c>
      <c r="BA35" s="258">
        <f>BS!BA36-BS!AZ36</f>
        <v>9.894388089083975</v>
      </c>
      <c r="BB35" s="258">
        <f t="shared" si="47"/>
        <v>4.6311253479459964</v>
      </c>
      <c r="BC35" s="258"/>
      <c r="BD35" s="258">
        <f>+(BS!BD36-BS!BA36)</f>
        <v>-6.2574443104916071</v>
      </c>
      <c r="BE35" s="258">
        <f>BS!BE36-BS!BD36</f>
        <v>11.117533923195907</v>
      </c>
      <c r="BF35" s="258">
        <f t="shared" si="48"/>
        <v>4.8600896127043001</v>
      </c>
      <c r="BG35" s="258"/>
      <c r="BH35" s="258">
        <f>+(BS!BH36-BS!BE36)</f>
        <v>-7.0120523192011319</v>
      </c>
      <c r="BI35" s="258">
        <f>BS!BI36-BS!BH36</f>
        <v>11.769898713785338</v>
      </c>
      <c r="BJ35" s="258">
        <f t="shared" si="49"/>
        <v>4.757846394584206</v>
      </c>
      <c r="BK35" s="258"/>
      <c r="BL35" s="258">
        <f>+(BS!BL36-BS!BI36)</f>
        <v>-7.4717163838930389</v>
      </c>
      <c r="BM35" s="258">
        <f>BS!BM36-BS!BL36</f>
        <v>12.455130125185661</v>
      </c>
      <c r="BN35" s="258">
        <f t="shared" si="50"/>
        <v>4.9834137412926225</v>
      </c>
      <c r="BO35" s="258"/>
      <c r="BP35" s="258">
        <f>+(BS!BP36-BS!BM36)</f>
        <v>-7.6236492830639264</v>
      </c>
      <c r="BQ35" s="258">
        <f>BS!BQ36-BS!BP36</f>
        <v>12.472678865246721</v>
      </c>
      <c r="BR35" s="258">
        <f t="shared" si="51"/>
        <v>4.8490295821827942</v>
      </c>
      <c r="BS35" s="258"/>
      <c r="BT35" s="258">
        <f>+(BS!BT36-BS!BQ36)</f>
        <v>-8.0909523834937147</v>
      </c>
      <c r="BU35" s="258">
        <f>BS!BU36-BS!BT36</f>
        <v>13.930876313275377</v>
      </c>
      <c r="BV35" s="258">
        <f t="shared" si="52"/>
        <v>5.8399239297816621</v>
      </c>
      <c r="BW35" s="258"/>
      <c r="BX35" s="258">
        <f>+(BS!BX36-BS!BU36)</f>
        <v>-8.9952353954967919</v>
      </c>
      <c r="BY35" s="258">
        <f>BS!BY36-BS!BX36</f>
        <v>14.724945183675572</v>
      </c>
      <c r="BZ35" s="258">
        <f t="shared" si="53"/>
        <v>5.7297097881787806</v>
      </c>
    </row>
    <row r="36" spans="1:78">
      <c r="B36" s="448" t="s">
        <v>447</v>
      </c>
      <c r="P36" s="258">
        <f>+(BS!P34-BS!M34)+(BS!P37-BS!M37)+(BS!P38-BS!M38)</f>
        <v>8.1949999999999985</v>
      </c>
      <c r="Q36" s="258">
        <f>(BS!Q34-BS!P34)+(BS!Q37-BS!P37)+(BS!Q38-BS!P38)</f>
        <v>7.4230000000000018</v>
      </c>
      <c r="T36" s="258">
        <f>+(BS!T34-BS!Q34)+(BS!T37-BS!Q37)+(BS!T38-BS!Q38)</f>
        <v>-2.3250000000000011</v>
      </c>
      <c r="U36" s="258">
        <f>(BS!U34-BS!T34)+(BS!U37-BS!T37)+(BS!U38-BS!T38)</f>
        <v>3.3610000000000007</v>
      </c>
      <c r="X36" s="258">
        <f>+(BS!X34-BS!U34)+(BS!X37-BS!U37)+(BS!X38-BS!U38)</f>
        <v>-6.2849999999999993</v>
      </c>
      <c r="Y36" s="258">
        <f>(BS!Y34-BS!X34)+(BS!Y37-BS!X37)+(BS!Y38-BS!X38)</f>
        <v>7.14</v>
      </c>
      <c r="AB36" s="258">
        <f>+(BS!AB34-BS!Y34)+(BS!AB37-BS!Y37)+(BS!AB38-BS!Y38)</f>
        <v>-6.1660000000000004</v>
      </c>
      <c r="AC36" s="258">
        <f>(BS!AC34-BS!AB34)+(BS!AC37-BS!AB37)+(BS!AC38-BS!AB38)</f>
        <v>7.2520000000000007</v>
      </c>
      <c r="AD36" s="258">
        <f t="shared" si="41"/>
        <v>1.0860000000000003</v>
      </c>
      <c r="AF36" s="258">
        <f>+(BS!AF34-BS!AC34)+(BS!AF37-BS!AC37)+(BS!AF38-BS!AC38)</f>
        <v>24.635999999999996</v>
      </c>
      <c r="AG36" s="258">
        <f>(BS!AG34-BS!AF34)+(BS!AG37-BS!AF37)+(BS!AG38-BS!AF38)</f>
        <v>13.191000000000003</v>
      </c>
      <c r="AH36" s="258">
        <f t="shared" si="42"/>
        <v>37.826999999999998</v>
      </c>
      <c r="AJ36" s="258">
        <f>+(BS!AJ34-BS!AG34)+(BS!AJ37-BS!AG37)+(BS!AJ38-BS!AG38)</f>
        <v>-3.4489999999999998</v>
      </c>
      <c r="AK36" s="258">
        <f>(BS!AK34-BS!AJ34)+(BS!AK37-BS!AJ37)+(BS!AK38-BS!AJ38)</f>
        <v>-10.599000000000002</v>
      </c>
      <c r="AL36" s="258">
        <f t="shared" si="43"/>
        <v>-14.048000000000002</v>
      </c>
      <c r="AM36" s="258"/>
      <c r="AN36" s="258">
        <f>+(BS!AN34-BS!AK34)+(BS!AN37-BS!AK37)+(BS!AN38-BS!AK38)</f>
        <v>6.4720000000000031</v>
      </c>
      <c r="AO36" s="258">
        <f>(BS!AO34-BS!AN34)+(BS!AO37-BS!AN37)+(BS!AO38-BS!AN38)</f>
        <v>0.81200000000000028</v>
      </c>
      <c r="AP36" s="258">
        <f t="shared" si="44"/>
        <v>7.2840000000000034</v>
      </c>
      <c r="AQ36" s="258"/>
      <c r="AR36" s="258">
        <f>+(BS!AR34-BS!AO34)+(BS!AR37-BS!AO37)+(BS!AR38-BS!AO38)</f>
        <v>-2.4429736644552591</v>
      </c>
      <c r="AS36" s="258">
        <f>(BS!AS34-BS!AR34)+(BS!AS37-BS!AR37)+(BS!AS38-BS!AR38)</f>
        <v>4.7023974161740689</v>
      </c>
      <c r="AT36" s="258">
        <f t="shared" si="45"/>
        <v>2.2594237517188098</v>
      </c>
      <c r="AU36" s="258"/>
      <c r="AV36" s="258">
        <f>+(BS!AV34-BS!AS34)+(BS!AV37-BS!AS37)+(BS!AV38-BS!AS38)</f>
        <v>-2.5088087490770192</v>
      </c>
      <c r="AW36" s="258">
        <f>(BS!AW34-BS!AV34)+(BS!AW37-BS!AV37)+(BS!AW38-BS!AV38)</f>
        <v>5.0382560019657738</v>
      </c>
      <c r="AX36" s="258">
        <f t="shared" si="46"/>
        <v>2.5294472528887546</v>
      </c>
      <c r="AY36" s="258"/>
      <c r="AZ36" s="258">
        <f>+(BS!AZ34-BS!AW34)+(BS!AZ37-BS!AW37)+(BS!AZ38-BS!AW38)</f>
        <v>-2.6963440479315395</v>
      </c>
      <c r="BA36" s="258">
        <f>(BS!BA34-BS!AZ34)+(BS!BA37-BS!AZ37)+(BS!BA38-BS!AZ38)</f>
        <v>5.0688471664931605</v>
      </c>
      <c r="BB36" s="258">
        <f t="shared" si="47"/>
        <v>2.372503118561621</v>
      </c>
      <c r="BC36" s="258"/>
      <c r="BD36" s="258">
        <f>+(BS!BD34-BS!BA34)+(BS!BD37-BS!BA37)+(BS!BD38-BS!BA38)</f>
        <v>-3.2056584578198546</v>
      </c>
      <c r="BE36" s="258">
        <f>(BS!BE34-BS!BD34)+(BS!BE37-BS!BD37)+(BS!BE38-BS!BD38)</f>
        <v>5.6954588618931297</v>
      </c>
      <c r="BF36" s="258">
        <f t="shared" si="48"/>
        <v>2.4898004040732751</v>
      </c>
      <c r="BG36" s="258"/>
      <c r="BH36" s="258">
        <f>+(BS!BH34-BS!BE34)+(BS!BH37-BS!BE37)+(BS!BH38-BS!BE38)</f>
        <v>-3.5922404912232473</v>
      </c>
      <c r="BI36" s="258">
        <f>(BS!BI34-BS!BH34)+(BS!BI37-BS!BH37)+(BS!BI38-BS!BH38)</f>
        <v>6.0296621891253892</v>
      </c>
      <c r="BJ36" s="258">
        <f t="shared" si="49"/>
        <v>2.4374216979021419</v>
      </c>
      <c r="BK36" s="258"/>
      <c r="BL36" s="258">
        <f>+(BS!BL34-BS!BI34)+(BS!BL37-BS!BI37)+(BS!BL38-BS!BI38)</f>
        <v>-3.8277241685233996</v>
      </c>
      <c r="BM36" s="258">
        <f>(BS!BM34-BS!BL34)+(BS!BM37-BS!BL37)+(BS!BM38-BS!BL38)</f>
        <v>6.3807029272485138</v>
      </c>
      <c r="BN36" s="258">
        <f t="shared" si="50"/>
        <v>2.5529787587251143</v>
      </c>
      <c r="BO36" s="258"/>
      <c r="BP36" s="258">
        <f>+(BS!BP34-BS!BM34)+(BS!BP37-BS!BM37)+(BS!BP38-BS!BM38)</f>
        <v>-3.9055586579860631</v>
      </c>
      <c r="BQ36" s="258">
        <f>(BS!BQ34-BS!BP34)+(BS!BQ37-BS!BP37)+(BS!BQ38-BS!BP38)</f>
        <v>6.3896930619120305</v>
      </c>
      <c r="BR36" s="258">
        <f t="shared" si="51"/>
        <v>2.4841344039259674</v>
      </c>
      <c r="BS36" s="258"/>
      <c r="BT36" s="258">
        <f>+(BS!BT34-BS!BQ34)+(BS!BT37-BS!BQ37)+(BS!BT38-BS!BQ38)</f>
        <v>-4.1449557763505958</v>
      </c>
      <c r="BU36" s="258">
        <f>(BS!BU34-BS!BT34)+(BS!BU37-BS!BT37)+(BS!BU38-BS!BT38)</f>
        <v>7.136720562357695</v>
      </c>
      <c r="BV36" s="258">
        <f t="shared" si="52"/>
        <v>2.9917647860070993</v>
      </c>
      <c r="BW36" s="258"/>
      <c r="BX36" s="258">
        <f>+(BS!BX34-BS!BU34)+(BS!BX37-BS!BU37)+(BS!BX38-BS!BU38)</f>
        <v>-4.6082155900784159</v>
      </c>
      <c r="BY36" s="258">
        <f>(BS!BY34-BS!BX34)+(BS!BY37-BS!BX37)+(BS!BY38-BS!BX38)</f>
        <v>7.5435182043633517</v>
      </c>
      <c r="BZ36" s="258">
        <f t="shared" si="53"/>
        <v>2.9353026142849359</v>
      </c>
    </row>
    <row r="37" spans="1:78">
      <c r="B37" s="449" t="s">
        <v>448</v>
      </c>
      <c r="P37" s="415">
        <f>SUM(P29:P36)</f>
        <v>40.027000000000044</v>
      </c>
      <c r="Q37" s="415">
        <f>SUM(Q29:Q36)</f>
        <v>145.61999999999998</v>
      </c>
      <c r="T37" s="415">
        <f>SUM(T29:T36)</f>
        <v>-20.543999999999947</v>
      </c>
      <c r="U37" s="415">
        <f>SUM(U29:U36)</f>
        <v>88.781999999999996</v>
      </c>
      <c r="X37" s="415">
        <f>SUM(X29:X36)</f>
        <v>6.5600000000000316</v>
      </c>
      <c r="Y37" s="415">
        <f>SUM(Y29:Y36)</f>
        <v>146.56199999999998</v>
      </c>
      <c r="AB37" s="415">
        <f>SUM(AB29:AB36)</f>
        <v>8.1820000000000288</v>
      </c>
      <c r="AC37" s="415">
        <f>SUM(AC29:AC36)</f>
        <v>336.17899999999997</v>
      </c>
      <c r="AD37" s="415">
        <f>SUM(AD29:AD36)</f>
        <v>344.36099999999993</v>
      </c>
      <c r="AF37" s="415">
        <f>SUM(AF29:AF36)</f>
        <v>1029.1829999999998</v>
      </c>
      <c r="AG37" s="415">
        <f>SUM(AG29:AG36)</f>
        <v>311.84699999999998</v>
      </c>
      <c r="AH37" s="415">
        <f>SUM(AH29:AH36)</f>
        <v>1340.93</v>
      </c>
      <c r="AJ37" s="415">
        <f>SUM(AJ29:AJ36)</f>
        <v>-115.04299999999988</v>
      </c>
      <c r="AK37" s="415">
        <f>SUM(AK29:AK36)</f>
        <v>230.32500000000016</v>
      </c>
      <c r="AL37" s="415">
        <f>SUM(AL29:AL36)</f>
        <v>115.30400000000026</v>
      </c>
      <c r="AM37" s="258"/>
      <c r="AN37" s="415">
        <f>SUM(AN29:AN36)</f>
        <v>317.58099999999973</v>
      </c>
      <c r="AO37" s="415">
        <f>SUM(AO29:AO36)</f>
        <v>121.07600000000005</v>
      </c>
      <c r="AP37" s="415">
        <f>SUM(AP29:AP36)</f>
        <v>438.65699999999975</v>
      </c>
      <c r="AQ37" s="258"/>
      <c r="AR37" s="415">
        <f t="shared" ref="AR37:AT37" si="54">SUM(AR29:AR36)</f>
        <v>-0.7530756389202331</v>
      </c>
      <c r="AS37" s="415">
        <f t="shared" si="54"/>
        <v>301.98359500232027</v>
      </c>
      <c r="AT37" s="415">
        <f t="shared" si="54"/>
        <v>301.23051936339982</v>
      </c>
      <c r="AU37" s="258"/>
      <c r="AV37" s="415">
        <f t="shared" ref="AV37:AX37" si="55">SUM(AV29:AV36)</f>
        <v>-12.769146893982338</v>
      </c>
      <c r="AW37" s="415">
        <f t="shared" si="55"/>
        <v>327.25470893802134</v>
      </c>
      <c r="AX37" s="415">
        <f t="shared" si="55"/>
        <v>314.485562044039</v>
      </c>
      <c r="AY37" s="258"/>
      <c r="AZ37" s="415">
        <f t="shared" ref="AZ37:BB37" si="56">SUM(AZ29:AZ36)</f>
        <v>-44.760304941735434</v>
      </c>
      <c r="BA37" s="415">
        <f t="shared" si="56"/>
        <v>335.41127156106342</v>
      </c>
      <c r="BB37" s="415">
        <f t="shared" si="56"/>
        <v>290.65096661932807</v>
      </c>
      <c r="BC37" s="258"/>
      <c r="BD37" s="415">
        <f t="shared" ref="BD37:BF37" si="57">SUM(BD29:BD36)</f>
        <v>-43.603608231637295</v>
      </c>
      <c r="BE37" s="415">
        <f t="shared" si="57"/>
        <v>366.40335802467246</v>
      </c>
      <c r="BF37" s="415">
        <f t="shared" si="57"/>
        <v>322.79974979303489</v>
      </c>
      <c r="BG37" s="258"/>
      <c r="BH37" s="415">
        <f t="shared" ref="BH37:BJ37" si="58">SUM(BH29:BH36)</f>
        <v>-53.983196499267024</v>
      </c>
      <c r="BI37" s="415">
        <f t="shared" si="58"/>
        <v>384.75923431861986</v>
      </c>
      <c r="BJ37" s="415">
        <f t="shared" si="58"/>
        <v>330.77603781935272</v>
      </c>
      <c r="BK37" s="258"/>
      <c r="BL37" s="415">
        <f t="shared" ref="BL37:BN37" si="59">SUM(BL29:BL36)</f>
        <v>-57.442098301023918</v>
      </c>
      <c r="BM37" s="415">
        <f t="shared" si="59"/>
        <v>403.86126362981383</v>
      </c>
      <c r="BN37" s="415">
        <f t="shared" si="59"/>
        <v>346.4191653287898</v>
      </c>
      <c r="BO37" s="258"/>
      <c r="BP37" s="415">
        <f t="shared" ref="BP37:BR37" si="60">SUM(BP29:BP36)</f>
        <v>-34.639281362172056</v>
      </c>
      <c r="BQ37" s="415">
        <f t="shared" si="60"/>
        <v>410.70242196458474</v>
      </c>
      <c r="BR37" s="415">
        <f t="shared" si="60"/>
        <v>376.06314060241266</v>
      </c>
      <c r="BS37" s="258"/>
      <c r="BT37" s="415">
        <f t="shared" ref="BT37:BV37" si="61">SUM(BT29:BT36)</f>
        <v>-57.991154445256001</v>
      </c>
      <c r="BU37" s="415">
        <f t="shared" si="61"/>
        <v>446.63568956598215</v>
      </c>
      <c r="BV37" s="415">
        <f t="shared" si="61"/>
        <v>388.64453512072612</v>
      </c>
      <c r="BW37" s="258"/>
      <c r="BX37" s="415">
        <f t="shared" ref="BX37:BZ37" si="62">SUM(BX29:BX36)</f>
        <v>-69.745117785914076</v>
      </c>
      <c r="BY37" s="415">
        <f t="shared" si="62"/>
        <v>468.28616131419147</v>
      </c>
      <c r="BZ37" s="415">
        <f t="shared" si="62"/>
        <v>398.54104352827693</v>
      </c>
    </row>
    <row r="38" spans="1:78">
      <c r="B38" s="450" t="s">
        <v>449</v>
      </c>
      <c r="P38" s="454">
        <f>P24</f>
        <v>17.089999999999989</v>
      </c>
      <c r="Q38" s="454">
        <f>Q24</f>
        <v>52.438000000000017</v>
      </c>
      <c r="T38" s="454">
        <f>T24</f>
        <v>17.684999999999995</v>
      </c>
      <c r="U38" s="454">
        <f>U24</f>
        <v>72.424000000000007</v>
      </c>
      <c r="X38" s="454">
        <f>X24</f>
        <v>32.727000000000025</v>
      </c>
      <c r="Y38" s="454">
        <f>Y24</f>
        <v>79.85899999999998</v>
      </c>
      <c r="AB38" s="454">
        <f>AB24</f>
        <v>27.058000000000032</v>
      </c>
      <c r="AC38" s="454">
        <f>AC24</f>
        <v>68.476999999999975</v>
      </c>
      <c r="AF38" s="454">
        <f>AF24</f>
        <v>64.377000000000024</v>
      </c>
      <c r="AG38" s="454">
        <f>AG24</f>
        <v>137.86100000000002</v>
      </c>
      <c r="AJ38" s="454">
        <f>AJ24</f>
        <v>-17.320999999999977</v>
      </c>
      <c r="AK38" s="454">
        <f>AK24</f>
        <v>99.321000000000026</v>
      </c>
      <c r="AM38" s="258"/>
      <c r="AN38" s="454">
        <f>AN24</f>
        <v>188.49699999999999</v>
      </c>
      <c r="AO38" s="454">
        <f>AO24</f>
        <v>198.03499999999985</v>
      </c>
      <c r="AQ38" s="258"/>
      <c r="AR38" s="258"/>
      <c r="AS38" s="258"/>
      <c r="AT38" s="258"/>
      <c r="AU38" s="258"/>
      <c r="AV38" s="258"/>
      <c r="AW38" s="258"/>
      <c r="AX38" s="258"/>
      <c r="AY38" s="258"/>
      <c r="AZ38" s="258"/>
      <c r="BA38" s="258"/>
      <c r="BB38" s="258"/>
      <c r="BC38" s="258"/>
      <c r="BD38" s="258"/>
      <c r="BE38" s="258"/>
      <c r="BF38" s="258"/>
      <c r="BG38" s="258"/>
      <c r="BH38" s="258"/>
      <c r="BI38" s="258"/>
      <c r="BJ38" s="258"/>
      <c r="BK38" s="258"/>
      <c r="BL38" s="258"/>
      <c r="BM38" s="258"/>
      <c r="BN38" s="258"/>
      <c r="BO38" s="258"/>
      <c r="BP38" s="258"/>
      <c r="BQ38" s="258"/>
      <c r="BR38" s="258"/>
      <c r="BS38" s="258"/>
      <c r="BT38" s="258"/>
      <c r="BU38" s="258"/>
      <c r="BV38" s="258"/>
      <c r="BW38" s="258"/>
      <c r="BX38" s="258"/>
      <c r="BY38" s="258"/>
      <c r="BZ38" s="258"/>
    </row>
    <row r="39" spans="1:78">
      <c r="B39" s="450"/>
      <c r="T39" s="454"/>
      <c r="U39" s="454"/>
      <c r="X39" s="454"/>
      <c r="Y39" s="454"/>
      <c r="AB39" s="454"/>
      <c r="AC39" s="454"/>
      <c r="AF39" s="454"/>
      <c r="AG39" s="454"/>
      <c r="AJ39" s="454"/>
      <c r="AK39" s="454"/>
      <c r="AM39" s="258"/>
      <c r="AN39" s="454"/>
      <c r="AO39" s="454"/>
      <c r="AQ39" s="258"/>
      <c r="AR39" s="258"/>
      <c r="AS39" s="258"/>
      <c r="AT39" s="258"/>
      <c r="AU39" s="258"/>
      <c r="AV39" s="258"/>
      <c r="AW39" s="258"/>
      <c r="AX39" s="258"/>
      <c r="AY39" s="258"/>
      <c r="AZ39" s="258"/>
      <c r="BA39" s="258"/>
      <c r="BB39" s="258"/>
      <c r="BC39" s="258"/>
      <c r="BD39" s="258"/>
      <c r="BE39" s="258"/>
      <c r="BF39" s="258"/>
      <c r="BG39" s="258"/>
      <c r="BH39" s="258"/>
      <c r="BI39" s="258"/>
      <c r="BJ39" s="258"/>
      <c r="BK39" s="258"/>
      <c r="BL39" s="258"/>
      <c r="BM39" s="258"/>
      <c r="BN39" s="258"/>
      <c r="BO39" s="258"/>
      <c r="BP39" s="258"/>
      <c r="BQ39" s="258"/>
      <c r="BR39" s="258"/>
      <c r="BS39" s="258"/>
      <c r="BT39" s="258"/>
      <c r="BU39" s="258"/>
      <c r="BV39" s="258"/>
      <c r="BW39" s="258"/>
      <c r="BX39" s="258"/>
      <c r="BY39" s="258"/>
      <c r="BZ39" s="258"/>
    </row>
    <row r="40" spans="1:78" s="140" customFormat="1" ht="15.6">
      <c r="A40" s="149"/>
      <c r="B40" s="511" t="s">
        <v>19</v>
      </c>
      <c r="W40" s="219"/>
      <c r="Z40" s="219"/>
      <c r="AA40" s="219"/>
      <c r="AB40" s="219"/>
      <c r="AE40" s="219"/>
      <c r="AI40" s="219"/>
      <c r="AK40" s="219"/>
      <c r="AL40" s="219"/>
      <c r="AO40" s="219"/>
      <c r="AP40" s="219"/>
    </row>
    <row r="41" spans="1:78" s="161" customFormat="1">
      <c r="A41" s="148"/>
      <c r="B41" s="242" t="s">
        <v>203</v>
      </c>
      <c r="D41" s="230">
        <v>-13.977</v>
      </c>
      <c r="E41" s="161">
        <f t="shared" ref="E41:E50" si="63">F41-D41</f>
        <v>-26.029999999999998</v>
      </c>
      <c r="F41" s="230">
        <v>-40.006999999999998</v>
      </c>
      <c r="H41" s="230">
        <v>-2.508</v>
      </c>
      <c r="I41" s="161">
        <f t="shared" ref="I41:I50" si="64">J41-H41</f>
        <v>1.5070000000000001</v>
      </c>
      <c r="J41" s="230">
        <v>-1.0009999999999999</v>
      </c>
      <c r="L41" s="230">
        <v>-7.6130000000000004</v>
      </c>
      <c r="M41" s="161">
        <f t="shared" ref="M41:M50" si="65">N41-L41</f>
        <v>-1.0430000000000001</v>
      </c>
      <c r="N41" s="230">
        <v>-8.6560000000000006</v>
      </c>
      <c r="P41" s="230">
        <v>3.7320000000000002</v>
      </c>
      <c r="Q41" s="161">
        <f t="shared" ref="Q41:Q50" si="66">R41-P41</f>
        <v>-17.48</v>
      </c>
      <c r="R41" s="230">
        <v>-13.747999999999999</v>
      </c>
      <c r="T41" s="230">
        <v>-1.44</v>
      </c>
      <c r="U41" s="161">
        <f t="shared" ref="U41:U50" si="67">V41-T41</f>
        <v>-2.8759999999999999</v>
      </c>
      <c r="V41" s="230">
        <v>-4.3159999999999998</v>
      </c>
      <c r="W41" s="218"/>
      <c r="X41" s="230">
        <v>-13.199</v>
      </c>
      <c r="Y41" s="161">
        <f t="shared" ref="Y41:Y50" si="68">Z41-X41</f>
        <v>-0.2370000000000001</v>
      </c>
      <c r="Z41" s="230">
        <v>-13.436</v>
      </c>
      <c r="AA41" s="218"/>
      <c r="AB41" s="230">
        <v>-15.786</v>
      </c>
      <c r="AC41" s="161">
        <f t="shared" ref="AC41:AC50" si="69">AD41-AB41</f>
        <v>125.089</v>
      </c>
      <c r="AD41" s="230">
        <v>109.303</v>
      </c>
      <c r="AE41" s="218"/>
      <c r="AF41" s="181">
        <v>-117.77200000000001</v>
      </c>
      <c r="AG41" s="161">
        <f t="shared" ref="AG41:AG50" si="70">AH41-AF41</f>
        <v>-42.427000000000007</v>
      </c>
      <c r="AH41" s="181">
        <v>-160.19900000000001</v>
      </c>
      <c r="AI41" s="218"/>
      <c r="AJ41" s="230">
        <v>-30.498000000000001</v>
      </c>
      <c r="AK41" s="218">
        <f t="shared" ref="AK41:AK50" si="71">AL41-AJ41</f>
        <v>-13.432999999999996</v>
      </c>
      <c r="AL41" s="230">
        <v>-43.930999999999997</v>
      </c>
      <c r="AN41" s="181">
        <v>-179.41300000000001</v>
      </c>
      <c r="AO41" s="218">
        <f t="shared" ref="AO41:AO50" si="72">AP41-AN41</f>
        <v>28.344999999999999</v>
      </c>
      <c r="AP41" s="916">
        <v>-151.06800000000001</v>
      </c>
    </row>
    <row r="42" spans="1:78" s="161" customFormat="1">
      <c r="A42" s="148"/>
      <c r="B42" s="242" t="s">
        <v>204</v>
      </c>
      <c r="D42" s="230">
        <v>-10.539</v>
      </c>
      <c r="E42" s="161">
        <f t="shared" si="63"/>
        <v>0</v>
      </c>
      <c r="F42" s="230">
        <v>-10.539</v>
      </c>
      <c r="H42" s="230">
        <v>0</v>
      </c>
      <c r="I42" s="161">
        <f t="shared" si="64"/>
        <v>0</v>
      </c>
      <c r="J42" s="230">
        <v>0</v>
      </c>
      <c r="L42" s="230">
        <v>-4.4130000000000003</v>
      </c>
      <c r="M42" s="161">
        <f t="shared" si="65"/>
        <v>1.6530000000000005</v>
      </c>
      <c r="N42" s="230">
        <v>-2.76</v>
      </c>
      <c r="P42" s="230">
        <v>-1.5009999999999999</v>
      </c>
      <c r="Q42" s="161">
        <f t="shared" si="66"/>
        <v>2.6849999999999996</v>
      </c>
      <c r="R42" s="230">
        <f>1.184</f>
        <v>1.1839999999999999</v>
      </c>
      <c r="T42" s="230">
        <v>0</v>
      </c>
      <c r="U42" s="161">
        <f t="shared" si="67"/>
        <v>-4.1349999999999998</v>
      </c>
      <c r="V42" s="230">
        <v>-4.1349999999999998</v>
      </c>
      <c r="W42" s="218"/>
      <c r="X42" s="230">
        <v>0</v>
      </c>
      <c r="Y42" s="161">
        <f t="shared" si="68"/>
        <v>48.823999999999998</v>
      </c>
      <c r="Z42" s="230">
        <v>48.823999999999998</v>
      </c>
      <c r="AA42" s="218"/>
      <c r="AB42" s="230">
        <v>5.33</v>
      </c>
      <c r="AC42" s="161">
        <f t="shared" si="69"/>
        <v>0</v>
      </c>
      <c r="AD42" s="230">
        <v>5.33</v>
      </c>
      <c r="AE42" s="218"/>
      <c r="AF42" s="181">
        <v>0</v>
      </c>
      <c r="AG42" s="161">
        <f t="shared" si="70"/>
        <v>9.7100000000000009</v>
      </c>
      <c r="AH42" s="181">
        <v>9.7100000000000009</v>
      </c>
      <c r="AI42" s="218"/>
      <c r="AJ42" s="230">
        <v>16.097999999999999</v>
      </c>
      <c r="AK42" s="218">
        <f t="shared" si="71"/>
        <v>-1.0609999999999982</v>
      </c>
      <c r="AL42" s="230">
        <v>15.037000000000001</v>
      </c>
      <c r="AN42" s="181">
        <v>0</v>
      </c>
      <c r="AO42" s="218">
        <f t="shared" si="72"/>
        <v>4.0250000000000004</v>
      </c>
      <c r="AP42" s="916">
        <v>4.0250000000000004</v>
      </c>
      <c r="AR42" s="230"/>
      <c r="AS42" s="230"/>
      <c r="AV42" s="230"/>
      <c r="AW42" s="230"/>
      <c r="AZ42" s="230"/>
      <c r="BA42" s="230"/>
      <c r="BD42" s="230"/>
      <c r="BE42" s="230"/>
      <c r="BH42" s="230"/>
      <c r="BI42" s="230"/>
      <c r="BL42" s="230"/>
      <c r="BM42" s="230"/>
      <c r="BP42" s="230"/>
      <c r="BQ42" s="230"/>
      <c r="BT42" s="230"/>
      <c r="BU42" s="230"/>
      <c r="BX42" s="230"/>
      <c r="BY42" s="230"/>
    </row>
    <row r="43" spans="1:78" s="161" customFormat="1">
      <c r="A43" s="148"/>
      <c r="B43" s="242" t="s">
        <v>205</v>
      </c>
      <c r="D43" s="230">
        <v>0</v>
      </c>
      <c r="E43" s="161">
        <f t="shared" si="63"/>
        <v>0</v>
      </c>
      <c r="F43" s="230">
        <v>0</v>
      </c>
      <c r="H43" s="230">
        <v>0</v>
      </c>
      <c r="I43" s="161">
        <f t="shared" si="64"/>
        <v>0</v>
      </c>
      <c r="J43" s="230">
        <v>0</v>
      </c>
      <c r="L43" s="230">
        <v>0</v>
      </c>
      <c r="M43" s="161">
        <f t="shared" si="65"/>
        <v>0</v>
      </c>
      <c r="N43" s="230">
        <v>0</v>
      </c>
      <c r="P43" s="230">
        <v>0</v>
      </c>
      <c r="Q43" s="161">
        <f t="shared" si="66"/>
        <v>0</v>
      </c>
      <c r="R43" s="230">
        <v>0</v>
      </c>
      <c r="T43" s="230">
        <v>0</v>
      </c>
      <c r="U43" s="161">
        <f t="shared" si="67"/>
        <v>0</v>
      </c>
      <c r="V43" s="230">
        <v>0</v>
      </c>
      <c r="W43" s="218"/>
      <c r="X43" s="230">
        <v>0</v>
      </c>
      <c r="Y43" s="161">
        <f t="shared" si="68"/>
        <v>-2.2320000000000002</v>
      </c>
      <c r="Z43" s="230">
        <v>-2.2320000000000002</v>
      </c>
      <c r="AA43" s="218"/>
      <c r="AB43" s="230">
        <v>0</v>
      </c>
      <c r="AC43" s="161">
        <f t="shared" si="69"/>
        <v>0</v>
      </c>
      <c r="AD43" s="230">
        <v>0</v>
      </c>
      <c r="AE43" s="218"/>
      <c r="AF43" s="181">
        <v>-7.2069999999999999</v>
      </c>
      <c r="AG43" s="161">
        <f t="shared" si="70"/>
        <v>7.2069999999999999</v>
      </c>
      <c r="AH43" s="181">
        <v>0</v>
      </c>
      <c r="AI43" s="218"/>
      <c r="AJ43" s="230">
        <v>0</v>
      </c>
      <c r="AK43" s="218">
        <f t="shared" si="71"/>
        <v>0</v>
      </c>
      <c r="AL43" s="230">
        <v>0</v>
      </c>
      <c r="AN43" s="181">
        <v>0</v>
      </c>
      <c r="AO43" s="218">
        <f t="shared" si="72"/>
        <v>0</v>
      </c>
      <c r="AP43" s="916">
        <v>0</v>
      </c>
    </row>
    <row r="44" spans="1:78" s="161" customFormat="1">
      <c r="A44" s="148"/>
      <c r="B44" s="242" t="s">
        <v>206</v>
      </c>
      <c r="D44" s="230">
        <f>-0.774-33.974-1.748</f>
        <v>-36.495999999999995</v>
      </c>
      <c r="E44" s="161">
        <f t="shared" si="63"/>
        <v>31.688999999999993</v>
      </c>
      <c r="F44" s="230">
        <f>-2.971-1.836</f>
        <v>-4.8070000000000004</v>
      </c>
      <c r="H44" s="230">
        <v>0</v>
      </c>
      <c r="I44" s="161">
        <f t="shared" si="64"/>
        <v>-8.4770000000000003</v>
      </c>
      <c r="J44" s="230">
        <v>-8.4770000000000003</v>
      </c>
      <c r="L44" s="230">
        <v>3.7999999999999999E-2</v>
      </c>
      <c r="M44" s="161">
        <f t="shared" si="65"/>
        <v>-3.069</v>
      </c>
      <c r="N44" s="230">
        <v>-3.0310000000000001</v>
      </c>
      <c r="P44" s="230">
        <v>-1.292</v>
      </c>
      <c r="Q44" s="161">
        <f t="shared" si="66"/>
        <v>-0.64599999999999991</v>
      </c>
      <c r="R44" s="230">
        <v>-1.9379999999999999</v>
      </c>
      <c r="T44" s="230">
        <v>-3.516</v>
      </c>
      <c r="U44" s="161">
        <f t="shared" si="67"/>
        <v>-137.714</v>
      </c>
      <c r="V44" s="230">
        <v>-141.22999999999999</v>
      </c>
      <c r="W44" s="218"/>
      <c r="X44" s="230">
        <v>-2.5880000000000001</v>
      </c>
      <c r="Y44" s="161">
        <f t="shared" si="68"/>
        <v>-8.6430000000000007</v>
      </c>
      <c r="Z44" s="230">
        <v>-11.231</v>
      </c>
      <c r="AA44" s="218"/>
      <c r="AB44" s="230">
        <v>-5.532</v>
      </c>
      <c r="AC44" s="161">
        <f t="shared" si="69"/>
        <v>0.12399999999999967</v>
      </c>
      <c r="AD44" s="230">
        <v>-5.4080000000000004</v>
      </c>
      <c r="AE44" s="218"/>
      <c r="AF44" s="181">
        <v>13.183999999999999</v>
      </c>
      <c r="AG44" s="161">
        <f t="shared" si="70"/>
        <v>-20.390999999999998</v>
      </c>
      <c r="AH44" s="181">
        <v>-7.2069999999999999</v>
      </c>
      <c r="AI44" s="218"/>
      <c r="AJ44" s="230">
        <v>-11.465999999999999</v>
      </c>
      <c r="AK44" s="218">
        <f t="shared" si="71"/>
        <v>-4.0540000000000003</v>
      </c>
      <c r="AL44" s="230">
        <v>-15.52</v>
      </c>
      <c r="AN44" s="181">
        <v>-68.155000000000001</v>
      </c>
      <c r="AO44" s="218">
        <f t="shared" si="72"/>
        <v>-9.4509999999999934</v>
      </c>
      <c r="AP44" s="916">
        <v>-77.605999999999995</v>
      </c>
      <c r="AR44" s="230"/>
      <c r="AS44" s="230"/>
      <c r="AV44" s="230"/>
      <c r="AW44" s="230"/>
      <c r="AZ44" s="230"/>
      <c r="BA44" s="230"/>
      <c r="BD44" s="230"/>
      <c r="BE44" s="230"/>
      <c r="BH44" s="230"/>
      <c r="BI44" s="230"/>
      <c r="BL44" s="230"/>
      <c r="BM44" s="230"/>
      <c r="BP44" s="230"/>
      <c r="BQ44" s="230"/>
      <c r="BT44" s="230"/>
      <c r="BU44" s="230"/>
      <c r="BX44" s="230"/>
      <c r="BY44" s="230"/>
    </row>
    <row r="45" spans="1:78" s="161" customFormat="1">
      <c r="A45" s="148"/>
      <c r="B45" s="242" t="s">
        <v>207</v>
      </c>
      <c r="D45" s="230">
        <f>28.93+2.424-0.291+2.624</f>
        <v>33.686999999999998</v>
      </c>
      <c r="E45" s="161">
        <f t="shared" si="63"/>
        <v>1.5929999999999964</v>
      </c>
      <c r="F45" s="230">
        <f>2.425-0.291+30.432+2.714</f>
        <v>35.279999999999994</v>
      </c>
      <c r="H45" s="230">
        <f>-0.165+5.213+0.9</f>
        <v>5.9480000000000004</v>
      </c>
      <c r="I45" s="161">
        <f t="shared" si="64"/>
        <v>0.57099999999999884</v>
      </c>
      <c r="J45" s="230">
        <f>6.624-0.165+0.06</f>
        <v>6.5189999999999992</v>
      </c>
      <c r="L45" s="230">
        <v>0</v>
      </c>
      <c r="M45" s="161">
        <f t="shared" si="65"/>
        <v>-8.282</v>
      </c>
      <c r="N45" s="230">
        <f>1.639-10.327+0.038+0.368</f>
        <v>-8.282</v>
      </c>
      <c r="P45" s="230">
        <v>0</v>
      </c>
      <c r="Q45" s="161">
        <f t="shared" si="66"/>
        <v>6.6619999999999999</v>
      </c>
      <c r="R45" s="230">
        <f>3.4+3.262</f>
        <v>6.6619999999999999</v>
      </c>
      <c r="T45" s="230">
        <f>1.934+1.25-3.973</f>
        <v>-0.7889999999999997</v>
      </c>
      <c r="U45" s="161">
        <f t="shared" si="67"/>
        <v>5.2799999999999994</v>
      </c>
      <c r="V45" s="230">
        <v>4.4909999999999997</v>
      </c>
      <c r="W45" s="218"/>
      <c r="X45" s="230">
        <v>1.417</v>
      </c>
      <c r="Y45" s="161">
        <f t="shared" si="68"/>
        <v>0.68899999999999983</v>
      </c>
      <c r="Z45" s="230">
        <v>2.1059999999999999</v>
      </c>
      <c r="AA45" s="218"/>
      <c r="AB45" s="230">
        <v>0.77400000000000002</v>
      </c>
      <c r="AC45" s="161">
        <f t="shared" si="69"/>
        <v>7.3500000000000005</v>
      </c>
      <c r="AD45" s="230">
        <v>8.1240000000000006</v>
      </c>
      <c r="AE45" s="218"/>
      <c r="AF45" s="181">
        <v>-13.958</v>
      </c>
      <c r="AG45" s="161">
        <f t="shared" si="70"/>
        <v>56.092999999999996</v>
      </c>
      <c r="AH45" s="181">
        <v>42.134999999999998</v>
      </c>
      <c r="AI45" s="218"/>
      <c r="AJ45" s="230">
        <v>1.75</v>
      </c>
      <c r="AK45" s="218">
        <f t="shared" si="71"/>
        <v>0</v>
      </c>
      <c r="AL45" s="230">
        <v>1.75</v>
      </c>
      <c r="AN45" s="181">
        <v>0.218</v>
      </c>
      <c r="AO45" s="218">
        <f t="shared" si="72"/>
        <v>0</v>
      </c>
      <c r="AP45" s="916">
        <v>0.218</v>
      </c>
    </row>
    <row r="46" spans="1:78" s="161" customFormat="1">
      <c r="A46" s="148"/>
      <c r="B46" s="242" t="s">
        <v>208</v>
      </c>
      <c r="D46" s="230">
        <v>0</v>
      </c>
      <c r="E46" s="161">
        <f t="shared" si="63"/>
        <v>0</v>
      </c>
      <c r="F46" s="230">
        <v>0</v>
      </c>
      <c r="H46" s="230">
        <v>0</v>
      </c>
      <c r="I46" s="161">
        <f t="shared" si="64"/>
        <v>0</v>
      </c>
      <c r="J46" s="230">
        <v>0</v>
      </c>
      <c r="L46" s="230">
        <f>-4.491+1.639</f>
        <v>-2.8519999999999994</v>
      </c>
      <c r="M46" s="161">
        <f t="shared" si="65"/>
        <v>2.8519999999999994</v>
      </c>
      <c r="N46" s="381">
        <v>0</v>
      </c>
      <c r="P46" s="230">
        <f>-5.653+3.262</f>
        <v>-2.3909999999999996</v>
      </c>
      <c r="Q46" s="161">
        <f t="shared" si="66"/>
        <v>-1.5430000000000006</v>
      </c>
      <c r="R46" s="230">
        <v>-3.9340000000000002</v>
      </c>
      <c r="T46" s="230">
        <v>-2.2509999999999999</v>
      </c>
      <c r="U46" s="161">
        <f t="shared" si="67"/>
        <v>-3.1469999999999998</v>
      </c>
      <c r="V46" s="230">
        <v>-5.3979999999999997</v>
      </c>
      <c r="W46" s="218"/>
      <c r="X46" s="230">
        <v>-1.407</v>
      </c>
      <c r="Y46" s="161">
        <f t="shared" si="68"/>
        <v>-0.77899999999999991</v>
      </c>
      <c r="Z46" s="230">
        <v>-2.1859999999999999</v>
      </c>
      <c r="AA46" s="218"/>
      <c r="AB46" s="230">
        <v>-4.1529999999999996</v>
      </c>
      <c r="AC46" s="161">
        <f t="shared" si="69"/>
        <v>-1.0260000000000007</v>
      </c>
      <c r="AD46" s="230">
        <v>-5.1790000000000003</v>
      </c>
      <c r="AE46" s="218"/>
      <c r="AF46" s="181">
        <v>-1.1599999999999999</v>
      </c>
      <c r="AG46" s="161">
        <f t="shared" si="70"/>
        <v>-14.917999999999999</v>
      </c>
      <c r="AH46" s="181">
        <v>-16.077999999999999</v>
      </c>
      <c r="AI46" s="218"/>
      <c r="AJ46" s="230">
        <v>-26.617999999999999</v>
      </c>
      <c r="AK46" s="218">
        <f t="shared" si="71"/>
        <v>0.1059999999999981</v>
      </c>
      <c r="AL46" s="230">
        <v>-26.512</v>
      </c>
      <c r="AN46" s="181">
        <v>0</v>
      </c>
      <c r="AO46" s="218">
        <f t="shared" si="72"/>
        <v>-132.39400000000001</v>
      </c>
      <c r="AP46" s="916">
        <v>-132.39400000000001</v>
      </c>
      <c r="AR46" s="230"/>
      <c r="AS46" s="230"/>
      <c r="AV46" s="230"/>
      <c r="AW46" s="230"/>
      <c r="AZ46" s="230"/>
      <c r="BA46" s="230"/>
      <c r="BD46" s="230"/>
      <c r="BE46" s="230"/>
      <c r="BH46" s="230"/>
      <c r="BI46" s="230"/>
      <c r="BL46" s="230"/>
      <c r="BM46" s="230"/>
      <c r="BP46" s="230"/>
      <c r="BQ46" s="230"/>
      <c r="BT46" s="230"/>
      <c r="BU46" s="230"/>
      <c r="BX46" s="230"/>
      <c r="BY46" s="230"/>
    </row>
    <row r="47" spans="1:78" s="161" customFormat="1">
      <c r="A47" s="148"/>
      <c r="B47" s="148" t="s">
        <v>209</v>
      </c>
      <c r="D47" s="230">
        <v>0</v>
      </c>
      <c r="E47" s="161">
        <f t="shared" si="63"/>
        <v>0</v>
      </c>
      <c r="F47" s="230">
        <v>0</v>
      </c>
      <c r="H47" s="230">
        <v>0</v>
      </c>
      <c r="I47" s="161">
        <f t="shared" si="64"/>
        <v>0</v>
      </c>
      <c r="J47" s="230">
        <v>0</v>
      </c>
      <c r="L47" s="230">
        <v>-1.393</v>
      </c>
      <c r="M47" s="161">
        <f t="shared" si="65"/>
        <v>0.93300000000000005</v>
      </c>
      <c r="N47" s="230">
        <v>-0.46</v>
      </c>
      <c r="P47" s="230">
        <v>-3.617</v>
      </c>
      <c r="Q47" s="161">
        <f t="shared" si="66"/>
        <v>-1.0839999999999996</v>
      </c>
      <c r="R47" s="230">
        <f>0.327-5.028</f>
        <v>-4.7009999999999996</v>
      </c>
      <c r="T47" s="230">
        <v>0</v>
      </c>
      <c r="U47" s="161">
        <f t="shared" si="67"/>
        <v>-2.7330000000000001</v>
      </c>
      <c r="V47" s="230">
        <v>-2.7330000000000001</v>
      </c>
      <c r="W47" s="218"/>
      <c r="X47" s="230">
        <v>-1.385</v>
      </c>
      <c r="Y47" s="161">
        <f t="shared" si="68"/>
        <v>-0.80700000000000016</v>
      </c>
      <c r="Z47" s="230">
        <v>-2.1920000000000002</v>
      </c>
      <c r="AA47" s="218"/>
      <c r="AB47" s="230">
        <v>-0.22900000000000001</v>
      </c>
      <c r="AC47" s="161">
        <f t="shared" si="69"/>
        <v>-0.29400000000000004</v>
      </c>
      <c r="AD47" s="230">
        <v>-0.52300000000000002</v>
      </c>
      <c r="AE47" s="218"/>
      <c r="AF47" s="181">
        <v>-1.5669999999999999</v>
      </c>
      <c r="AG47" s="161">
        <f t="shared" si="70"/>
        <v>-2.74</v>
      </c>
      <c r="AH47" s="181">
        <v>-4.3070000000000004</v>
      </c>
      <c r="AI47" s="218"/>
      <c r="AJ47" s="230">
        <v>-5.1340000000000003</v>
      </c>
      <c r="AK47" s="218">
        <f t="shared" si="71"/>
        <v>-3.4480000000000004</v>
      </c>
      <c r="AL47" s="230">
        <v>-8.5820000000000007</v>
      </c>
      <c r="AN47" s="181">
        <v>-1.2629999999999999</v>
      </c>
      <c r="AO47" s="218">
        <f t="shared" si="72"/>
        <v>-5.600000000000005E-2</v>
      </c>
      <c r="AP47" s="916">
        <v>-1.319</v>
      </c>
    </row>
    <row r="48" spans="1:78" s="161" customFormat="1">
      <c r="A48" s="148"/>
      <c r="B48" s="242" t="s">
        <v>210</v>
      </c>
      <c r="D48" s="230">
        <v>0</v>
      </c>
      <c r="E48" s="161">
        <f t="shared" si="63"/>
        <v>1.4E-2</v>
      </c>
      <c r="F48" s="230">
        <v>1.4E-2</v>
      </c>
      <c r="H48" s="230">
        <v>0</v>
      </c>
      <c r="I48" s="161">
        <f t="shared" si="64"/>
        <v>2E-3</v>
      </c>
      <c r="J48" s="230">
        <v>2E-3</v>
      </c>
      <c r="L48" s="230">
        <v>0.69399999999999995</v>
      </c>
      <c r="M48" s="161">
        <f t="shared" si="65"/>
        <v>-0.69799999999999995</v>
      </c>
      <c r="N48" s="230">
        <v>-4.0000000000000001E-3</v>
      </c>
      <c r="P48" s="230">
        <v>1.9470000000000001</v>
      </c>
      <c r="Q48" s="161">
        <f t="shared" si="66"/>
        <v>-1.9420000000000002</v>
      </c>
      <c r="R48" s="230">
        <v>5.0000000000000001E-3</v>
      </c>
      <c r="T48" s="230">
        <v>0</v>
      </c>
      <c r="U48" s="161">
        <f t="shared" si="67"/>
        <v>0.73899999999999999</v>
      </c>
      <c r="V48" s="230">
        <v>0.73899999999999999</v>
      </c>
      <c r="W48" s="218"/>
      <c r="X48" s="230">
        <v>0</v>
      </c>
      <c r="Y48" s="161">
        <f t="shared" si="68"/>
        <v>0.82799999999999996</v>
      </c>
      <c r="Z48" s="230">
        <v>0.82799999999999996</v>
      </c>
      <c r="AA48" s="218"/>
      <c r="AB48" s="230">
        <v>0</v>
      </c>
      <c r="AC48" s="161">
        <f t="shared" si="69"/>
        <v>0.53300000000000003</v>
      </c>
      <c r="AD48" s="230">
        <v>0.53300000000000003</v>
      </c>
      <c r="AE48" s="218"/>
      <c r="AF48" s="181">
        <v>0</v>
      </c>
      <c r="AG48" s="161">
        <f t="shared" si="70"/>
        <v>0</v>
      </c>
      <c r="AH48" s="181">
        <v>0</v>
      </c>
      <c r="AI48" s="218"/>
      <c r="AJ48" s="230">
        <v>0</v>
      </c>
      <c r="AK48" s="218">
        <f t="shared" si="71"/>
        <v>0</v>
      </c>
      <c r="AL48" s="230">
        <v>0</v>
      </c>
      <c r="AN48" s="181">
        <v>0</v>
      </c>
      <c r="AO48" s="218">
        <f t="shared" si="72"/>
        <v>0</v>
      </c>
      <c r="AP48" s="916">
        <v>0</v>
      </c>
      <c r="AR48" s="230"/>
      <c r="AS48" s="230"/>
      <c r="AV48" s="230"/>
      <c r="AW48" s="230"/>
      <c r="AZ48" s="230"/>
      <c r="BA48" s="230"/>
      <c r="BD48" s="230"/>
      <c r="BE48" s="230"/>
      <c r="BH48" s="230"/>
      <c r="BI48" s="230"/>
      <c r="BL48" s="230"/>
      <c r="BM48" s="230"/>
      <c r="BP48" s="230"/>
      <c r="BQ48" s="230"/>
      <c r="BT48" s="230"/>
      <c r="BU48" s="230"/>
      <c r="BX48" s="230"/>
      <c r="BY48" s="230"/>
    </row>
    <row r="49" spans="1:78" s="161" customFormat="1">
      <c r="A49" s="148"/>
      <c r="B49" s="148" t="s">
        <v>212</v>
      </c>
      <c r="D49" s="230">
        <v>-1.1060000000000001</v>
      </c>
      <c r="E49" s="161">
        <f t="shared" si="63"/>
        <v>-3.7309999999999999</v>
      </c>
      <c r="F49" s="230">
        <f>0.195-5.032</f>
        <v>-4.8369999999999997</v>
      </c>
      <c r="H49" s="230">
        <f>0.043+0.139-3.058</f>
        <v>-2.8759999999999999</v>
      </c>
      <c r="I49" s="161">
        <f t="shared" si="64"/>
        <v>-3.2550000000000003</v>
      </c>
      <c r="J49" s="230">
        <f>0.326-6.457</f>
        <v>-6.1310000000000002</v>
      </c>
      <c r="L49" s="230">
        <f>-0.057+0.09-1.982</f>
        <v>-1.9490000000000001</v>
      </c>
      <c r="M49" s="161">
        <f t="shared" si="65"/>
        <v>-3.125</v>
      </c>
      <c r="N49" s="230">
        <f>0.659-5.733</f>
        <v>-5.0739999999999998</v>
      </c>
      <c r="P49" s="230">
        <f>-0.054+0.504-1.953</f>
        <v>-1.5030000000000001</v>
      </c>
      <c r="Q49" s="161">
        <f t="shared" si="66"/>
        <v>-4.8979999999999997</v>
      </c>
      <c r="R49" s="230">
        <f>0.77-7.171</f>
        <v>-6.4009999999999998</v>
      </c>
      <c r="T49" s="230">
        <v>-2.242</v>
      </c>
      <c r="U49" s="161">
        <f t="shared" si="67"/>
        <v>1.73</v>
      </c>
      <c r="V49" s="230">
        <v>-0.51200000000000001</v>
      </c>
      <c r="W49" s="218"/>
      <c r="X49" s="230">
        <v>-2.5659999999999998</v>
      </c>
      <c r="Y49" s="161">
        <f t="shared" si="68"/>
        <v>1.867</v>
      </c>
      <c r="Z49" s="230">
        <v>-0.69899999999999995</v>
      </c>
      <c r="AA49" s="218"/>
      <c r="AB49" s="230">
        <v>-0.98699999999999999</v>
      </c>
      <c r="AC49" s="161">
        <f t="shared" si="69"/>
        <v>-1.206</v>
      </c>
      <c r="AD49" s="230">
        <v>-2.1930000000000001</v>
      </c>
      <c r="AE49" s="218"/>
      <c r="AF49" s="181">
        <v>0</v>
      </c>
      <c r="AG49" s="161">
        <f t="shared" si="70"/>
        <v>-0.749</v>
      </c>
      <c r="AH49" s="181">
        <v>-0.749</v>
      </c>
      <c r="AI49" s="218"/>
      <c r="AJ49" s="230">
        <v>-3.0259999999999998</v>
      </c>
      <c r="AK49" s="218">
        <f t="shared" si="71"/>
        <v>-3.3730000000000002</v>
      </c>
      <c r="AL49" s="230">
        <v>-6.399</v>
      </c>
      <c r="AN49" s="181">
        <v>-2.3660000000000001</v>
      </c>
      <c r="AO49" s="218">
        <f t="shared" si="72"/>
        <v>-2.2629999999999995</v>
      </c>
      <c r="AP49" s="916">
        <v>-4.6289999999999996</v>
      </c>
    </row>
    <row r="50" spans="1:78" s="161" customFormat="1">
      <c r="A50" s="148"/>
      <c r="B50" s="242" t="s">
        <v>211</v>
      </c>
      <c r="D50" s="230">
        <v>-2.1920000000000002</v>
      </c>
      <c r="E50" s="161">
        <f t="shared" si="63"/>
        <v>1.6910000000000003</v>
      </c>
      <c r="F50" s="230">
        <f>-2.316+1.815</f>
        <v>-0.50099999999999989</v>
      </c>
      <c r="H50" s="230">
        <f>0.019-0.06</f>
        <v>-4.0999999999999995E-2</v>
      </c>
      <c r="I50" s="161">
        <f t="shared" si="64"/>
        <v>0.16399999999999998</v>
      </c>
      <c r="J50" s="230">
        <v>0.123</v>
      </c>
      <c r="L50" s="230">
        <f>0.059-0.565</f>
        <v>-0.50600000000000001</v>
      </c>
      <c r="M50" s="161">
        <f t="shared" si="65"/>
        <v>0.60899999999999999</v>
      </c>
      <c r="N50" s="230">
        <v>0.10299999999999999</v>
      </c>
      <c r="P50" s="230">
        <f>0.014-0.684-0.38</f>
        <v>-1.05</v>
      </c>
      <c r="Q50" s="161">
        <f t="shared" si="66"/>
        <v>-0.58799999999999986</v>
      </c>
      <c r="R50" s="230">
        <f>0.028-1.666</f>
        <v>-1.6379999999999999</v>
      </c>
      <c r="T50" s="230">
        <v>0.82099999999999995</v>
      </c>
      <c r="U50" s="161">
        <f t="shared" si="67"/>
        <v>-1.5840000000000001</v>
      </c>
      <c r="V50" s="230">
        <v>-0.76300000000000001</v>
      </c>
      <c r="W50" s="218"/>
      <c r="X50" s="230">
        <v>1.264</v>
      </c>
      <c r="Y50" s="161">
        <f t="shared" si="68"/>
        <v>2.1870000000000003</v>
      </c>
      <c r="Z50" s="230">
        <v>3.4510000000000001</v>
      </c>
      <c r="AA50" s="218"/>
      <c r="AB50" s="230">
        <v>1.5820000000000001</v>
      </c>
      <c r="AC50" s="161">
        <f t="shared" si="69"/>
        <v>0.91799999999999993</v>
      </c>
      <c r="AD50" s="230">
        <v>2.5</v>
      </c>
      <c r="AE50" s="218"/>
      <c r="AF50" s="181">
        <v>4.7489999999999997</v>
      </c>
      <c r="AG50" s="161">
        <f t="shared" si="70"/>
        <v>-4.9079999999999995</v>
      </c>
      <c r="AH50" s="181">
        <v>-0.159</v>
      </c>
      <c r="AI50" s="218"/>
      <c r="AJ50" s="230">
        <v>-0.34100000000000003</v>
      </c>
      <c r="AK50" s="218">
        <f t="shared" si="71"/>
        <v>1.6850000000000001</v>
      </c>
      <c r="AL50" s="230">
        <v>1.3440000000000001</v>
      </c>
      <c r="AN50" s="181">
        <v>1.738</v>
      </c>
      <c r="AO50" s="218">
        <f t="shared" si="72"/>
        <v>-4.7320000000000002</v>
      </c>
      <c r="AP50" s="916">
        <v>-2.9940000000000002</v>
      </c>
      <c r="AR50" s="230"/>
      <c r="AS50" s="230"/>
      <c r="AV50" s="230"/>
      <c r="AW50" s="230"/>
      <c r="AZ50" s="230"/>
      <c r="BA50" s="230"/>
      <c r="BD50" s="230"/>
      <c r="BE50" s="230"/>
      <c r="BH50" s="230"/>
      <c r="BI50" s="230"/>
      <c r="BL50" s="230"/>
      <c r="BM50" s="230"/>
      <c r="BP50" s="230"/>
      <c r="BQ50" s="230"/>
      <c r="BT50" s="230"/>
      <c r="BU50" s="230"/>
      <c r="BX50" s="230"/>
      <c r="BY50" s="230"/>
    </row>
    <row r="51" spans="1:78" s="140" customFormat="1">
      <c r="A51" s="149"/>
      <c r="B51" s="149" t="s">
        <v>213</v>
      </c>
      <c r="D51" s="219">
        <f>SUM(D41:D50)</f>
        <v>-30.622999999999998</v>
      </c>
      <c r="E51" s="219">
        <f>SUM(E41:E50)</f>
        <v>5.225999999999992</v>
      </c>
      <c r="F51" s="219">
        <f>SUM(F41:F50)</f>
        <v>-25.397000000000009</v>
      </c>
      <c r="H51" s="219">
        <f>SUM(H41:H50)</f>
        <v>0.52300000000000046</v>
      </c>
      <c r="I51" s="219">
        <f>SUM(I41:I50)</f>
        <v>-9.4880000000000031</v>
      </c>
      <c r="J51" s="219">
        <f>SUM(J41:J50)</f>
        <v>-8.9650000000000016</v>
      </c>
      <c r="L51" s="219">
        <f>SUM(L41:L50)</f>
        <v>-17.994000000000003</v>
      </c>
      <c r="M51" s="219">
        <f>SUM(M41:M50)</f>
        <v>-10.17</v>
      </c>
      <c r="N51" s="219">
        <f>SUM(N41:N50)</f>
        <v>-28.164000000000001</v>
      </c>
      <c r="P51" s="219">
        <f>SUM(P41:P50)</f>
        <v>-5.6749999999999989</v>
      </c>
      <c r="Q51" s="219">
        <f>SUM(Q41:Q50)</f>
        <v>-18.834000000000003</v>
      </c>
      <c r="R51" s="219">
        <f>SUM(R41:R50)</f>
        <v>-24.509</v>
      </c>
      <c r="T51" s="219">
        <f>SUM(T41:T50)</f>
        <v>-9.4169999999999998</v>
      </c>
      <c r="U51" s="219">
        <f>SUM(U41:U50)</f>
        <v>-144.44</v>
      </c>
      <c r="V51" s="219">
        <f>SUM(V41:V50)</f>
        <v>-153.857</v>
      </c>
      <c r="W51" s="219"/>
      <c r="X51" s="219">
        <f>SUM(X41:X50)</f>
        <v>-18.463999999999999</v>
      </c>
      <c r="Y51" s="219">
        <f>SUM(Y41:Y50)</f>
        <v>41.696999999999996</v>
      </c>
      <c r="Z51" s="219">
        <f>SUM(Z41:Z50)</f>
        <v>23.232999999999997</v>
      </c>
      <c r="AA51" s="219"/>
      <c r="AB51" s="219">
        <f>SUM(AB41:AB50)</f>
        <v>-19.000999999999994</v>
      </c>
      <c r="AC51" s="219">
        <f>SUM(AC41:AC50)</f>
        <v>131.48799999999997</v>
      </c>
      <c r="AD51" s="219">
        <f>SUM(AD41:AD50)</f>
        <v>112.48699999999999</v>
      </c>
      <c r="AE51" s="219"/>
      <c r="AF51" s="219">
        <f>SUM(AF41:AF50)</f>
        <v>-123.73099999999999</v>
      </c>
      <c r="AG51" s="219">
        <f>SUM(AG41:AG50)</f>
        <v>-13.123000000000006</v>
      </c>
      <c r="AH51" s="219">
        <f>SUM(AH41:AH50)</f>
        <v>-136.85399999999998</v>
      </c>
      <c r="AI51" s="219"/>
      <c r="AJ51" s="219">
        <f>SUM(AJ41:AJ50)</f>
        <v>-59.234999999999992</v>
      </c>
      <c r="AK51" s="219">
        <f>SUM(AK41:AK50)</f>
        <v>-23.577999999999999</v>
      </c>
      <c r="AL51" s="219">
        <f>SUM(AL41:AL50)</f>
        <v>-82.813000000000017</v>
      </c>
      <c r="AM51" s="258"/>
      <c r="AN51" s="140">
        <f>SUM(AN41:AN50)</f>
        <v>-249.24100000000004</v>
      </c>
      <c r="AO51" s="219">
        <f>SUM(AO41:AO50)</f>
        <v>-116.526</v>
      </c>
      <c r="AP51" s="219">
        <f>SUM(AP41:AP50)</f>
        <v>-365.76700000000011</v>
      </c>
      <c r="AQ51" s="258"/>
      <c r="AR51" s="415">
        <f>AR63</f>
        <v>65.208734819651227</v>
      </c>
      <c r="AS51" s="415">
        <f>AS63</f>
        <v>59.408000097354652</v>
      </c>
      <c r="AT51" s="415">
        <f t="shared" ref="AT51" si="73">+AS51+AR51</f>
        <v>124.61673491700589</v>
      </c>
      <c r="AU51" s="258"/>
      <c r="AV51" s="415">
        <f>AV63</f>
        <v>9.1360497797055693</v>
      </c>
      <c r="AW51" s="415">
        <f>AW63</f>
        <v>63.135294619974204</v>
      </c>
      <c r="AX51" s="415">
        <f t="shared" ref="AX51" si="74">+AW51+AV51</f>
        <v>72.271344399679776</v>
      </c>
      <c r="AY51" s="258"/>
      <c r="AZ51" s="415">
        <f>AZ63</f>
        <v>9.1482534285623913</v>
      </c>
      <c r="BA51" s="415">
        <f>BA63</f>
        <v>64.719523520783838</v>
      </c>
      <c r="BB51" s="415">
        <f t="shared" ref="BB51" si="75">+BA51+AZ51</f>
        <v>73.867776949346222</v>
      </c>
      <c r="BC51" s="258"/>
      <c r="BD51" s="415">
        <f>BD63</f>
        <v>5.8003908734033622</v>
      </c>
      <c r="BE51" s="415">
        <f>BE63</f>
        <v>69.49008811042512</v>
      </c>
      <c r="BF51" s="415">
        <f t="shared" ref="BF51" si="76">+BE51+BD51</f>
        <v>75.290478983828478</v>
      </c>
      <c r="BG51" s="258"/>
      <c r="BH51" s="415">
        <f>BH63</f>
        <v>3.3162430395180387</v>
      </c>
      <c r="BI51" s="415">
        <f>BI63</f>
        <v>72.165449580290698</v>
      </c>
      <c r="BJ51" s="415">
        <f t="shared" ref="BJ51" si="77">+BI51+BH51</f>
        <v>75.48169261980874</v>
      </c>
      <c r="BK51" s="258"/>
      <c r="BL51" s="415">
        <f>BL63</f>
        <v>1.89657890549962</v>
      </c>
      <c r="BM51" s="415">
        <f>BM63</f>
        <v>74.949506555038568</v>
      </c>
      <c r="BN51" s="415">
        <f t="shared" ref="BN51" si="78">+BM51+BL51</f>
        <v>76.846085460538191</v>
      </c>
      <c r="BO51" s="258"/>
      <c r="BP51" s="415">
        <f>BP63</f>
        <v>1.5864704786198196</v>
      </c>
      <c r="BQ51" s="415">
        <f>BQ63</f>
        <v>75.281457205117334</v>
      </c>
      <c r="BR51" s="415">
        <f t="shared" ref="BR51" si="79">+BQ51+BP51</f>
        <v>76.86792768373715</v>
      </c>
      <c r="BS51" s="258"/>
      <c r="BT51" s="415">
        <f>BT63</f>
        <v>0.10777853579358521</v>
      </c>
      <c r="BU51" s="415">
        <f>BU63</f>
        <v>80.861965823005846</v>
      </c>
      <c r="BV51" s="415">
        <f t="shared" ref="BV51" si="80">+BU51+BT51</f>
        <v>80.969744358799431</v>
      </c>
      <c r="BW51" s="258"/>
      <c r="BX51" s="415">
        <f>BX63</f>
        <v>-2.9857033606370393</v>
      </c>
      <c r="BY51" s="415">
        <f>BY63</f>
        <v>83.999941499625038</v>
      </c>
      <c r="BZ51" s="415">
        <f t="shared" ref="BZ51" si="81">+BY51+BX51</f>
        <v>81.014238138987992</v>
      </c>
    </row>
    <row r="52" spans="1:78" s="161" customFormat="1">
      <c r="A52" s="148"/>
      <c r="B52" s="148"/>
      <c r="F52" s="218"/>
      <c r="J52" s="218"/>
      <c r="N52" s="218"/>
      <c r="R52" s="218"/>
      <c r="V52" s="218"/>
      <c r="W52" s="218"/>
      <c r="Z52" s="218"/>
      <c r="AA52" s="218"/>
      <c r="AB52" s="218"/>
      <c r="AE52" s="218"/>
      <c r="AF52" s="218"/>
      <c r="AI52" s="218"/>
      <c r="AJ52" s="218"/>
      <c r="AK52" s="218"/>
      <c r="AL52" s="218"/>
    </row>
    <row r="53" spans="1:78" ht="14.4">
      <c r="B53" s="510" t="s">
        <v>441</v>
      </c>
      <c r="T53" s="258"/>
      <c r="U53" s="258"/>
      <c r="X53" s="258"/>
      <c r="Y53" s="258"/>
      <c r="AB53" s="258"/>
      <c r="AC53" s="258"/>
      <c r="AF53" s="258"/>
      <c r="AG53" s="258"/>
      <c r="AJ53" s="258"/>
      <c r="AK53" s="257"/>
      <c r="AL53" s="256"/>
      <c r="AM53" s="258"/>
      <c r="AN53" s="258"/>
      <c r="AO53" s="258"/>
      <c r="AP53" s="258"/>
      <c r="AQ53" s="258"/>
      <c r="AR53" s="258"/>
      <c r="AS53" s="258"/>
      <c r="AT53" s="258"/>
      <c r="AU53" s="258"/>
      <c r="AV53" s="258"/>
      <c r="AW53" s="258"/>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58"/>
      <c r="BY53" s="258"/>
      <c r="BZ53" s="258"/>
    </row>
    <row r="54" spans="1:78">
      <c r="B54" s="448" t="s">
        <v>450</v>
      </c>
      <c r="P54" s="258">
        <f>-(BS!P22-BS!M22)</f>
        <v>21.037000000000006</v>
      </c>
      <c r="Q54" s="258">
        <f>-(BS!Q22-BS!P22)</f>
        <v>7.3979999999999961</v>
      </c>
      <c r="T54" s="258">
        <f>-(BS!T22-BS!Q22)</f>
        <v>8.2000000000007844E-2</v>
      </c>
      <c r="U54" s="258">
        <f>-(BS!U22-BS!T22)</f>
        <v>-143.67000000000002</v>
      </c>
      <c r="X54" s="258">
        <f>-(BS!X22-BS!U22)</f>
        <v>3.7099999999999795</v>
      </c>
      <c r="Y54" s="258">
        <f>-(BS!Y22-BS!X22)</f>
        <v>-13.311999999999955</v>
      </c>
      <c r="AB54" s="258">
        <f>-(BS!AB22-BS!Y22)</f>
        <v>5.0439999999999827</v>
      </c>
      <c r="AC54" s="258">
        <f>-(BS!AC22-BS!AB22)</f>
        <v>25.498999999999995</v>
      </c>
      <c r="AD54" s="258">
        <f>SUM(AB54:AC54)</f>
        <v>30.542999999999978</v>
      </c>
      <c r="AF54" s="258">
        <f>-(BS!AF22-BS!AC22)</f>
        <v>0.3019999999999925</v>
      </c>
      <c r="AG54" s="258">
        <f>-(BS!AG22-BS!AF22)</f>
        <v>11.271999999999991</v>
      </c>
      <c r="AH54" s="258">
        <f>SUM(AF54:AG54)</f>
        <v>11.573999999999984</v>
      </c>
      <c r="AJ54" s="258">
        <f>-(BS!AJ22-BS!AG22)</f>
        <v>-10.257999999999981</v>
      </c>
      <c r="AK54" s="257">
        <f>-(BS!AK22-BS!AJ22)</f>
        <v>-2.1270000000000095</v>
      </c>
      <c r="AL54" s="257">
        <f>SUM(AJ54:AK54)</f>
        <v>-12.384999999999991</v>
      </c>
      <c r="AM54" s="258"/>
      <c r="AN54" s="258">
        <f>-(BS!AN22-BS!AK22)</f>
        <v>-62.27800000000002</v>
      </c>
      <c r="AO54" s="257">
        <f>-(BS!AO22-BS!AN22)</f>
        <v>11.334000000000003</v>
      </c>
      <c r="AP54" s="257">
        <f>SUM(AN54:AO54)</f>
        <v>-50.944000000000017</v>
      </c>
      <c r="AQ54" s="258"/>
      <c r="AR54" s="258">
        <f>-(BS!AR22-BS!AO22)</f>
        <v>13.926943732256007</v>
      </c>
      <c r="AS54" s="258">
        <f>-(BS!AS22-BS!AR22)</f>
        <v>14.044333767744035</v>
      </c>
      <c r="AT54" s="258">
        <f t="shared" ref="AT54:AT62" si="82">SUM(AR54:AS54)</f>
        <v>27.971277500000042</v>
      </c>
      <c r="AU54" s="258"/>
      <c r="AV54" s="258">
        <f>-(BS!AV22-BS!AS22)</f>
        <v>13.904897430836456</v>
      </c>
      <c r="AW54" s="258">
        <f>-(BS!AW22-BS!AV22)</f>
        <v>14.138822769163539</v>
      </c>
      <c r="AX54" s="258">
        <f t="shared" ref="AX54:AX62" si="83">SUM(AV54:AW54)</f>
        <v>28.043720199999996</v>
      </c>
      <c r="AY54" s="258"/>
      <c r="AZ54" s="258">
        <f>-(BS!AZ22-BS!AW22)</f>
        <v>13.970850371303413</v>
      </c>
      <c r="BA54" s="258">
        <f>-(BS!BA22-BS!AZ22)</f>
        <v>14.223489736696592</v>
      </c>
      <c r="BB54" s="258">
        <f t="shared" ref="BB54:BB62" si="84">SUM(AZ54:BA54)</f>
        <v>28.194340108000006</v>
      </c>
      <c r="BC54" s="258"/>
      <c r="BD54" s="258">
        <f>-(BS!BD22-BS!BA22)</f>
        <v>14.024350769927651</v>
      </c>
      <c r="BE54" s="258">
        <f>-(BS!BE22-BS!BD22)</f>
        <v>14.29720128455233</v>
      </c>
      <c r="BF54" s="258">
        <f t="shared" ref="BF54:BF62" si="85">SUM(BD54:BE54)</f>
        <v>28.32155205447998</v>
      </c>
      <c r="BG54" s="258"/>
      <c r="BH54" s="258">
        <f>-(BS!BH22-BS!BE22)</f>
        <v>14.064047847820291</v>
      </c>
      <c r="BI54" s="258">
        <f>-(BS!BI22-BS!BH22)</f>
        <v>14.358726403614895</v>
      </c>
      <c r="BJ54" s="258">
        <f t="shared" ref="BJ54:BJ62" si="86">SUM(BH54:BI54)</f>
        <v>28.422774251435186</v>
      </c>
      <c r="BK54" s="258"/>
      <c r="BL54" s="258">
        <f>-(BS!BL22-BS!BI22)</f>
        <v>14.088475672270249</v>
      </c>
      <c r="BM54" s="258">
        <f>-(BS!BM22-BS!BL22)</f>
        <v>14.406728512528446</v>
      </c>
      <c r="BN54" s="258">
        <f t="shared" ref="BN54:BN62" si="87">SUM(BL54:BM54)</f>
        <v>28.495204184798695</v>
      </c>
      <c r="BO54" s="258"/>
      <c r="BP54" s="258">
        <f>-(BS!BP22-BS!BM22)</f>
        <v>14.096043802608733</v>
      </c>
      <c r="BQ54" s="258">
        <f>-(BS!BQ22-BS!BP22)</f>
        <v>14.439756870087606</v>
      </c>
      <c r="BR54" s="258">
        <f t="shared" ref="BR54:BR62" si="88">SUM(BP54:BQ54)</f>
        <v>28.53580067269634</v>
      </c>
      <c r="BS54" s="258"/>
      <c r="BT54" s="258">
        <f>-(BS!BT22-BS!BQ22)</f>
        <v>14.085027184905442</v>
      </c>
      <c r="BU54" s="258">
        <f>-(BS!BU22-BS!BT22)</f>
        <v>14.456237297782607</v>
      </c>
      <c r="BV54" s="258">
        <f t="shared" ref="BV54:BV57" si="89">SUM(BT54:BU54)</f>
        <v>28.541264482688049</v>
      </c>
      <c r="BW54" s="258"/>
      <c r="BX54" s="258">
        <f>-(BS!BX22-BS!BU22)</f>
        <v>14.053555235347631</v>
      </c>
      <c r="BY54" s="258">
        <f>-(BS!BY22-BS!BX22)</f>
        <v>14.454462157254973</v>
      </c>
      <c r="BZ54" s="258">
        <f t="shared" ref="BZ54:BZ57" si="90">SUM(BX54:BY54)</f>
        <v>28.508017392602603</v>
      </c>
    </row>
    <row r="55" spans="1:78">
      <c r="B55" s="148" t="s">
        <v>486</v>
      </c>
      <c r="P55" s="258"/>
      <c r="Q55" s="258"/>
      <c r="T55" s="258"/>
      <c r="U55" s="258"/>
      <c r="X55" s="258"/>
      <c r="Y55" s="258"/>
      <c r="AB55" s="519">
        <v>0</v>
      </c>
      <c r="AC55" s="519">
        <v>0</v>
      </c>
      <c r="AD55" s="258">
        <f>SUM(AB55:AC55)</f>
        <v>0</v>
      </c>
      <c r="AF55" s="519">
        <v>0</v>
      </c>
      <c r="AG55" s="519">
        <v>0</v>
      </c>
      <c r="AH55" s="258">
        <f>SUM(AF55:AG55)</f>
        <v>0</v>
      </c>
      <c r="AJ55" s="833">
        <v>0</v>
      </c>
      <c r="AK55" s="833">
        <v>0</v>
      </c>
      <c r="AL55" s="257">
        <f>SUM(AJ55:AK55)</f>
        <v>0</v>
      </c>
      <c r="AM55" s="258"/>
      <c r="AN55" s="519">
        <v>0</v>
      </c>
      <c r="AO55" s="923">
        <v>0</v>
      </c>
      <c r="AP55" s="257">
        <f>SUM(AN55:AO55)</f>
        <v>0</v>
      </c>
      <c r="AQ55" s="258"/>
      <c r="AR55" s="258">
        <f xml:space="preserve"> - (AR113+AR114) * (1-AR162)</f>
        <v>6.2500724999999999</v>
      </c>
      <c r="AS55" s="258">
        <f xml:space="preserve"> - (AS113+AS114) * (1-AS162)</f>
        <v>6.2075549999999993</v>
      </c>
      <c r="AT55" s="258">
        <f t="shared" si="82"/>
        <v>12.457627499999999</v>
      </c>
      <c r="AU55" s="258"/>
      <c r="AV55" s="258">
        <f xml:space="preserve"> - (AV113+AV114) * (1-AV162)</f>
        <v>6.3317060999999999</v>
      </c>
      <c r="AW55" s="258">
        <f xml:space="preserve"> - (AW113+AW114) * (1-AW162)</f>
        <v>6.3317060999999999</v>
      </c>
      <c r="AX55" s="258">
        <f t="shared" si="83"/>
        <v>12.6634122</v>
      </c>
      <c r="AY55" s="258"/>
      <c r="AZ55" s="258">
        <f xml:space="preserve"> - (AZ113+AZ114) * (1-AZ162)</f>
        <v>7.5347302589999998</v>
      </c>
      <c r="BA55" s="258">
        <f xml:space="preserve"> - (BA113+BA114) * (1-BA162)</f>
        <v>7.5347302589999998</v>
      </c>
      <c r="BB55" s="258">
        <f t="shared" si="84"/>
        <v>15.069460518</v>
      </c>
      <c r="BC55" s="258"/>
      <c r="BD55" s="258">
        <f xml:space="preserve"> - (BD113+BD114) * (1-BD162)</f>
        <v>7.6854248641799998</v>
      </c>
      <c r="BE55" s="258">
        <f xml:space="preserve"> - (BE113+BE114) * (1-BE162)</f>
        <v>7.6854248641799998</v>
      </c>
      <c r="BF55" s="258">
        <f t="shared" si="85"/>
        <v>15.37084972836</v>
      </c>
      <c r="BG55" s="258"/>
      <c r="BH55" s="258">
        <f xml:space="preserve"> - (BH113+BH114) * (1-BH162)</f>
        <v>7.8391333614636007</v>
      </c>
      <c r="BI55" s="258">
        <f xml:space="preserve"> - (BI113+BI114) * (1-BI162)</f>
        <v>7.8391333614636007</v>
      </c>
      <c r="BJ55" s="258">
        <f t="shared" si="86"/>
        <v>15.678266722927201</v>
      </c>
      <c r="BK55" s="258"/>
      <c r="BL55" s="258">
        <f xml:space="preserve"> - (BL113+BL114) * (1-BL162)</f>
        <v>7.9959160286928723</v>
      </c>
      <c r="BM55" s="258">
        <f xml:space="preserve"> - (BM113+BM114) * (1-BM162)</f>
        <v>7.9959160286928723</v>
      </c>
      <c r="BN55" s="258">
        <f t="shared" si="87"/>
        <v>15.991832057385745</v>
      </c>
      <c r="BO55" s="258"/>
      <c r="BP55" s="258">
        <f xml:space="preserve"> - (BP113+BP114) * (1-BP162)</f>
        <v>8.1558343492667298</v>
      </c>
      <c r="BQ55" s="258">
        <f xml:space="preserve"> - (BQ113+BQ114) * (1-BQ162)</f>
        <v>8.1558343492667298</v>
      </c>
      <c r="BR55" s="258">
        <f t="shared" si="88"/>
        <v>16.31166869853346</v>
      </c>
      <c r="BS55" s="258"/>
      <c r="BT55" s="258">
        <f xml:space="preserve"> - (BT113+BT114) * (1-BT162)</f>
        <v>8.3189510362520647</v>
      </c>
      <c r="BU55" s="258">
        <f xml:space="preserve"> - (BU113+BU114) * (1-BU162)</f>
        <v>8.3189510362520647</v>
      </c>
      <c r="BV55" s="258">
        <f t="shared" si="89"/>
        <v>16.637902072504129</v>
      </c>
      <c r="BW55" s="258"/>
      <c r="BX55" s="258">
        <f xml:space="preserve"> - (BX113+BX114) * (1-BX162)</f>
        <v>8.4853300569771068</v>
      </c>
      <c r="BY55" s="258">
        <f xml:space="preserve"> - (BY113+BY114) * (1-BY162)</f>
        <v>8.4853300569771068</v>
      </c>
      <c r="BZ55" s="258">
        <f t="shared" si="90"/>
        <v>16.970660113954214</v>
      </c>
    </row>
    <row r="56" spans="1:78">
      <c r="B56" s="448" t="s">
        <v>451</v>
      </c>
      <c r="P56" s="258">
        <f>-(BS!P23-BS!M23)</f>
        <v>-1.8659999999999997</v>
      </c>
      <c r="Q56" s="258">
        <f>-(BS!Q23-BS!P23)</f>
        <v>-0.69699999999999918</v>
      </c>
      <c r="T56" s="258">
        <f>-(BS!T23-BS!Q23)</f>
        <v>0.52999999999999936</v>
      </c>
      <c r="U56" s="258">
        <f>-(BS!U23-BS!T23)</f>
        <v>2.3529999999999998</v>
      </c>
      <c r="X56" s="258">
        <f>-(BS!X23-BS!U23)</f>
        <v>-0.31799999999999962</v>
      </c>
      <c r="Y56" s="258">
        <f>-(BS!Y23-BS!X23)</f>
        <v>4.46</v>
      </c>
      <c r="AB56" s="258">
        <f>-(BS!AB23-BS!Y23)</f>
        <v>0.63600000000000012</v>
      </c>
      <c r="AC56" s="258">
        <f>-(BS!AC23-BS!AB23)</f>
        <v>0.55099999999999927</v>
      </c>
      <c r="AD56" s="258">
        <f t="shared" ref="AD56:AD62" si="91">SUM(AB56:AC56)</f>
        <v>1.1869999999999994</v>
      </c>
      <c r="AF56" s="258">
        <f>-(BS!AF23-BS!AC23)</f>
        <v>-9.0380000000000003</v>
      </c>
      <c r="AG56" s="258">
        <f>-(BS!AG23-BS!AF23)</f>
        <v>2.5</v>
      </c>
      <c r="AH56" s="258">
        <f t="shared" ref="AH56:AH57" si="92">SUM(AF56:AG56)</f>
        <v>-6.5380000000000003</v>
      </c>
      <c r="AJ56" s="258">
        <f>-(BS!AJ23-BS!AG23)</f>
        <v>0.4009999999999998</v>
      </c>
      <c r="AK56" s="257">
        <f>-(BS!AK23-BS!AJ23)</f>
        <v>0.88599999999999923</v>
      </c>
      <c r="AL56" s="257">
        <f t="shared" ref="AL56:AL57" si="93">SUM(AJ56:AK56)</f>
        <v>1.286999999999999</v>
      </c>
      <c r="AM56" s="258"/>
      <c r="AN56" s="258">
        <f>-(BS!AN23-BS!AK23)</f>
        <v>-0.92099999999999937</v>
      </c>
      <c r="AO56" s="257">
        <f>-(BS!AO23-BS!AN23)</f>
        <v>-0.29299999999999926</v>
      </c>
      <c r="AP56" s="257">
        <f t="shared" ref="AP56:AP57" si="94">SUM(AN56:AO56)</f>
        <v>-1.2139999999999986</v>
      </c>
      <c r="AQ56" s="258"/>
      <c r="AR56" s="258">
        <f>-(BS!AR23-BS!AO23)</f>
        <v>-0.25624000000000002</v>
      </c>
      <c r="AS56" s="258">
        <f>-(BS!AS23-BS!AR23)</f>
        <v>-0.26136480000000084</v>
      </c>
      <c r="AT56" s="258">
        <f t="shared" si="82"/>
        <v>-0.51760480000000086</v>
      </c>
      <c r="AU56" s="258"/>
      <c r="AV56" s="258">
        <f>-(BS!AV23-BS!AS23)</f>
        <v>-0.26659209600000011</v>
      </c>
      <c r="AW56" s="258">
        <f>-(BS!AW23-BS!AV23)</f>
        <v>-0.27192393792000047</v>
      </c>
      <c r="AX56" s="258">
        <f t="shared" si="83"/>
        <v>-0.53851603392000058</v>
      </c>
      <c r="AY56" s="258"/>
      <c r="AZ56" s="258">
        <f>-(BS!AZ23-BS!AW23)</f>
        <v>-0.27736241667840034</v>
      </c>
      <c r="BA56" s="258">
        <f>-(BS!BA23-BS!AZ23)</f>
        <v>-0.28290966501196912</v>
      </c>
      <c r="BB56" s="258">
        <f t="shared" si="84"/>
        <v>-0.56027208169036946</v>
      </c>
      <c r="BC56" s="258"/>
      <c r="BD56" s="258">
        <f>-(BS!BD23-BS!BA23)</f>
        <v>-0.28856785831220755</v>
      </c>
      <c r="BE56" s="258">
        <f>-(BS!BE23-BS!BD23)</f>
        <v>-0.29433921547845188</v>
      </c>
      <c r="BF56" s="258">
        <f t="shared" si="85"/>
        <v>-0.58290707379065942</v>
      </c>
      <c r="BG56" s="258"/>
      <c r="BH56" s="258">
        <f>-(BS!BH23-BS!BE23)</f>
        <v>-0.30022599978802056</v>
      </c>
      <c r="BI56" s="258">
        <f>-(BS!BI23-BS!BH23)</f>
        <v>-0.30623051978378157</v>
      </c>
      <c r="BJ56" s="258">
        <f t="shared" si="86"/>
        <v>-0.60645651957180213</v>
      </c>
      <c r="BK56" s="258"/>
      <c r="BL56" s="258">
        <f>-(BS!BL23-BS!BI23)</f>
        <v>-0.31235513017945671</v>
      </c>
      <c r="BM56" s="258">
        <f>-(BS!BM23-BS!BL23)</f>
        <v>-0.31860223278304467</v>
      </c>
      <c r="BN56" s="258">
        <f t="shared" si="87"/>
        <v>-0.63095736296250138</v>
      </c>
      <c r="BO56" s="258"/>
      <c r="BP56" s="258">
        <f>-(BS!BP23-BS!BM23)</f>
        <v>-0.32497427743870588</v>
      </c>
      <c r="BQ56" s="258">
        <f>-(BS!BQ23-BS!BP23)</f>
        <v>-0.33147376298748199</v>
      </c>
      <c r="BR56" s="258">
        <f t="shared" si="88"/>
        <v>-0.65644804042618787</v>
      </c>
      <c r="BS56" s="258"/>
      <c r="BT56" s="258">
        <f>-(BS!BT23-BS!BQ23)</f>
        <v>-0.33810323824723199</v>
      </c>
      <c r="BU56" s="258">
        <f>-(BS!BU23-BS!BT23)</f>
        <v>-0.344865303012174</v>
      </c>
      <c r="BV56" s="258">
        <f t="shared" si="89"/>
        <v>-0.68296854125940598</v>
      </c>
      <c r="BW56" s="258"/>
      <c r="BX56" s="258">
        <f>-(BS!BX23-BS!BU23)</f>
        <v>-0.35176260907241996</v>
      </c>
      <c r="BY56" s="258">
        <f>-(BS!BY23-BS!BX23)</f>
        <v>-0.35879786125386559</v>
      </c>
      <c r="BZ56" s="258">
        <f t="shared" si="90"/>
        <v>-0.71056047032628555</v>
      </c>
    </row>
    <row r="57" spans="1:78">
      <c r="B57" s="448" t="s">
        <v>452</v>
      </c>
      <c r="P57" s="258">
        <f>-(BS!P21-BS!M21)</f>
        <v>0.27900000000000003</v>
      </c>
      <c r="Q57" s="258">
        <f>-(BS!Q21-BS!P21)</f>
        <v>1.6999999999999987E-2</v>
      </c>
      <c r="T57" s="258">
        <f>-(BS!T21-BS!Q21)</f>
        <v>-0.10199999999999998</v>
      </c>
      <c r="U57" s="258">
        <f>-(BS!U21-BS!T21)</f>
        <v>-8.3000000000000018E-2</v>
      </c>
      <c r="X57" s="258">
        <f>-(BS!X21-BS!U21)</f>
        <v>0.27100000000000002</v>
      </c>
      <c r="Y57" s="258">
        <f>-(BS!Y21-BS!X21)</f>
        <v>-3.4849999999999999</v>
      </c>
      <c r="AB57" s="258">
        <f>-(BS!AB21-BS!Y21)</f>
        <v>0.91199999999999992</v>
      </c>
      <c r="AC57" s="258">
        <f>-(BS!AC21-BS!AB21)</f>
        <v>1.8810000000000002</v>
      </c>
      <c r="AD57" s="258">
        <f t="shared" si="91"/>
        <v>2.7930000000000001</v>
      </c>
      <c r="AF57" s="258">
        <f>-(BS!AF21-BS!AC21)</f>
        <v>-3.4950000000000001</v>
      </c>
      <c r="AG57" s="258">
        <f>-(BS!AG21-BS!AF21)</f>
        <v>-13.052000000000001</v>
      </c>
      <c r="AH57" s="258">
        <f t="shared" si="92"/>
        <v>-16.547000000000001</v>
      </c>
      <c r="AJ57" s="258">
        <f>-(BS!AJ21-BS!AG21)</f>
        <v>0.54200000000000159</v>
      </c>
      <c r="AK57" s="257">
        <f>-(BS!AK21-BS!AJ21)</f>
        <v>2.1839999999999993</v>
      </c>
      <c r="AL57" s="257">
        <f t="shared" si="93"/>
        <v>2.7260000000000009</v>
      </c>
      <c r="AM57" s="258"/>
      <c r="AN57" s="258">
        <f>-(BS!AN21-BS!AK21)</f>
        <v>9.8760000000000012</v>
      </c>
      <c r="AO57" s="257">
        <f>-(BS!AO21-BS!AN21)</f>
        <v>-5.278999999999999</v>
      </c>
      <c r="AP57" s="257">
        <f t="shared" si="94"/>
        <v>4.5970000000000022</v>
      </c>
      <c r="AQ57" s="258"/>
      <c r="AR57" s="258">
        <f>-(BS!AR21-BS!AO21)</f>
        <v>-0.19926000000000066</v>
      </c>
      <c r="AS57" s="258">
        <f>-(BS!AS21-BS!AR21)</f>
        <v>-0.20324519999999957</v>
      </c>
      <c r="AT57" s="258">
        <f t="shared" si="82"/>
        <v>-0.40250520000000023</v>
      </c>
      <c r="AU57" s="258"/>
      <c r="AV57" s="258">
        <f>-(BS!AV21-BS!AS21)</f>
        <v>-0.20731010399999938</v>
      </c>
      <c r="AW57" s="258">
        <f>-(BS!AW21-BS!AV21)</f>
        <v>-0.21145630608000054</v>
      </c>
      <c r="AX57" s="258">
        <f t="shared" si="83"/>
        <v>-0.41876641007999993</v>
      </c>
      <c r="AY57" s="258"/>
      <c r="AZ57" s="258">
        <f>-(BS!AZ21-BS!AW21)</f>
        <v>-0.21568543220159953</v>
      </c>
      <c r="BA57" s="258">
        <f>-(BS!BA21-BS!AZ21)</f>
        <v>-0.21999914084563166</v>
      </c>
      <c r="BB57" s="258">
        <f t="shared" si="84"/>
        <v>-0.43568457304723118</v>
      </c>
      <c r="BC57" s="258"/>
      <c r="BD57" s="258">
        <f>-(BS!BD21-BS!BA21)</f>
        <v>-0.22439912366254511</v>
      </c>
      <c r="BE57" s="258">
        <f>-(BS!BE21-BS!BD21)</f>
        <v>-0.22888710613579555</v>
      </c>
      <c r="BF57" s="258">
        <f t="shared" si="85"/>
        <v>-0.45328622979834066</v>
      </c>
      <c r="BG57" s="258"/>
      <c r="BH57" s="258">
        <f>-(BS!BH21-BS!BE21)</f>
        <v>-0.23346484825851199</v>
      </c>
      <c r="BI57" s="258">
        <f>-(BS!BI21-BS!BH21)</f>
        <v>-0.23813414522368248</v>
      </c>
      <c r="BJ57" s="258">
        <f t="shared" si="86"/>
        <v>-0.47159899348219447</v>
      </c>
      <c r="BK57" s="258"/>
      <c r="BL57" s="258">
        <f>-(BS!BL21-BS!BI21)</f>
        <v>-0.24289682812815627</v>
      </c>
      <c r="BM57" s="258">
        <f>-(BS!BM21-BS!BL21)</f>
        <v>-0.24775476469071833</v>
      </c>
      <c r="BN57" s="258">
        <f t="shared" si="87"/>
        <v>-0.4906515928188746</v>
      </c>
      <c r="BO57" s="258"/>
      <c r="BP57" s="258">
        <f>-(BS!BP21-BS!BM21)</f>
        <v>-0.25270985998453277</v>
      </c>
      <c r="BQ57" s="258">
        <f>-(BS!BQ21-BS!BP21)</f>
        <v>-0.25776405718422346</v>
      </c>
      <c r="BR57" s="258">
        <f t="shared" si="88"/>
        <v>-0.51047391716875623</v>
      </c>
      <c r="BS57" s="258"/>
      <c r="BT57" s="258">
        <f>-(BS!BT21-BS!BQ21)</f>
        <v>-0.26291933832790804</v>
      </c>
      <c r="BU57" s="258">
        <f>-(BS!BU21-BS!BT21)</f>
        <v>-0.26817772509446591</v>
      </c>
      <c r="BV57" s="258">
        <f t="shared" si="89"/>
        <v>-0.53109706342237395</v>
      </c>
      <c r="BW57" s="258"/>
      <c r="BX57" s="258">
        <f>-(BS!BX21-BS!BU21)</f>
        <v>-0.27354127959635477</v>
      </c>
      <c r="BY57" s="258">
        <f>-(BS!BY21-BS!BX21)</f>
        <v>-0.27901210518828279</v>
      </c>
      <c r="BZ57" s="258">
        <f t="shared" si="90"/>
        <v>-0.55255338478463756</v>
      </c>
    </row>
    <row r="58" spans="1:78">
      <c r="B58" s="242" t="s">
        <v>487</v>
      </c>
      <c r="P58" s="258">
        <f>-BS!P158</f>
        <v>-72</v>
      </c>
      <c r="Q58" s="258">
        <f>-BS!Q158</f>
        <v>-83.781000000000006</v>
      </c>
      <c r="R58" s="258">
        <f t="shared" ref="R58" si="95">SUM(P58:Q58)</f>
        <v>-155.78100000000001</v>
      </c>
      <c r="S58" s="258"/>
      <c r="T58" s="258">
        <f>-BS!T158</f>
        <v>-3</v>
      </c>
      <c r="U58" s="258">
        <f>-BS!U158</f>
        <v>-8.254999999999999</v>
      </c>
      <c r="V58" s="258">
        <f t="shared" ref="V58" si="96">SUM(T58:U58)</f>
        <v>-11.254999999999999</v>
      </c>
      <c r="W58" s="258"/>
      <c r="X58" s="258">
        <f>-BS!X158</f>
        <v>-135</v>
      </c>
      <c r="Y58" s="258">
        <f>-BS!Y158</f>
        <v>-4.6169999999999902</v>
      </c>
      <c r="Z58" s="258">
        <f t="shared" ref="Z58" si="97">SUM(X58:Y58)</f>
        <v>-139.61699999999999</v>
      </c>
      <c r="AA58" s="258"/>
      <c r="AB58" s="258">
        <f>-BS!AB158</f>
        <v>-60</v>
      </c>
      <c r="AC58" s="258">
        <f>-BS!AC158</f>
        <v>-121.07</v>
      </c>
      <c r="AD58" s="258">
        <f t="shared" ref="AD58" si="98">SUM(AB58:AC58)</f>
        <v>-181.07</v>
      </c>
      <c r="AE58" s="258"/>
      <c r="AF58" s="258">
        <f>-BS!AF158</f>
        <v>-1180</v>
      </c>
      <c r="AG58" s="258">
        <f>-BS!AG158</f>
        <v>-137.64999999999986</v>
      </c>
      <c r="AH58" s="258">
        <f t="shared" ref="AH58" si="99">SUM(AF58:AG58)</f>
        <v>-1317.6499999999999</v>
      </c>
      <c r="AI58" s="258"/>
      <c r="AJ58" s="258">
        <f>-BS!AJ158</f>
        <v>-105</v>
      </c>
      <c r="AK58" s="258">
        <f>-BS!AK158</f>
        <v>-59.742999999999995</v>
      </c>
      <c r="AL58" s="258">
        <f t="shared" ref="AL58" si="100">SUM(AJ58:AK58)</f>
        <v>-164.74299999999999</v>
      </c>
      <c r="AM58" s="258"/>
      <c r="AN58" s="258">
        <f>-BS!AN158</f>
        <v>-105</v>
      </c>
      <c r="AO58" s="258">
        <f>-BS!AO158</f>
        <v>-422.81600000000003</v>
      </c>
      <c r="AP58" s="258">
        <f t="shared" ref="AP58" si="101">SUM(AN58:AO58)</f>
        <v>-527.81600000000003</v>
      </c>
      <c r="AQ58" s="258"/>
      <c r="AR58" s="258">
        <f>-BS!AR158</f>
        <v>8.3334299999999999</v>
      </c>
      <c r="AS58" s="258">
        <f>-BS!AS158</f>
        <v>8.2767400000000002</v>
      </c>
      <c r="AT58" s="258">
        <f t="shared" ref="AT58" si="102">SUM(AR58:AS58)</f>
        <v>16.61017</v>
      </c>
      <c r="AU58" s="258"/>
      <c r="AV58" s="258">
        <f>-BS!AV158</f>
        <v>9.497559149999999</v>
      </c>
      <c r="AW58" s="258">
        <f>-BS!AW158</f>
        <v>9.497559149999999</v>
      </c>
      <c r="AX58" s="258">
        <f t="shared" ref="AX58" si="103">SUM(AV58:AW58)</f>
        <v>18.995118299999998</v>
      </c>
      <c r="AY58" s="258"/>
      <c r="AZ58" s="258">
        <f>-BS!AZ158</f>
        <v>9.6875103330000005</v>
      </c>
      <c r="BA58" s="258">
        <f>-BS!BA158</f>
        <v>9.6875103330000005</v>
      </c>
      <c r="BB58" s="258">
        <f t="shared" ref="BB58" si="104">SUM(AZ58:BA58)</f>
        <v>19.375020666000001</v>
      </c>
      <c r="BC58" s="258"/>
      <c r="BD58" s="258">
        <f>-BS!BD158</f>
        <v>9.8812605396599995</v>
      </c>
      <c r="BE58" s="258">
        <f>-BS!BE158</f>
        <v>9.8812605396599995</v>
      </c>
      <c r="BF58" s="258">
        <f t="shared" ref="BF58" si="105">SUM(BD58:BE58)</f>
        <v>19.762521079319999</v>
      </c>
      <c r="BG58" s="258"/>
      <c r="BH58" s="258">
        <f>-BS!BH158</f>
        <v>10.0788857504532</v>
      </c>
      <c r="BI58" s="258">
        <f>-BS!BI158</f>
        <v>10.0788857504532</v>
      </c>
      <c r="BJ58" s="258">
        <f t="shared" ref="BJ58" si="106">SUM(BH58:BI58)</f>
        <v>20.157771500906399</v>
      </c>
      <c r="BK58" s="258"/>
      <c r="BL58" s="258">
        <f>-BS!BL158</f>
        <v>10.280463465462264</v>
      </c>
      <c r="BM58" s="258">
        <f>-BS!BM158</f>
        <v>10.280463465462264</v>
      </c>
      <c r="BN58" s="258">
        <f t="shared" ref="BN58" si="107">SUM(BL58:BM58)</f>
        <v>20.560926930924527</v>
      </c>
      <c r="BO58" s="258"/>
      <c r="BP58" s="258">
        <f>-BS!BP158</f>
        <v>10.486072734771509</v>
      </c>
      <c r="BQ58" s="258">
        <f>-BS!BQ158</f>
        <v>10.486072734771509</v>
      </c>
      <c r="BR58" s="258">
        <f t="shared" ref="BR58" si="108">SUM(BP58:BQ58)</f>
        <v>20.972145469543019</v>
      </c>
      <c r="BS58" s="258"/>
      <c r="BT58" s="258">
        <f>-BS!BT158</f>
        <v>10.695794189466941</v>
      </c>
      <c r="BU58" s="258">
        <f>-BS!BU158</f>
        <v>10.695794189466941</v>
      </c>
      <c r="BV58" s="258">
        <f t="shared" ref="BV58" si="109">SUM(BT58:BU58)</f>
        <v>21.391588378933882</v>
      </c>
      <c r="BW58" s="258"/>
      <c r="BX58" s="258">
        <f>-BS!BX158</f>
        <v>10.909710073256278</v>
      </c>
      <c r="BY58" s="258">
        <f>-BS!BY158</f>
        <v>10.909710073256278</v>
      </c>
      <c r="BZ58" s="258">
        <f t="shared" ref="BZ58" si="110">SUM(BX58:BY58)</f>
        <v>21.819420146512556</v>
      </c>
    </row>
    <row r="59" spans="1:78">
      <c r="B59" s="448" t="s">
        <v>460</v>
      </c>
      <c r="P59" s="258">
        <f>-(BS!P25-BS!M25)</f>
        <v>0</v>
      </c>
      <c r="Q59" s="258">
        <f>-(BS!Q25-BS!P25)</f>
        <v>0</v>
      </c>
      <c r="T59" s="258">
        <f>-(BS!T25-BS!Q25)</f>
        <v>-32.29</v>
      </c>
      <c r="U59" s="258">
        <f>-(BS!U25-BS!T25)</f>
        <v>5.968</v>
      </c>
      <c r="X59" s="258">
        <f>-(BS!X25-BS!U25)</f>
        <v>1.2629999999999981</v>
      </c>
      <c r="Y59" s="258">
        <f>-(BS!Y25-BS!X25)</f>
        <v>2.4410000000000025</v>
      </c>
      <c r="AB59" s="258">
        <f>-(BS!AB25-BS!Y25)</f>
        <v>-0.91000000000000014</v>
      </c>
      <c r="AC59" s="258">
        <f>-(BS!AC25-BS!AB25)</f>
        <v>-0.3230000000000004</v>
      </c>
      <c r="AD59" s="258">
        <f t="shared" si="91"/>
        <v>-1.2330000000000005</v>
      </c>
      <c r="AF59" s="258">
        <f>-(BS!AF25-BS!AC25)</f>
        <v>-38.914000000000001</v>
      </c>
      <c r="AG59" s="258">
        <f>-(BS!AG25-BS!AF25)</f>
        <v>-7.5949999999999989</v>
      </c>
      <c r="AH59" s="258">
        <f t="shared" ref="AH59:AH62" si="111">SUM(AF59:AG59)</f>
        <v>-46.509</v>
      </c>
      <c r="AJ59" s="258">
        <f>-(BS!AJ25-BS!AG25)</f>
        <v>0.54200000000000159</v>
      </c>
      <c r="AK59" s="258">
        <f>-(BS!AK25-BS!AJ25)</f>
        <v>-2.9330000000000069</v>
      </c>
      <c r="AL59" s="258">
        <f t="shared" ref="AL59:AL62" si="112">SUM(AJ59:AK59)</f>
        <v>-2.3910000000000053</v>
      </c>
      <c r="AM59" s="258"/>
      <c r="AN59" s="258">
        <f>-(BS!AN25-BS!AK25)</f>
        <v>-3.1779999999999973</v>
      </c>
      <c r="AO59" s="258">
        <f>-(BS!AO25-BS!AN25)</f>
        <v>-1.6739999999999924</v>
      </c>
      <c r="AP59" s="258">
        <f t="shared" ref="AP59:AP62" si="113">SUM(AN59:AO59)</f>
        <v>-4.8519999999999897</v>
      </c>
      <c r="AQ59" s="258"/>
      <c r="AR59" s="258">
        <f>-(BS!AR25-BS!AO25)</f>
        <v>-1.5520599999999973</v>
      </c>
      <c r="AS59" s="258">
        <f>-(BS!AS25-BS!AR25)</f>
        <v>-1.5831012000000015</v>
      </c>
      <c r="AT59" s="258">
        <f t="shared" ref="AT59" si="114">SUM(AR59:AS59)</f>
        <v>-3.1351611999999989</v>
      </c>
      <c r="AU59" s="258"/>
      <c r="AV59" s="258">
        <f>-(BS!AV25-BS!AS25)</f>
        <v>-1.6147632240000007</v>
      </c>
      <c r="AW59" s="258">
        <f>-(BS!AW25-BS!AV25)</f>
        <v>-1.647058488479999</v>
      </c>
      <c r="AX59" s="258">
        <f t="shared" ref="AX59" si="115">SUM(AV59:AW59)</f>
        <v>-3.2618217124799997</v>
      </c>
      <c r="AY59" s="258"/>
      <c r="AZ59" s="258">
        <f>-(BS!AZ25-BS!AW25)</f>
        <v>-1.6799996582495993</v>
      </c>
      <c r="BA59" s="258">
        <f>-(BS!BA25-BS!AZ25)</f>
        <v>-1.7135996514145972</v>
      </c>
      <c r="BB59" s="258">
        <f t="shared" ref="BB59" si="116">SUM(AZ59:BA59)</f>
        <v>-3.3935993096641965</v>
      </c>
      <c r="BC59" s="258"/>
      <c r="BD59" s="258">
        <f>-(BS!BD25-BS!BA25)</f>
        <v>-1.7478716444428812</v>
      </c>
      <c r="BE59" s="258">
        <f>-(BS!BE25-BS!BD25)</f>
        <v>-1.7828290773317406</v>
      </c>
      <c r="BF59" s="258">
        <f t="shared" ref="BF59" si="117">SUM(BD59:BE59)</f>
        <v>-3.5307007217746218</v>
      </c>
      <c r="BG59" s="258"/>
      <c r="BH59" s="258">
        <f>-(BS!BH25-BS!BE25)</f>
        <v>-1.8184856588783731</v>
      </c>
      <c r="BI59" s="258">
        <f>-(BS!BI25-BS!BH25)</f>
        <v>-1.8548553720559511</v>
      </c>
      <c r="BJ59" s="258">
        <f t="shared" ref="BJ59" si="118">SUM(BH59:BI59)</f>
        <v>-3.6733410309343242</v>
      </c>
      <c r="BK59" s="258"/>
      <c r="BL59" s="258">
        <f>-(BS!BL25-BS!BI25)</f>
        <v>-1.8919524794970641</v>
      </c>
      <c r="BM59" s="258">
        <f>-(BS!BM25-BS!BL25)</f>
        <v>-1.9297915290870122</v>
      </c>
      <c r="BN59" s="258">
        <f t="shared" ref="BN59" si="119">SUM(BL59:BM59)</f>
        <v>-3.8217440085840764</v>
      </c>
      <c r="BO59" s="258"/>
      <c r="BP59" s="258">
        <f>-(BS!BP25-BS!BM25)</f>
        <v>-1.9683873596687391</v>
      </c>
      <c r="BQ59" s="258">
        <f>-(BS!BQ25-BS!BP25)</f>
        <v>-2.0077551068621204</v>
      </c>
      <c r="BR59" s="258">
        <f t="shared" ref="BR59" si="120">SUM(BP59:BQ59)</f>
        <v>-3.9761424665308596</v>
      </c>
      <c r="BS59" s="258"/>
      <c r="BT59" s="258">
        <f>-(BS!BT25-BS!BQ25)</f>
        <v>-2.0479102089993688</v>
      </c>
      <c r="BU59" s="258">
        <f>-(BS!BU25-BS!BT25)</f>
        <v>-2.0888684131793553</v>
      </c>
      <c r="BV59" s="258">
        <f t="shared" ref="BV59:BV62" si="121">SUM(BT59:BU59)</f>
        <v>-4.1367786221787242</v>
      </c>
      <c r="BW59" s="258"/>
      <c r="BX59" s="258">
        <f>-(BS!BX25-BS!BU25)</f>
        <v>-2.1306457814429365</v>
      </c>
      <c r="BY59" s="258">
        <f>-(BS!BY25-BS!BX25)</f>
        <v>-2.1732586970718017</v>
      </c>
      <c r="BZ59" s="258">
        <f t="shared" ref="BZ59:BZ62" si="122">SUM(BX59:BY59)</f>
        <v>-4.3039044785147382</v>
      </c>
    </row>
    <row r="60" spans="1:78">
      <c r="B60" s="448" t="s">
        <v>453</v>
      </c>
      <c r="P60" s="258">
        <f>(BS!P44-BS!M44)-(BS!P26-BS!M26)</f>
        <v>-1.8569999999999993</v>
      </c>
      <c r="Q60" s="258">
        <f>(BS!Q44-BS!P44)-(BS!Q26-BS!P26)</f>
        <v>7.3460000000000001</v>
      </c>
      <c r="T60" s="258">
        <f>(BS!T44-BS!Q44)-(BS!T26-BS!Q26)</f>
        <v>-1.9270000000000014</v>
      </c>
      <c r="U60" s="258">
        <f>(BS!U44-BS!T44)-(BS!U26-BS!T26)</f>
        <v>-4.2719999999999985</v>
      </c>
      <c r="X60" s="258">
        <f>(BS!X44-BS!U44)-(BS!X26-BS!U26)</f>
        <v>2.5559999999999992</v>
      </c>
      <c r="Y60" s="258">
        <f>(BS!Y44-BS!X44)-(BS!Y26-BS!X26)</f>
        <v>-2.9439999999999991</v>
      </c>
      <c r="AB60" s="258">
        <f>(BS!AB44-BS!Y44)-(BS!AB26-BS!Y26)</f>
        <v>4.1230000000000011</v>
      </c>
      <c r="AC60" s="258">
        <f>(BS!AC44-BS!AB44)-(BS!AC26-BS!AB26)</f>
        <v>-1.5690000000000008</v>
      </c>
      <c r="AD60" s="258">
        <f t="shared" si="91"/>
        <v>2.5540000000000003</v>
      </c>
      <c r="AF60" s="258">
        <f>(BS!AF44-BS!AC44)-(BS!AF26-BS!AC26)</f>
        <v>105.532</v>
      </c>
      <c r="AG60" s="258">
        <f>(BS!AG44-BS!AF44)-(BS!AG26-BS!AF26)</f>
        <v>-11.509000000000007</v>
      </c>
      <c r="AH60" s="258">
        <f t="shared" si="111"/>
        <v>94.022999999999996</v>
      </c>
      <c r="AJ60" s="258">
        <f>(BS!AJ44-BS!AG44)-(BS!AJ26-BS!AG26)</f>
        <v>-0.83799999999999741</v>
      </c>
      <c r="AK60" s="258">
        <f>(BS!AK44-BS!AJ44)-(BS!AK26-BS!AJ26)</f>
        <v>-1.5689999999999884</v>
      </c>
      <c r="AL60" s="258">
        <f t="shared" si="112"/>
        <v>-2.4069999999999858</v>
      </c>
      <c r="AM60" s="258"/>
      <c r="AN60" s="258">
        <f>(BS!AN44-BS!AK44)-(BS!AN26-BS!AK26)</f>
        <v>4.7589999999999968</v>
      </c>
      <c r="AO60" s="258">
        <f>(BS!AO44-BS!AN44)-(BS!AO26-BS!AN26)</f>
        <v>19.773999999999994</v>
      </c>
      <c r="AP60" s="258">
        <f t="shared" si="113"/>
        <v>24.532999999999991</v>
      </c>
      <c r="AQ60" s="258"/>
      <c r="AR60" s="258">
        <f>(BS!AR44-BS!AO44)-(BS!AR26-BS!AO26)</f>
        <v>-7.6757286012499399</v>
      </c>
      <c r="AS60" s="258">
        <f>(BS!AS44-BS!AR44)-(BS!AS26-BS!AR26)</f>
        <v>13.023556358178077</v>
      </c>
      <c r="AT60" s="258">
        <f t="shared" si="82"/>
        <v>5.3478277569281367</v>
      </c>
      <c r="AU60" s="258"/>
      <c r="AV60" s="258">
        <f>(BS!AV44-BS!AS44)-(BS!AV26-BS!AS26)</f>
        <v>-7.8905788071577732</v>
      </c>
      <c r="AW60" s="258">
        <f>(BS!AW44-BS!AV44)-(BS!AW26-BS!AV26)</f>
        <v>13.972552764851066</v>
      </c>
      <c r="AX60" s="258">
        <f t="shared" si="83"/>
        <v>6.0819739576932932</v>
      </c>
      <c r="AY60" s="258"/>
      <c r="AZ60" s="258">
        <f>(BS!AZ44-BS!AW44)-(BS!AZ26-BS!AW26)</f>
        <v>-8.4591531159367293</v>
      </c>
      <c r="BA60" s="258">
        <f>(BS!BA44-BS!AZ44)-(BS!BA26-BS!AZ26)</f>
        <v>14.035727884436795</v>
      </c>
      <c r="BB60" s="258">
        <f t="shared" si="84"/>
        <v>5.5765747685000662</v>
      </c>
      <c r="BC60" s="258"/>
      <c r="BD60" s="258">
        <f>(BS!BD44-BS!BA44)-(BS!BD26-BS!BA26)</f>
        <v>-9.9614283840905884</v>
      </c>
      <c r="BE60" s="258">
        <f>(BS!BE44-BS!BD44)-(BS!BE26-BS!BD26)</f>
        <v>15.825465224398179</v>
      </c>
      <c r="BF60" s="258">
        <f t="shared" si="85"/>
        <v>5.8640368403075911</v>
      </c>
      <c r="BG60" s="258"/>
      <c r="BH60" s="258">
        <f>(BS!BH44-BS!BE44)-(BS!BH26-BS!BE26)</f>
        <v>-11.10900894840794</v>
      </c>
      <c r="BI60" s="258">
        <f>(BS!BI44-BS!BH44)-(BS!BI26-BS!BH26)</f>
        <v>16.76657221153544</v>
      </c>
      <c r="BJ60" s="258">
        <f t="shared" si="86"/>
        <v>5.6575632631274999</v>
      </c>
      <c r="BK60" s="258"/>
      <c r="BL60" s="258">
        <f>(BS!BL44-BS!BI44)-(BS!BL26-BS!BI26)</f>
        <v>-11.819717190016569</v>
      </c>
      <c r="BM60" s="258">
        <f>(BS!BM44-BS!BL44)-(BS!BM26-BS!BL26)</f>
        <v>17.755368296743782</v>
      </c>
      <c r="BN60" s="258">
        <f t="shared" si="87"/>
        <v>5.9356511067272137</v>
      </c>
      <c r="BO60" s="258"/>
      <c r="BP60" s="258">
        <f>(BS!BP44-BS!BM44)-(BS!BP26-BS!BM26)</f>
        <v>-12.074609388138526</v>
      </c>
      <c r="BQ60" s="258">
        <f>(BS!BQ44-BS!BP44)-(BS!BQ26-BS!BP26)</f>
        <v>17.751555452150114</v>
      </c>
      <c r="BR60" s="258">
        <f t="shared" si="88"/>
        <v>5.6769460640115881</v>
      </c>
      <c r="BS60" s="258"/>
      <c r="BT60" s="258">
        <f>(BS!BT44-BS!BQ44)-(BS!BT26-BS!BQ26)</f>
        <v>-12.798981235378946</v>
      </c>
      <c r="BU60" s="258">
        <f>(BS!BU44-BS!BT44)-(BS!BU26-BS!BT26)</f>
        <v>19.885770178643433</v>
      </c>
      <c r="BV60" s="258">
        <f t="shared" si="121"/>
        <v>7.0867889432644873</v>
      </c>
      <c r="BW60" s="258"/>
      <c r="BX60" s="258">
        <f>(BS!BX44-BS!BU44)-(BS!BX26-BS!BU26)</f>
        <v>-14.173460063683912</v>
      </c>
      <c r="BY60" s="258">
        <f>(BS!BY44-BS!BX44)-(BS!BY26-BS!BX26)</f>
        <v>21.032557870531335</v>
      </c>
      <c r="BZ60" s="258">
        <f t="shared" si="122"/>
        <v>6.8590978068474229</v>
      </c>
    </row>
    <row r="61" spans="1:78">
      <c r="B61" s="448" t="s">
        <v>454</v>
      </c>
      <c r="P61" s="258">
        <f>+(BS!P43-BS!M43)</f>
        <v>0.6160000000000001</v>
      </c>
      <c r="Q61" s="258">
        <f>BS!Q43-BS!P43</f>
        <v>-0.41900000000000004</v>
      </c>
      <c r="T61" s="258">
        <f>+(BS!T43-BS!Q43)</f>
        <v>-0.50200000000000022</v>
      </c>
      <c r="U61" s="258">
        <f>BS!U43-BS!T43</f>
        <v>0.80400000000000027</v>
      </c>
      <c r="X61" s="258">
        <f>+(BS!X43-BS!U43)</f>
        <v>0.73899999999999944</v>
      </c>
      <c r="Y61" s="258">
        <f>BS!Y43-BS!X43</f>
        <v>-0.63599999999999968</v>
      </c>
      <c r="AB61" s="258">
        <f>+(BS!AB43-BS!Y43)</f>
        <v>2.8569999999999998</v>
      </c>
      <c r="AC61" s="258">
        <f>BS!AC43-BS!AB43</f>
        <v>3.13</v>
      </c>
      <c r="AD61" s="258">
        <f t="shared" si="91"/>
        <v>5.9870000000000001</v>
      </c>
      <c r="AF61" s="258">
        <f>+(BS!AF43-BS!AC43)</f>
        <v>-0.33699999999999974</v>
      </c>
      <c r="AG61" s="258">
        <f>BS!AG43-BS!AF43</f>
        <v>-3.9420000000000002</v>
      </c>
      <c r="AH61" s="258">
        <f t="shared" si="111"/>
        <v>-4.2789999999999999</v>
      </c>
      <c r="AJ61" s="258">
        <f>+(BS!AJ43-BS!AG43)</f>
        <v>12.679</v>
      </c>
      <c r="AK61" s="258">
        <f>BS!AK43-BS!AJ43</f>
        <v>1.7650000000000006</v>
      </c>
      <c r="AL61" s="258">
        <f t="shared" si="112"/>
        <v>14.444000000000001</v>
      </c>
      <c r="AM61" s="258"/>
      <c r="AN61" s="258">
        <f>+(BS!AN43-BS!AK43)</f>
        <v>13.312000000000001</v>
      </c>
      <c r="AO61" s="258">
        <f>BS!AO43-BS!AN43</f>
        <v>-9.6180000000000021</v>
      </c>
      <c r="AP61" s="258">
        <f t="shared" si="113"/>
        <v>3.6939999999999991</v>
      </c>
      <c r="AQ61" s="258"/>
      <c r="AR61" s="258">
        <f>+(BS!AR43-BS!AO43)</f>
        <v>-1.1237593193225059</v>
      </c>
      <c r="AS61" s="258">
        <f>BS!AS43-BS!AR43</f>
        <v>2.1630863224069969</v>
      </c>
      <c r="AT61" s="258">
        <f t="shared" si="82"/>
        <v>1.039327003084491</v>
      </c>
      <c r="AU61" s="258"/>
      <c r="AV61" s="258">
        <f>+(BS!AV43-BS!AS43)</f>
        <v>-1.1540432273967163</v>
      </c>
      <c r="AW61" s="258">
        <f>BS!AW43-BS!AV43</f>
        <v>2.3175800941775826</v>
      </c>
      <c r="AX61" s="258">
        <f t="shared" si="83"/>
        <v>1.1635368667808663</v>
      </c>
      <c r="AY61" s="258"/>
      <c r="AZ61" s="258">
        <f>+(BS!AZ43-BS!AW43)</f>
        <v>-1.2403088072742179</v>
      </c>
      <c r="BA61" s="258">
        <f>BS!BA43-BS!AZ43</f>
        <v>2.3316519225917602</v>
      </c>
      <c r="BB61" s="258">
        <f t="shared" si="84"/>
        <v>1.0913431153175424</v>
      </c>
      <c r="BC61" s="258"/>
      <c r="BD61" s="258">
        <f>+(BS!BD43-BS!BA43)</f>
        <v>-1.4745916499035694</v>
      </c>
      <c r="BE61" s="258">
        <f>BS!BE43-BS!BD43</f>
        <v>2.6198911052516358</v>
      </c>
      <c r="BF61" s="258">
        <f t="shared" si="85"/>
        <v>1.1452994553480664</v>
      </c>
      <c r="BG61" s="258"/>
      <c r="BH61" s="258">
        <f>+(BS!BH43-BS!BE43)</f>
        <v>-1.6524180297129405</v>
      </c>
      <c r="BI61" s="258">
        <f>BS!BI43-BS!BH43</f>
        <v>2.7736234638890735</v>
      </c>
      <c r="BJ61" s="258">
        <f t="shared" si="86"/>
        <v>1.1212054341761331</v>
      </c>
      <c r="BK61" s="258"/>
      <c r="BL61" s="258">
        <f>+(BS!BL43-BS!BI43)</f>
        <v>-1.7607396955436663</v>
      </c>
      <c r="BM61" s="258">
        <f>BS!BM43-BS!BL43</f>
        <v>2.9351009724956434</v>
      </c>
      <c r="BN61" s="258">
        <f t="shared" si="87"/>
        <v>1.1743612769519771</v>
      </c>
      <c r="BO61" s="258"/>
      <c r="BP61" s="258">
        <f>+(BS!BP43-BS!BM43)</f>
        <v>-1.7965432877685821</v>
      </c>
      <c r="BQ61" s="258">
        <f>BS!BQ43-BS!BP43</f>
        <v>2.9392364029168121</v>
      </c>
      <c r="BR61" s="258">
        <f t="shared" si="88"/>
        <v>1.14269311514823</v>
      </c>
      <c r="BS61" s="258"/>
      <c r="BT61" s="258">
        <f>+(BS!BT43-BS!BQ43)</f>
        <v>-1.906665122766384</v>
      </c>
      <c r="BU61" s="258">
        <f>BS!BU43-BS!BT43</f>
        <v>3.2828664336577305</v>
      </c>
      <c r="BV61" s="258">
        <f t="shared" si="121"/>
        <v>1.3762013108913465</v>
      </c>
      <c r="BW61" s="258"/>
      <c r="BX61" s="258">
        <f>+(BS!BX43-BS!BU43)</f>
        <v>-2.1197630126531024</v>
      </c>
      <c r="BY61" s="258">
        <f>BS!BY43-BS!BX43</f>
        <v>3.4699919225377869</v>
      </c>
      <c r="BZ61" s="258">
        <f t="shared" si="122"/>
        <v>1.3502289098846845</v>
      </c>
    </row>
    <row r="62" spans="1:78">
      <c r="B62" s="448" t="s">
        <v>455</v>
      </c>
      <c r="P62" s="258">
        <f>+(BS!P45-BS!M45)+(BS!P42-BS!M42)</f>
        <v>0.38000000000000256</v>
      </c>
      <c r="Q62" s="258">
        <f>+(BS!Q45-BS!P45)+(BS!Q42-BS!P42)</f>
        <v>-25.762</v>
      </c>
      <c r="T62" s="258">
        <f>+(BS!T45-BS!Q45)+(BS!T42-BS!Q42)</f>
        <v>23.667999999999999</v>
      </c>
      <c r="U62" s="258">
        <f>+(BS!U45-BS!T45)+(BS!U42-BS!T42)</f>
        <v>-2.6989999999999985</v>
      </c>
      <c r="X62" s="258">
        <f>+(BS!X45-BS!U45)+(BS!X42-BS!U42)</f>
        <v>17.113</v>
      </c>
      <c r="Y62" s="258">
        <f>+(BS!Y45-BS!X45)+(BS!Y42-BS!X42)</f>
        <v>-10.493000000000004</v>
      </c>
      <c r="AB62" s="258">
        <f>+(BS!AB45-BS!Y45)+(BS!AB42-BS!Y42)</f>
        <v>6.1660000000000057</v>
      </c>
      <c r="AC62" s="258">
        <f>+(BS!AC45-BS!AB45)+(BS!AC42-BS!AB42)</f>
        <v>51.602999999999987</v>
      </c>
      <c r="AD62" s="258">
        <f t="shared" si="91"/>
        <v>57.768999999999991</v>
      </c>
      <c r="AF62" s="258">
        <f>+(BS!AF45-BS!AC45)+(BS!AF42-BS!AC42)</f>
        <v>189.15</v>
      </c>
      <c r="AG62" s="258">
        <f>+(BS!AG45-BS!AF45)+(BS!AG42-BS!AF42)</f>
        <v>24.545000000000009</v>
      </c>
      <c r="AH62" s="258">
        <f t="shared" si="111"/>
        <v>213.69500000000002</v>
      </c>
      <c r="AJ62" s="258">
        <f>+(BS!AJ45-BS!AG45)+(BS!AJ42-BS!AG42)</f>
        <v>-13.179999999999986</v>
      </c>
      <c r="AK62" s="258">
        <f>+(BS!AK45-BS!AJ45)+(BS!AK42-BS!AJ42)</f>
        <v>-134.85300000000001</v>
      </c>
      <c r="AL62" s="258">
        <f t="shared" si="112"/>
        <v>-148.03299999999999</v>
      </c>
      <c r="AM62" s="258"/>
      <c r="AN62" s="258">
        <f>+(BS!AN45-BS!AK45)+(BS!AN42-BS!AK42)</f>
        <v>-3.3010000000000019</v>
      </c>
      <c r="AO62" s="258">
        <f>+(BS!AO45-BS!AN45)+(BS!AO42-BS!AN42)</f>
        <v>-11.800999999999988</v>
      </c>
      <c r="AP62" s="258">
        <f t="shared" si="113"/>
        <v>-15.10199999999999</v>
      </c>
      <c r="AQ62" s="258"/>
      <c r="AR62" s="258">
        <f>+(BS!AR45-BS!AO45)+(BS!AR42-BS!AO42)</f>
        <v>47.505336507967662</v>
      </c>
      <c r="AS62" s="258">
        <f>+(BS!AS45-BS!AR45)+(BS!AS42-BS!AR42)</f>
        <v>17.740439849025542</v>
      </c>
      <c r="AT62" s="258">
        <f t="shared" si="82"/>
        <v>65.245776356993204</v>
      </c>
      <c r="AU62" s="258"/>
      <c r="AV62" s="258">
        <f>+(BS!AV45-BS!AS45)+(BS!AV42-BS!AS42)</f>
        <v>-9.464825442576398</v>
      </c>
      <c r="AW62" s="258">
        <f>+(BS!AW45-BS!AV45)+(BS!AW42-BS!AV42)</f>
        <v>19.007512474262015</v>
      </c>
      <c r="AX62" s="258">
        <f t="shared" si="83"/>
        <v>9.5426870316856167</v>
      </c>
      <c r="AY62" s="258"/>
      <c r="AZ62" s="258">
        <f>+(BS!AZ45-BS!AW45)+(BS!AZ42-BS!AW42)</f>
        <v>-10.172328104400478</v>
      </c>
      <c r="BA62" s="258">
        <f>+(BS!BA45-BS!AZ45)+(BS!BA42-BS!AZ42)</f>
        <v>19.122921842330896</v>
      </c>
      <c r="BB62" s="258">
        <f t="shared" si="84"/>
        <v>8.9505937379304186</v>
      </c>
      <c r="BC62" s="258"/>
      <c r="BD62" s="258">
        <f>+(BS!BD45-BS!BA45)+(BS!BD42-BS!BA42)</f>
        <v>-12.093786639952498</v>
      </c>
      <c r="BE62" s="258">
        <f>+(BS!BE45-BS!BD45)+(BS!BE42-BS!BD42)</f>
        <v>21.486900491328967</v>
      </c>
      <c r="BF62" s="258">
        <f t="shared" si="85"/>
        <v>9.3931138513764694</v>
      </c>
      <c r="BG62" s="258"/>
      <c r="BH62" s="258">
        <f>+(BS!BH45-BS!BE45)+(BS!BH42-BS!BE42)</f>
        <v>-13.552220435173268</v>
      </c>
      <c r="BI62" s="258">
        <f>+(BS!BI45-BS!BH45)+(BS!BI42-BS!BH42)</f>
        <v>22.747728426397913</v>
      </c>
      <c r="BJ62" s="258">
        <f t="shared" si="86"/>
        <v>9.1955079912246447</v>
      </c>
      <c r="BK62" s="258"/>
      <c r="BL62" s="258">
        <f>+(BS!BL45-BS!BI45)+(BS!BL42-BS!BI42)</f>
        <v>-14.440614937560852</v>
      </c>
      <c r="BM62" s="258">
        <f>+(BS!BM45-BS!BL45)+(BS!BM42-BS!BL42)</f>
        <v>24.072077805676344</v>
      </c>
      <c r="BN62" s="258">
        <f t="shared" si="87"/>
        <v>9.6314628681154915</v>
      </c>
      <c r="BO62" s="258"/>
      <c r="BP62" s="258">
        <f>+(BS!BP45-BS!BM45)+(BS!BP42-BS!BM42)</f>
        <v>-14.73425623502807</v>
      </c>
      <c r="BQ62" s="258">
        <f>+(BS!BQ45-BS!BP45)+(BS!BQ42-BS!BP42)</f>
        <v>24.105994322958381</v>
      </c>
      <c r="BR62" s="258">
        <f t="shared" si="88"/>
        <v>9.3717380879303107</v>
      </c>
      <c r="BS62" s="258"/>
      <c r="BT62" s="258">
        <f>+(BS!BT45-BS!BQ45)+(BS!BT42-BS!BQ42)</f>
        <v>-15.637414731111022</v>
      </c>
      <c r="BU62" s="258">
        <f>+(BS!BU45-BS!BT45)+(BS!BU42-BS!BT42)</f>
        <v>26.924258128489058</v>
      </c>
      <c r="BV62" s="258">
        <f t="shared" si="121"/>
        <v>11.286843397378036</v>
      </c>
      <c r="BW62" s="258"/>
      <c r="BX62" s="258">
        <f>+(BS!BX45-BS!BU45)+(BS!BX42-BS!BU42)</f>
        <v>-17.385125979769327</v>
      </c>
      <c r="BY62" s="258">
        <f>+(BS!BY45-BS!BX45)+(BS!BY42-BS!BX42)</f>
        <v>28.458958082581518</v>
      </c>
      <c r="BZ62" s="258">
        <f t="shared" si="122"/>
        <v>11.07383210281219</v>
      </c>
    </row>
    <row r="63" spans="1:78">
      <c r="B63" s="451" t="s">
        <v>456</v>
      </c>
      <c r="P63" s="415">
        <f>SUM(P54:P62)</f>
        <v>-53.410999999999994</v>
      </c>
      <c r="Q63" s="415">
        <f>SUM(Q54:Q62)</f>
        <v>-95.897999999999996</v>
      </c>
      <c r="T63" s="415">
        <f>SUM(T54:T62)</f>
        <v>-13.540999999999997</v>
      </c>
      <c r="U63" s="415">
        <f>SUM(U54:U62)</f>
        <v>-149.85400000000001</v>
      </c>
      <c r="X63" s="415">
        <f>SUM(X54:X62)</f>
        <v>-109.66600000000001</v>
      </c>
      <c r="Y63" s="415">
        <f>SUM(Y54:Y62)</f>
        <v>-28.585999999999942</v>
      </c>
      <c r="AB63" s="415">
        <f>SUM(AB54:AB62)</f>
        <v>-41.172000000000004</v>
      </c>
      <c r="AC63" s="415">
        <f>SUM(AC54:AC62)</f>
        <v>-40.298000000000009</v>
      </c>
      <c r="AD63" s="415">
        <f>SUM(AD54:AD62)</f>
        <v>-81.470000000000041</v>
      </c>
      <c r="AF63" s="415">
        <f>SUM(AF54:AF62)</f>
        <v>-936.80000000000007</v>
      </c>
      <c r="AG63" s="415">
        <f>SUM(AG54:AG62)</f>
        <v>-135.43099999999987</v>
      </c>
      <c r="AH63" s="415">
        <f>SUM(AH54:AH62)</f>
        <v>-1072.231</v>
      </c>
      <c r="AJ63" s="415">
        <f>SUM(AJ54:AJ62)</f>
        <v>-115.11199999999997</v>
      </c>
      <c r="AK63" s="415">
        <f>SUM(AK54:AK62)</f>
        <v>-196.39000000000001</v>
      </c>
      <c r="AL63" s="415">
        <f>SUM(AL54:AL62)</f>
        <v>-311.50199999999995</v>
      </c>
      <c r="AM63" s="258"/>
      <c r="AN63" s="415">
        <f>SUM(AN54:AN62)</f>
        <v>-146.73100000000005</v>
      </c>
      <c r="AO63" s="415">
        <f>SUM(AO54:AO62)</f>
        <v>-420.37299999999999</v>
      </c>
      <c r="AP63" s="415">
        <f>SUM(AP54:AP62)</f>
        <v>-567.10400000000004</v>
      </c>
      <c r="AQ63" s="258"/>
      <c r="AR63" s="415">
        <f>SUM(AR54:AR62)</f>
        <v>65.208734819651227</v>
      </c>
      <c r="AS63" s="415">
        <f>SUM(AS54:AS62)</f>
        <v>59.408000097354652</v>
      </c>
      <c r="AT63" s="415">
        <f>SUM(AT54:AT62)</f>
        <v>124.61673491700589</v>
      </c>
      <c r="AU63" s="258"/>
      <c r="AV63" s="415">
        <f>SUM(AV54:AV62)</f>
        <v>9.1360497797055693</v>
      </c>
      <c r="AW63" s="415">
        <f>SUM(AW54:AW62)</f>
        <v>63.135294619974204</v>
      </c>
      <c r="AX63" s="415">
        <f>SUM(AX54:AX62)</f>
        <v>72.271344399679776</v>
      </c>
      <c r="AY63" s="258"/>
      <c r="AZ63" s="415">
        <f>SUM(AZ54:AZ62)</f>
        <v>9.1482534285623913</v>
      </c>
      <c r="BA63" s="415">
        <f>SUM(BA54:BA62)</f>
        <v>64.719523520783838</v>
      </c>
      <c r="BB63" s="415">
        <f>SUM(BB54:BB62)</f>
        <v>73.867776949346236</v>
      </c>
      <c r="BC63" s="258"/>
      <c r="BD63" s="415">
        <f>SUM(BD54:BD62)</f>
        <v>5.8003908734033622</v>
      </c>
      <c r="BE63" s="415">
        <f>SUM(BE54:BE62)</f>
        <v>69.49008811042512</v>
      </c>
      <c r="BF63" s="415">
        <f>SUM(BF54:BF62)</f>
        <v>75.290478983828478</v>
      </c>
      <c r="BG63" s="258"/>
      <c r="BH63" s="415">
        <f>SUM(BH54:BH62)</f>
        <v>3.3162430395180387</v>
      </c>
      <c r="BI63" s="415">
        <f>SUM(BI54:BI62)</f>
        <v>72.165449580290698</v>
      </c>
      <c r="BJ63" s="415">
        <f>SUM(BJ54:BJ62)</f>
        <v>75.481692619808754</v>
      </c>
      <c r="BK63" s="258"/>
      <c r="BL63" s="415">
        <f>SUM(BL54:BL62)</f>
        <v>1.89657890549962</v>
      </c>
      <c r="BM63" s="415">
        <f>SUM(BM54:BM62)</f>
        <v>74.949506555038568</v>
      </c>
      <c r="BN63" s="415">
        <f>SUM(BN54:BN62)</f>
        <v>76.846085460538191</v>
      </c>
      <c r="BO63" s="258"/>
      <c r="BP63" s="415">
        <f>SUM(BP54:BP62)</f>
        <v>1.5864704786198196</v>
      </c>
      <c r="BQ63" s="415">
        <f>SUM(BQ54:BQ62)</f>
        <v>75.281457205117334</v>
      </c>
      <c r="BR63" s="415">
        <f>SUM(BR54:BR62)</f>
        <v>76.86792768373715</v>
      </c>
      <c r="BS63" s="258"/>
      <c r="BT63" s="415">
        <f>SUM(BT54:BT62)</f>
        <v>0.10777853579358521</v>
      </c>
      <c r="BU63" s="415">
        <f>SUM(BU54:BU62)</f>
        <v>80.861965823005846</v>
      </c>
      <c r="BV63" s="415">
        <f>SUM(BV54:BV62)</f>
        <v>80.969744358799431</v>
      </c>
      <c r="BW63" s="258"/>
      <c r="BX63" s="415">
        <f>SUM(BX54:BX62)</f>
        <v>-2.9857033606370393</v>
      </c>
      <c r="BY63" s="415">
        <f>SUM(BY54:BY62)</f>
        <v>83.999941499625038</v>
      </c>
      <c r="BZ63" s="415">
        <f>SUM(BZ54:BZ62)</f>
        <v>81.01423813898802</v>
      </c>
    </row>
    <row r="64" spans="1:78">
      <c r="B64" s="450" t="s">
        <v>449</v>
      </c>
      <c r="P64" s="454">
        <f>P51</f>
        <v>-5.6749999999999989</v>
      </c>
      <c r="Q64" s="454">
        <f>Q51</f>
        <v>-18.834000000000003</v>
      </c>
      <c r="T64" s="454">
        <f>T51</f>
        <v>-9.4169999999999998</v>
      </c>
      <c r="U64" s="454">
        <f>U51</f>
        <v>-144.44</v>
      </c>
      <c r="X64" s="454">
        <f>X51</f>
        <v>-18.463999999999999</v>
      </c>
      <c r="Y64" s="454">
        <f>Y51</f>
        <v>41.696999999999996</v>
      </c>
      <c r="AB64" s="454">
        <f>AB51</f>
        <v>-19.000999999999994</v>
      </c>
      <c r="AC64" s="454">
        <f>AC51</f>
        <v>131.48799999999997</v>
      </c>
      <c r="AF64" s="454">
        <f>AF51</f>
        <v>-123.73099999999999</v>
      </c>
      <c r="AG64" s="454">
        <f>AG51</f>
        <v>-13.123000000000006</v>
      </c>
      <c r="AJ64" s="454">
        <f>AJ51</f>
        <v>-59.234999999999992</v>
      </c>
      <c r="AK64" s="454">
        <f>AK51</f>
        <v>-23.577999999999999</v>
      </c>
      <c r="AM64" s="258"/>
      <c r="AN64" s="454">
        <f>AN51</f>
        <v>-249.24100000000004</v>
      </c>
      <c r="AO64" s="454">
        <f>AO51</f>
        <v>-116.526</v>
      </c>
      <c r="AQ64" s="258"/>
      <c r="AR64" s="454"/>
      <c r="AS64" s="258"/>
      <c r="AT64" s="258"/>
      <c r="AU64" s="258"/>
      <c r="AV64" s="454"/>
      <c r="AW64" s="258"/>
      <c r="AX64" s="258"/>
      <c r="AY64" s="258"/>
      <c r="AZ64" s="454"/>
      <c r="BA64" s="258"/>
      <c r="BB64" s="258"/>
      <c r="BC64" s="258"/>
      <c r="BD64" s="454"/>
      <c r="BE64" s="258"/>
      <c r="BF64" s="258"/>
      <c r="BG64" s="258"/>
      <c r="BH64" s="454"/>
      <c r="BI64" s="258"/>
      <c r="BJ64" s="258"/>
      <c r="BK64" s="258"/>
      <c r="BL64" s="454"/>
      <c r="BM64" s="258"/>
      <c r="BN64" s="258"/>
      <c r="BO64" s="258"/>
      <c r="BP64" s="454"/>
      <c r="BQ64" s="258"/>
      <c r="BR64" s="258"/>
      <c r="BS64" s="258"/>
      <c r="BT64" s="454"/>
      <c r="BU64" s="258"/>
      <c r="BV64" s="258"/>
      <c r="BW64" s="258"/>
      <c r="BX64" s="454"/>
      <c r="BY64" s="258"/>
      <c r="BZ64" s="258"/>
    </row>
    <row r="65" spans="1:78">
      <c r="B65" s="448"/>
      <c r="T65" s="258"/>
      <c r="U65" s="258"/>
      <c r="X65" s="258"/>
      <c r="Y65" s="258"/>
      <c r="AB65" s="258"/>
      <c r="AC65" s="258"/>
      <c r="AF65" s="258"/>
      <c r="AG65" s="258"/>
      <c r="AJ65" s="258"/>
      <c r="AK65" s="258"/>
      <c r="AM65" s="258"/>
      <c r="AN65" s="258"/>
      <c r="AO65" s="258"/>
      <c r="AP65" s="258"/>
      <c r="AQ65" s="258"/>
      <c r="AR65" s="258"/>
      <c r="AS65" s="258"/>
      <c r="AT65" s="258"/>
      <c r="AU65" s="258"/>
      <c r="AV65" s="258"/>
      <c r="AW65" s="258"/>
      <c r="AX65" s="258"/>
      <c r="AY65" s="258"/>
      <c r="AZ65" s="258"/>
      <c r="BA65" s="258"/>
      <c r="BB65" s="258"/>
      <c r="BC65" s="258"/>
      <c r="BD65" s="258"/>
      <c r="BE65" s="258"/>
      <c r="BF65" s="258"/>
      <c r="BG65" s="258"/>
      <c r="BH65" s="258"/>
      <c r="BI65" s="258"/>
      <c r="BJ65" s="258"/>
      <c r="BK65" s="258"/>
      <c r="BL65" s="258"/>
      <c r="BM65" s="258"/>
      <c r="BN65" s="258"/>
      <c r="BO65" s="258"/>
      <c r="BP65" s="258"/>
      <c r="BQ65" s="258"/>
      <c r="BR65" s="258"/>
      <c r="BS65" s="258"/>
      <c r="BT65" s="258"/>
      <c r="BU65" s="258"/>
      <c r="BV65" s="258"/>
      <c r="BW65" s="258"/>
      <c r="BX65" s="258"/>
      <c r="BY65" s="258"/>
      <c r="BZ65" s="258"/>
    </row>
    <row r="66" spans="1:78" s="140" customFormat="1" ht="15.6">
      <c r="A66" s="149"/>
      <c r="B66" s="511" t="s">
        <v>20</v>
      </c>
      <c r="F66" s="219"/>
      <c r="J66" s="219"/>
      <c r="N66" s="219"/>
      <c r="R66" s="219"/>
      <c r="V66" s="219"/>
      <c r="W66" s="219"/>
      <c r="Z66" s="219"/>
      <c r="AA66" s="219"/>
      <c r="AB66" s="219"/>
      <c r="AE66" s="219"/>
      <c r="AF66" s="219"/>
      <c r="AI66" s="219"/>
      <c r="AJ66" s="219"/>
      <c r="AL66" s="219"/>
    </row>
    <row r="67" spans="1:78" s="218" customFormat="1">
      <c r="A67" s="242"/>
      <c r="B67" s="242" t="s">
        <v>214</v>
      </c>
      <c r="D67" s="230">
        <v>0</v>
      </c>
      <c r="E67" s="161">
        <f t="shared" ref="E67:E78" si="123">F67-D67</f>
        <v>0</v>
      </c>
      <c r="F67" s="230">
        <v>0</v>
      </c>
      <c r="H67" s="230">
        <v>0</v>
      </c>
      <c r="I67" s="161">
        <f t="shared" ref="I67:I78" si="124">J67-H67</f>
        <v>0</v>
      </c>
      <c r="J67" s="230">
        <v>0</v>
      </c>
      <c r="L67" s="230">
        <v>0</v>
      </c>
      <c r="M67" s="161">
        <f t="shared" ref="M67:M78" si="125">N67-L67</f>
        <v>0</v>
      </c>
      <c r="N67" s="230">
        <v>0</v>
      </c>
      <c r="P67" s="230">
        <v>0</v>
      </c>
      <c r="Q67" s="161">
        <f t="shared" ref="Q67:Q78" si="126">R67-P67</f>
        <v>0</v>
      </c>
      <c r="R67" s="230">
        <v>0</v>
      </c>
      <c r="T67" s="230">
        <v>0</v>
      </c>
      <c r="U67" s="161">
        <f>V67-T67</f>
        <v>0</v>
      </c>
      <c r="V67" s="230">
        <v>0</v>
      </c>
      <c r="X67" s="230">
        <v>0</v>
      </c>
      <c r="Y67" s="161">
        <f>Z67-X67</f>
        <v>0</v>
      </c>
      <c r="Z67" s="230">
        <v>0</v>
      </c>
      <c r="AB67" s="230">
        <v>0</v>
      </c>
      <c r="AC67" s="161">
        <f t="shared" ref="AC67:AC78" si="127">AD67-AB67</f>
        <v>341.86099999999999</v>
      </c>
      <c r="AD67" s="230">
        <v>341.86099999999999</v>
      </c>
      <c r="AF67" s="181">
        <v>0</v>
      </c>
      <c r="AG67" s="161">
        <f t="shared" ref="AG67:AG78" si="128">AH67-AF67</f>
        <v>161.297</v>
      </c>
      <c r="AH67" s="181">
        <v>161.297</v>
      </c>
      <c r="AJ67" s="230">
        <v>0</v>
      </c>
      <c r="AK67" s="161">
        <f t="shared" ref="AK67:AK78" si="129">AL67-AJ67</f>
        <v>195.74100000000001</v>
      </c>
      <c r="AL67" s="230">
        <v>195.74100000000001</v>
      </c>
      <c r="AN67" s="181">
        <v>24.847999999999999</v>
      </c>
      <c r="AO67" s="161">
        <f t="shared" ref="AO67:AO78" si="130">AP67-AN67</f>
        <v>0</v>
      </c>
      <c r="AP67" s="916">
        <v>24.847999999999999</v>
      </c>
    </row>
    <row r="68" spans="1:78" s="161" customFormat="1">
      <c r="A68" s="148"/>
      <c r="B68" s="148" t="s">
        <v>473</v>
      </c>
      <c r="D68" s="230">
        <v>-8.5960000000000001</v>
      </c>
      <c r="E68" s="161">
        <f t="shared" si="123"/>
        <v>-3.4320000000000004</v>
      </c>
      <c r="F68" s="230">
        <v>-12.028</v>
      </c>
      <c r="H68" s="230">
        <v>-17.876999999999999</v>
      </c>
      <c r="I68" s="161">
        <f t="shared" si="124"/>
        <v>-7.9810000000000016</v>
      </c>
      <c r="J68" s="230">
        <v>-25.858000000000001</v>
      </c>
      <c r="L68" s="230">
        <v>-18.835000000000001</v>
      </c>
      <c r="M68" s="161">
        <f t="shared" si="125"/>
        <v>-8.6189999999999998</v>
      </c>
      <c r="N68" s="230">
        <v>-27.454000000000001</v>
      </c>
      <c r="P68" s="230">
        <v>-20.431000000000001</v>
      </c>
      <c r="Q68" s="161">
        <f t="shared" si="126"/>
        <v>-9.9229999999999983</v>
      </c>
      <c r="R68" s="230">
        <v>-30.353999999999999</v>
      </c>
      <c r="T68" s="230">
        <v>-20.603000000000002</v>
      </c>
      <c r="U68" s="161">
        <f t="shared" ref="U68:U78" si="131">V68-T68</f>
        <v>0</v>
      </c>
      <c r="V68" s="230">
        <v>-20.603000000000002</v>
      </c>
      <c r="W68" s="218"/>
      <c r="X68" s="230">
        <v>-34.932000000000002</v>
      </c>
      <c r="Y68" s="161">
        <f t="shared" ref="Y68:Y78" si="132">Z68-X68</f>
        <v>-11.780000000000001</v>
      </c>
      <c r="Z68" s="230">
        <v>-46.712000000000003</v>
      </c>
      <c r="AA68" s="218"/>
      <c r="AB68" s="230">
        <v>-29.016999999999999</v>
      </c>
      <c r="AC68" s="161">
        <f t="shared" si="127"/>
        <v>-12.660999999999998</v>
      </c>
      <c r="AD68" s="230">
        <v>-41.677999999999997</v>
      </c>
      <c r="AE68" s="218"/>
      <c r="AF68" s="181">
        <v>-35.154000000000003</v>
      </c>
      <c r="AG68" s="161">
        <f t="shared" si="128"/>
        <v>-17.260999999999996</v>
      </c>
      <c r="AH68" s="181">
        <v>-52.414999999999999</v>
      </c>
      <c r="AI68" s="218"/>
      <c r="AJ68" s="230">
        <v>-50.951000000000001</v>
      </c>
      <c r="AK68" s="161">
        <f t="shared" si="129"/>
        <v>-21.702000000000005</v>
      </c>
      <c r="AL68" s="230">
        <v>-72.653000000000006</v>
      </c>
      <c r="AN68" s="181">
        <v>-68.787000000000006</v>
      </c>
      <c r="AO68" s="161">
        <f t="shared" si="130"/>
        <v>-29.146999999999991</v>
      </c>
      <c r="AP68" s="916">
        <v>-97.933999999999997</v>
      </c>
      <c r="AR68" s="230"/>
      <c r="AS68" s="230"/>
      <c r="AV68" s="230"/>
      <c r="AW68" s="230"/>
      <c r="AZ68" s="230"/>
      <c r="BA68" s="230"/>
      <c r="BD68" s="230"/>
      <c r="BE68" s="230"/>
      <c r="BH68" s="230"/>
      <c r="BI68" s="230"/>
      <c r="BL68" s="230"/>
      <c r="BM68" s="230"/>
      <c r="BP68" s="230"/>
      <c r="BQ68" s="230"/>
      <c r="BT68" s="230"/>
      <c r="BU68" s="230"/>
      <c r="BX68" s="230"/>
      <c r="BY68" s="230"/>
    </row>
    <row r="69" spans="1:78" s="161" customFormat="1">
      <c r="A69" s="148"/>
      <c r="B69" s="148" t="s">
        <v>215</v>
      </c>
      <c r="D69" s="230">
        <v>-1.98</v>
      </c>
      <c r="E69" s="161">
        <f t="shared" si="123"/>
        <v>-2.419</v>
      </c>
      <c r="F69" s="230">
        <v>-4.399</v>
      </c>
      <c r="H69" s="230">
        <v>-4.3869999999999996</v>
      </c>
      <c r="I69" s="161">
        <f t="shared" si="124"/>
        <v>-4.117</v>
      </c>
      <c r="J69" s="230">
        <v>-8.5039999999999996</v>
      </c>
      <c r="L69" s="230">
        <v>-2.9319999999999999</v>
      </c>
      <c r="M69" s="161">
        <f t="shared" si="125"/>
        <v>-2.5589999999999997</v>
      </c>
      <c r="N69" s="230">
        <v>-5.4909999999999997</v>
      </c>
      <c r="P69" s="230">
        <v>-6.492</v>
      </c>
      <c r="Q69" s="161">
        <f t="shared" si="126"/>
        <v>-3.4769999999999994</v>
      </c>
      <c r="R69" s="230">
        <v>-9.9689999999999994</v>
      </c>
      <c r="T69" s="230">
        <v>-4.641</v>
      </c>
      <c r="U69" s="161">
        <f t="shared" si="131"/>
        <v>-3.7309999999999999</v>
      </c>
      <c r="V69" s="230">
        <v>-8.3719999999999999</v>
      </c>
      <c r="W69" s="218"/>
      <c r="X69" s="230">
        <v>-5.6779999999999999</v>
      </c>
      <c r="Y69" s="161">
        <f t="shared" si="132"/>
        <v>-7.9680000000000009</v>
      </c>
      <c r="Z69" s="230">
        <v>-13.646000000000001</v>
      </c>
      <c r="AA69" s="218"/>
      <c r="AB69" s="230">
        <v>-6.8310000000000004</v>
      </c>
      <c r="AC69" s="161">
        <f t="shared" si="127"/>
        <v>-8.1559999999999988</v>
      </c>
      <c r="AD69" s="230">
        <v>-14.987</v>
      </c>
      <c r="AE69" s="218"/>
      <c r="AF69" s="181">
        <v>-15.487</v>
      </c>
      <c r="AG69" s="161">
        <f t="shared" si="128"/>
        <v>-6.65</v>
      </c>
      <c r="AH69" s="181">
        <v>-22.137</v>
      </c>
      <c r="AI69" s="218"/>
      <c r="AJ69" s="230">
        <v>-14.269</v>
      </c>
      <c r="AK69" s="161">
        <f t="shared" si="129"/>
        <v>-13.818</v>
      </c>
      <c r="AL69" s="230">
        <v>-28.087</v>
      </c>
      <c r="AN69" s="181">
        <v>-12.61</v>
      </c>
      <c r="AO69" s="161">
        <f t="shared" si="130"/>
        <v>-18.861000000000001</v>
      </c>
      <c r="AP69" s="916">
        <v>-31.471</v>
      </c>
      <c r="AR69" s="230"/>
      <c r="AS69" s="230"/>
      <c r="AV69" s="230"/>
      <c r="AW69" s="230"/>
      <c r="AZ69" s="230"/>
      <c r="BA69" s="230"/>
      <c r="BD69" s="230"/>
      <c r="BE69" s="230"/>
      <c r="BH69" s="230"/>
      <c r="BI69" s="230"/>
      <c r="BL69" s="230"/>
      <c r="BM69" s="230"/>
      <c r="BP69" s="230"/>
      <c r="BQ69" s="230"/>
      <c r="BT69" s="230"/>
      <c r="BU69" s="230"/>
      <c r="BX69" s="230"/>
      <c r="BY69" s="230"/>
    </row>
    <row r="70" spans="1:78" s="161" customFormat="1">
      <c r="A70" s="148"/>
      <c r="B70" s="148" t="s">
        <v>686</v>
      </c>
      <c r="D70" s="230"/>
      <c r="F70" s="230"/>
      <c r="H70" s="230"/>
      <c r="J70" s="230"/>
      <c r="L70" s="230"/>
      <c r="N70" s="230"/>
      <c r="P70" s="230"/>
      <c r="R70" s="230"/>
      <c r="T70" s="230"/>
      <c r="V70" s="230"/>
      <c r="W70" s="218"/>
      <c r="X70" s="230"/>
      <c r="Z70" s="230"/>
      <c r="AA70" s="218"/>
      <c r="AB70" s="230"/>
      <c r="AD70" s="230"/>
      <c r="AE70" s="218"/>
      <c r="AF70" s="181">
        <v>0</v>
      </c>
      <c r="AG70" s="161">
        <f t="shared" si="128"/>
        <v>-11.804</v>
      </c>
      <c r="AH70" s="230">
        <v>-11.804</v>
      </c>
      <c r="AI70" s="218"/>
      <c r="AJ70" s="230">
        <v>-7.976</v>
      </c>
      <c r="AK70" s="161">
        <f t="shared" si="129"/>
        <v>-7.4539999999999997</v>
      </c>
      <c r="AL70" s="230">
        <v>-15.43</v>
      </c>
      <c r="AN70" s="181">
        <v>-8.391</v>
      </c>
      <c r="AO70" s="161">
        <f t="shared" si="130"/>
        <v>-19.112000000000002</v>
      </c>
      <c r="AP70" s="916">
        <v>-27.503</v>
      </c>
      <c r="AR70" s="230"/>
      <c r="AS70" s="230"/>
      <c r="AV70" s="230"/>
      <c r="AW70" s="230"/>
      <c r="AZ70" s="230"/>
      <c r="BA70" s="230"/>
      <c r="BD70" s="230"/>
      <c r="BE70" s="230"/>
      <c r="BH70" s="230"/>
      <c r="BI70" s="230"/>
      <c r="BL70" s="230"/>
      <c r="BM70" s="230"/>
      <c r="BP70" s="230"/>
      <c r="BQ70" s="230"/>
      <c r="BT70" s="230"/>
      <c r="BU70" s="230"/>
      <c r="BX70" s="230"/>
      <c r="BY70" s="230"/>
    </row>
    <row r="71" spans="1:78" s="140" customFormat="1">
      <c r="A71" s="149"/>
      <c r="B71" s="149" t="s">
        <v>216</v>
      </c>
      <c r="D71" s="231">
        <v>26.396999999999998</v>
      </c>
      <c r="E71" s="140">
        <f t="shared" si="123"/>
        <v>-3.009999999999998</v>
      </c>
      <c r="F71" s="231">
        <v>23.387</v>
      </c>
      <c r="H71" s="231">
        <v>1.079</v>
      </c>
      <c r="I71" s="140">
        <f t="shared" si="124"/>
        <v>5.5310000000000006</v>
      </c>
      <c r="J71" s="231">
        <v>6.61</v>
      </c>
      <c r="L71" s="231">
        <v>95.375</v>
      </c>
      <c r="M71" s="140">
        <f t="shared" si="125"/>
        <v>-67.947000000000003</v>
      </c>
      <c r="N71" s="231">
        <v>27.428000000000001</v>
      </c>
      <c r="P71" s="231">
        <v>1.413</v>
      </c>
      <c r="Q71" s="140">
        <f t="shared" si="126"/>
        <v>2.8029999999999999</v>
      </c>
      <c r="R71" s="231">
        <v>4.2160000000000002</v>
      </c>
      <c r="T71" s="231">
        <v>0.46400000000000002</v>
      </c>
      <c r="U71" s="140">
        <f t="shared" si="131"/>
        <v>141.98699999999999</v>
      </c>
      <c r="V71" s="231">
        <v>142.45099999999999</v>
      </c>
      <c r="W71" s="219"/>
      <c r="X71" s="231">
        <v>40.567999999999998</v>
      </c>
      <c r="Y71" s="140">
        <f t="shared" si="132"/>
        <v>10.983000000000004</v>
      </c>
      <c r="Z71" s="231">
        <v>51.551000000000002</v>
      </c>
      <c r="AA71" s="219"/>
      <c r="AB71" s="231">
        <v>31.35</v>
      </c>
      <c r="AC71" s="140">
        <f t="shared" si="127"/>
        <v>0.75300000000000011</v>
      </c>
      <c r="AD71" s="231">
        <v>32.103000000000002</v>
      </c>
      <c r="AE71" s="219"/>
      <c r="AF71" s="175">
        <v>653.91800000000001</v>
      </c>
      <c r="AG71" s="140">
        <f t="shared" si="128"/>
        <v>55.397000000000048</v>
      </c>
      <c r="AH71" s="175">
        <v>709.31500000000005</v>
      </c>
      <c r="AI71" s="219"/>
      <c r="AJ71" s="231">
        <v>132.255</v>
      </c>
      <c r="AK71" s="140">
        <f t="shared" si="129"/>
        <v>-34.941999999999993</v>
      </c>
      <c r="AL71" s="231">
        <v>97.313000000000002</v>
      </c>
      <c r="AN71" s="175">
        <v>136.40100000000001</v>
      </c>
      <c r="AO71" s="140">
        <f t="shared" si="130"/>
        <v>99.923999999999978</v>
      </c>
      <c r="AP71" s="915">
        <v>236.32499999999999</v>
      </c>
      <c r="AR71" s="231"/>
      <c r="AS71" s="231"/>
      <c r="AV71" s="231"/>
      <c r="AW71" s="231"/>
      <c r="AZ71" s="231"/>
      <c r="BA71" s="231"/>
      <c r="BD71" s="231"/>
      <c r="BE71" s="231"/>
      <c r="BH71" s="231"/>
      <c r="BI71" s="231"/>
      <c r="BL71" s="231"/>
      <c r="BM71" s="231"/>
      <c r="BP71" s="231"/>
      <c r="BQ71" s="231"/>
      <c r="BT71" s="231"/>
      <c r="BU71" s="231"/>
      <c r="BX71" s="231"/>
      <c r="BY71" s="231"/>
    </row>
    <row r="72" spans="1:78" s="140" customFormat="1">
      <c r="A72" s="149"/>
      <c r="B72" s="149" t="s">
        <v>217</v>
      </c>
      <c r="D72" s="231">
        <v>-1.2849999999999999</v>
      </c>
      <c r="E72" s="140">
        <f t="shared" si="123"/>
        <v>1.2849999999999999</v>
      </c>
      <c r="F72" s="231">
        <v>0</v>
      </c>
      <c r="H72" s="231">
        <v>-1.2210000000000001</v>
      </c>
      <c r="I72" s="140">
        <f t="shared" si="124"/>
        <v>1.2210000000000001</v>
      </c>
      <c r="J72" s="231">
        <v>0</v>
      </c>
      <c r="L72" s="231">
        <v>-74.91</v>
      </c>
      <c r="M72" s="140">
        <f t="shared" si="125"/>
        <v>74.91</v>
      </c>
      <c r="N72" s="231">
        <v>0</v>
      </c>
      <c r="P72" s="231">
        <v>-70.528999999999996</v>
      </c>
      <c r="Q72" s="140">
        <f t="shared" si="126"/>
        <v>21.720999999999997</v>
      </c>
      <c r="R72" s="231">
        <v>-48.808</v>
      </c>
      <c r="T72" s="231">
        <v>-15.353</v>
      </c>
      <c r="U72" s="140">
        <f t="shared" si="131"/>
        <v>0.84299999999999997</v>
      </c>
      <c r="V72" s="231">
        <v>-14.51</v>
      </c>
      <c r="W72" s="219"/>
      <c r="X72" s="231">
        <v>-9.5890000000000004</v>
      </c>
      <c r="Y72" s="140">
        <f t="shared" si="132"/>
        <v>-52.207000000000001</v>
      </c>
      <c r="Z72" s="231">
        <v>-61.795999999999999</v>
      </c>
      <c r="AA72" s="219"/>
      <c r="AB72" s="231">
        <v>-13.552</v>
      </c>
      <c r="AC72" s="140">
        <f t="shared" si="127"/>
        <v>-194.8</v>
      </c>
      <c r="AD72" s="231">
        <v>-208.352</v>
      </c>
      <c r="AE72" s="219"/>
      <c r="AF72" s="175">
        <v>-4.3159999999999998</v>
      </c>
      <c r="AG72" s="140">
        <f t="shared" si="128"/>
        <v>-174.50899999999999</v>
      </c>
      <c r="AH72" s="175">
        <v>-178.82499999999999</v>
      </c>
      <c r="AI72" s="219"/>
      <c r="AJ72" s="231">
        <v>-36.942999999999998</v>
      </c>
      <c r="AK72" s="140">
        <f t="shared" si="129"/>
        <v>0.49099999999999966</v>
      </c>
      <c r="AL72" s="231">
        <v>-36.451999999999998</v>
      </c>
      <c r="AN72" s="175">
        <v>-8.1129999999999995</v>
      </c>
      <c r="AO72" s="140">
        <f t="shared" si="130"/>
        <v>-1.495000000000001</v>
      </c>
      <c r="AP72" s="915">
        <v>-9.6080000000000005</v>
      </c>
      <c r="AR72" s="231"/>
      <c r="AS72" s="231"/>
      <c r="AV72" s="231"/>
      <c r="AW72" s="231"/>
      <c r="AZ72" s="231"/>
      <c r="BA72" s="231"/>
      <c r="BD72" s="231"/>
      <c r="BE72" s="231"/>
      <c r="BH72" s="231"/>
      <c r="BI72" s="231"/>
      <c r="BL72" s="231"/>
      <c r="BM72" s="231"/>
      <c r="BP72" s="231"/>
      <c r="BQ72" s="231"/>
      <c r="BT72" s="231"/>
      <c r="BU72" s="231"/>
      <c r="BX72" s="231"/>
      <c r="BY72" s="231"/>
    </row>
    <row r="73" spans="1:78" s="218" customFormat="1">
      <c r="A73" s="242"/>
      <c r="B73" s="242" t="s">
        <v>218</v>
      </c>
      <c r="D73" s="230">
        <v>0</v>
      </c>
      <c r="E73" s="161">
        <f t="shared" si="123"/>
        <v>0</v>
      </c>
      <c r="F73" s="230">
        <v>0</v>
      </c>
      <c r="H73" s="230">
        <v>0</v>
      </c>
      <c r="I73" s="161">
        <f t="shared" si="124"/>
        <v>0</v>
      </c>
      <c r="J73" s="230">
        <v>0</v>
      </c>
      <c r="L73" s="230">
        <v>0</v>
      </c>
      <c r="M73" s="161">
        <f t="shared" si="125"/>
        <v>0</v>
      </c>
      <c r="N73" s="230">
        <v>0</v>
      </c>
      <c r="P73" s="230">
        <v>113.27</v>
      </c>
      <c r="Q73" s="161">
        <f t="shared" si="126"/>
        <v>-7.2999999999993292E-2</v>
      </c>
      <c r="R73" s="230">
        <v>113.197</v>
      </c>
      <c r="T73" s="230">
        <v>0</v>
      </c>
      <c r="U73" s="161">
        <f t="shared" si="131"/>
        <v>0</v>
      </c>
      <c r="V73" s="230">
        <v>0</v>
      </c>
      <c r="X73" s="230">
        <v>0</v>
      </c>
      <c r="Y73" s="161">
        <f t="shared" si="132"/>
        <v>0</v>
      </c>
      <c r="Z73" s="230">
        <v>0</v>
      </c>
      <c r="AB73" s="230">
        <v>0</v>
      </c>
      <c r="AC73" s="161">
        <f t="shared" si="127"/>
        <v>5.9669999999999996</v>
      </c>
      <c r="AD73" s="230">
        <v>5.9669999999999996</v>
      </c>
      <c r="AF73" s="181">
        <v>0</v>
      </c>
      <c r="AG73" s="161">
        <f t="shared" si="128"/>
        <v>0</v>
      </c>
      <c r="AH73" s="181">
        <v>0</v>
      </c>
      <c r="AJ73" s="230">
        <v>0</v>
      </c>
      <c r="AK73" s="161">
        <f t="shared" si="129"/>
        <v>0</v>
      </c>
      <c r="AL73" s="230">
        <v>0</v>
      </c>
      <c r="AN73" s="181">
        <v>0</v>
      </c>
      <c r="AO73" s="161">
        <f t="shared" si="130"/>
        <v>0</v>
      </c>
      <c r="AP73" s="916">
        <v>0</v>
      </c>
    </row>
    <row r="74" spans="1:78" s="161" customFormat="1">
      <c r="A74" s="148"/>
      <c r="B74" s="148" t="s">
        <v>219</v>
      </c>
      <c r="D74" s="230">
        <v>0</v>
      </c>
      <c r="E74" s="161">
        <f t="shared" si="123"/>
        <v>0</v>
      </c>
      <c r="F74" s="230">
        <v>0</v>
      </c>
      <c r="H74" s="230">
        <v>0</v>
      </c>
      <c r="I74" s="161">
        <f t="shared" si="124"/>
        <v>0</v>
      </c>
      <c r="J74" s="230">
        <v>0</v>
      </c>
      <c r="L74" s="230">
        <v>0</v>
      </c>
      <c r="M74" s="161">
        <f t="shared" si="125"/>
        <v>0</v>
      </c>
      <c r="N74" s="230">
        <v>0</v>
      </c>
      <c r="P74" s="230">
        <v>0</v>
      </c>
      <c r="Q74" s="161">
        <f t="shared" si="126"/>
        <v>0</v>
      </c>
      <c r="R74" s="230">
        <v>0</v>
      </c>
      <c r="T74" s="230">
        <v>-3.5449999999999999</v>
      </c>
      <c r="U74" s="161">
        <f t="shared" si="131"/>
        <v>-5.6229999999999993</v>
      </c>
      <c r="V74" s="230">
        <v>-9.1679999999999993</v>
      </c>
      <c r="W74" s="218"/>
      <c r="X74" s="230">
        <v>-4.6020000000000003</v>
      </c>
      <c r="Y74" s="161">
        <f t="shared" si="132"/>
        <v>-4.7439999999999998</v>
      </c>
      <c r="Z74" s="230">
        <v>-9.3460000000000001</v>
      </c>
      <c r="AA74" s="218"/>
      <c r="AB74" s="230">
        <v>-3.6139999999999999</v>
      </c>
      <c r="AC74" s="161">
        <f t="shared" si="127"/>
        <v>-3.7780000000000005</v>
      </c>
      <c r="AD74" s="230">
        <v>-7.3920000000000003</v>
      </c>
      <c r="AE74" s="218"/>
      <c r="AF74" s="181">
        <v>-4.1859999999999999</v>
      </c>
      <c r="AG74" s="161">
        <f t="shared" si="128"/>
        <v>-6.0690000000000008</v>
      </c>
      <c r="AH74" s="181">
        <v>-10.255000000000001</v>
      </c>
      <c r="AI74" s="218"/>
      <c r="AJ74" s="230">
        <v>-7.4089999999999998</v>
      </c>
      <c r="AK74" s="161">
        <f t="shared" si="129"/>
        <v>-6.9159999999999995</v>
      </c>
      <c r="AL74" s="230">
        <v>-14.324999999999999</v>
      </c>
      <c r="AN74" s="181">
        <v>-6.6760000000000002</v>
      </c>
      <c r="AO74" s="161">
        <f t="shared" si="130"/>
        <v>-9.2219999999999995</v>
      </c>
      <c r="AP74" s="916">
        <v>-15.898</v>
      </c>
      <c r="AR74" s="230"/>
      <c r="AS74" s="230"/>
      <c r="AV74" s="230"/>
      <c r="AW74" s="230"/>
      <c r="AZ74" s="230"/>
      <c r="BA74" s="230"/>
      <c r="BD74" s="230"/>
      <c r="BE74" s="230"/>
      <c r="BH74" s="230"/>
      <c r="BI74" s="230"/>
      <c r="BL74" s="230"/>
      <c r="BM74" s="230"/>
      <c r="BP74" s="230"/>
      <c r="BQ74" s="230"/>
      <c r="BT74" s="230"/>
      <c r="BU74" s="230"/>
      <c r="BX74" s="230"/>
      <c r="BY74" s="230"/>
    </row>
    <row r="75" spans="1:78" s="161" customFormat="1">
      <c r="A75" s="148"/>
      <c r="B75" s="148" t="s">
        <v>220</v>
      </c>
      <c r="D75" s="230">
        <v>-3.93</v>
      </c>
      <c r="E75" s="161">
        <f t="shared" si="123"/>
        <v>-0.39999999999999991</v>
      </c>
      <c r="F75" s="230">
        <v>-4.33</v>
      </c>
      <c r="H75" s="230">
        <v>-15.298</v>
      </c>
      <c r="I75" s="161">
        <f t="shared" si="124"/>
        <v>-8.2569999999999997</v>
      </c>
      <c r="J75" s="230">
        <v>-23.555</v>
      </c>
      <c r="L75" s="230">
        <v>-12.532</v>
      </c>
      <c r="M75" s="161">
        <f t="shared" si="125"/>
        <v>-5.8790000000000013</v>
      </c>
      <c r="N75" s="230">
        <v>-18.411000000000001</v>
      </c>
      <c r="P75" s="230">
        <v>-2.5939999999999999</v>
      </c>
      <c r="Q75" s="161">
        <f t="shared" si="126"/>
        <v>2.5939999999999999</v>
      </c>
      <c r="R75" s="230">
        <v>0</v>
      </c>
      <c r="T75" s="230">
        <v>0</v>
      </c>
      <c r="U75" s="161">
        <f t="shared" si="131"/>
        <v>0</v>
      </c>
      <c r="V75" s="230">
        <v>0</v>
      </c>
      <c r="W75" s="218"/>
      <c r="X75" s="230">
        <v>0</v>
      </c>
      <c r="Y75" s="161">
        <f t="shared" si="132"/>
        <v>1.92</v>
      </c>
      <c r="Z75" s="230">
        <v>1.92</v>
      </c>
      <c r="AA75" s="218"/>
      <c r="AB75" s="230">
        <v>0</v>
      </c>
      <c r="AC75" s="161">
        <f t="shared" si="127"/>
        <v>0</v>
      </c>
      <c r="AD75" s="230">
        <v>0</v>
      </c>
      <c r="AE75" s="218"/>
      <c r="AF75" s="181">
        <v>0</v>
      </c>
      <c r="AG75" s="161">
        <f t="shared" si="128"/>
        <v>0</v>
      </c>
      <c r="AH75" s="181">
        <v>0</v>
      </c>
      <c r="AI75" s="218"/>
      <c r="AJ75" s="230">
        <v>0</v>
      </c>
      <c r="AK75" s="161">
        <f t="shared" si="129"/>
        <v>0</v>
      </c>
      <c r="AL75" s="230">
        <v>0</v>
      </c>
      <c r="AN75" s="181">
        <v>0</v>
      </c>
      <c r="AO75" s="161">
        <f t="shared" si="130"/>
        <v>0</v>
      </c>
      <c r="AP75" s="916">
        <v>0</v>
      </c>
      <c r="AR75" s="230"/>
      <c r="AS75" s="230"/>
      <c r="AV75" s="230"/>
      <c r="AW75" s="230"/>
      <c r="AZ75" s="230"/>
      <c r="BA75" s="230"/>
      <c r="BD75" s="230"/>
      <c r="BE75" s="230"/>
      <c r="BH75" s="230"/>
      <c r="BI75" s="230"/>
      <c r="BL75" s="230"/>
      <c r="BM75" s="230"/>
      <c r="BP75" s="230"/>
      <c r="BQ75" s="230"/>
      <c r="BT75" s="230"/>
      <c r="BU75" s="230"/>
      <c r="BX75" s="230"/>
      <c r="BY75" s="230"/>
    </row>
    <row r="76" spans="1:78" s="161" customFormat="1">
      <c r="A76" s="148"/>
      <c r="B76" s="148" t="s">
        <v>440</v>
      </c>
      <c r="D76" s="230">
        <v>0</v>
      </c>
      <c r="E76" s="161">
        <f t="shared" ref="E76" si="133">F76-D76</f>
        <v>0</v>
      </c>
      <c r="F76" s="230">
        <v>0</v>
      </c>
      <c r="H76" s="230">
        <v>0</v>
      </c>
      <c r="I76" s="161">
        <f t="shared" ref="I76" si="134">J76-H76</f>
        <v>0</v>
      </c>
      <c r="J76" s="230">
        <v>0</v>
      </c>
      <c r="L76" s="230">
        <v>0</v>
      </c>
      <c r="M76" s="161">
        <f t="shared" ref="M76" si="135">N76-L76</f>
        <v>0</v>
      </c>
      <c r="N76" s="230">
        <v>0</v>
      </c>
      <c r="P76" s="230">
        <v>0</v>
      </c>
      <c r="Q76" s="161">
        <f t="shared" ref="Q76" si="136">R76-P76</f>
        <v>0</v>
      </c>
      <c r="R76" s="230">
        <v>0</v>
      </c>
      <c r="T76" s="230">
        <v>0</v>
      </c>
      <c r="U76" s="161">
        <f t="shared" ref="U76" si="137">V76-T76</f>
        <v>0</v>
      </c>
      <c r="V76" s="230">
        <v>0</v>
      </c>
      <c r="W76" s="218"/>
      <c r="X76" s="230">
        <v>0</v>
      </c>
      <c r="Y76" s="161">
        <f t="shared" ref="Y76" si="138">Z76-X76</f>
        <v>0</v>
      </c>
      <c r="Z76" s="230">
        <v>0</v>
      </c>
      <c r="AA76" s="218"/>
      <c r="AB76" s="230">
        <v>0</v>
      </c>
      <c r="AC76" s="161">
        <f t="shared" ref="AC76" si="139">AD76-AB76</f>
        <v>0</v>
      </c>
      <c r="AD76" s="230">
        <v>0</v>
      </c>
      <c r="AE76" s="218"/>
      <c r="AF76" s="181">
        <v>-92.977000000000004</v>
      </c>
      <c r="AG76" s="161">
        <f t="shared" si="128"/>
        <v>-9.9999999999056399E-4</v>
      </c>
      <c r="AH76" s="181">
        <v>-92.977999999999994</v>
      </c>
      <c r="AI76" s="218"/>
      <c r="AJ76" s="230">
        <v>0</v>
      </c>
      <c r="AK76" s="161">
        <f t="shared" si="129"/>
        <v>0</v>
      </c>
      <c r="AL76" s="230">
        <v>0</v>
      </c>
      <c r="AN76" s="181">
        <v>0</v>
      </c>
      <c r="AO76" s="161">
        <f t="shared" si="130"/>
        <v>0</v>
      </c>
      <c r="AP76" s="916">
        <v>0</v>
      </c>
      <c r="AR76" s="230"/>
      <c r="AS76" s="230"/>
      <c r="AV76" s="230"/>
      <c r="AW76" s="230"/>
      <c r="AZ76" s="230"/>
      <c r="BA76" s="230"/>
      <c r="BD76" s="230"/>
      <c r="BE76" s="230"/>
      <c r="BH76" s="230"/>
      <c r="BI76" s="230"/>
      <c r="BL76" s="230"/>
      <c r="BM76" s="230"/>
      <c r="BP76" s="230"/>
      <c r="BQ76" s="230"/>
      <c r="BT76" s="230"/>
      <c r="BU76" s="230"/>
      <c r="BX76" s="230"/>
      <c r="BY76" s="230"/>
    </row>
    <row r="77" spans="1:78" s="161" customFormat="1">
      <c r="A77" s="148"/>
      <c r="B77" s="148" t="s">
        <v>221</v>
      </c>
      <c r="D77" s="230">
        <v>-1.41</v>
      </c>
      <c r="E77" s="161">
        <f t="shared" si="123"/>
        <v>1.8679999999999999</v>
      </c>
      <c r="F77" s="230">
        <v>0.45800000000000002</v>
      </c>
      <c r="H77" s="230">
        <v>-0.11600000000000001</v>
      </c>
      <c r="I77" s="161">
        <f t="shared" si="124"/>
        <v>-0.26900000000000002</v>
      </c>
      <c r="J77" s="230">
        <v>-0.38500000000000001</v>
      </c>
      <c r="L77" s="230">
        <v>0.31900000000000001</v>
      </c>
      <c r="M77" s="161">
        <f t="shared" si="125"/>
        <v>-0.39500000000000002</v>
      </c>
      <c r="N77" s="230">
        <v>-7.5999999999999998E-2</v>
      </c>
      <c r="P77" s="230">
        <v>0.71899999999999997</v>
      </c>
      <c r="Q77" s="161">
        <f t="shared" si="126"/>
        <v>-13.026999999999999</v>
      </c>
      <c r="R77" s="230">
        <v>-12.308</v>
      </c>
      <c r="T77" s="230">
        <v>0</v>
      </c>
      <c r="U77" s="161">
        <f t="shared" si="131"/>
        <v>-3.6920000000000002</v>
      </c>
      <c r="V77" s="230">
        <v>-3.6920000000000002</v>
      </c>
      <c r="W77" s="218"/>
      <c r="X77" s="230">
        <v>-18.152000000000001</v>
      </c>
      <c r="Y77" s="161">
        <f t="shared" si="132"/>
        <v>-3.2650000000000006</v>
      </c>
      <c r="Z77" s="230">
        <v>-21.417000000000002</v>
      </c>
      <c r="AA77" s="218"/>
      <c r="AB77" s="230">
        <v>-2.8</v>
      </c>
      <c r="AC77" s="161">
        <f t="shared" si="127"/>
        <v>-0.3360000000000003</v>
      </c>
      <c r="AD77" s="230">
        <v>-3.1360000000000001</v>
      </c>
      <c r="AE77" s="218"/>
      <c r="AF77" s="181">
        <v>-18.683</v>
      </c>
      <c r="AG77" s="161">
        <f t="shared" si="128"/>
        <v>-3.2510000000000012</v>
      </c>
      <c r="AH77" s="181">
        <v>-21.934000000000001</v>
      </c>
      <c r="AI77" s="218"/>
      <c r="AJ77" s="230">
        <v>-50.732999999999997</v>
      </c>
      <c r="AK77" s="161">
        <f t="shared" si="129"/>
        <v>1.3319999999999936</v>
      </c>
      <c r="AL77" s="230">
        <v>-49.401000000000003</v>
      </c>
      <c r="AN77" s="181">
        <v>-41.805999999999997</v>
      </c>
      <c r="AO77" s="161">
        <f t="shared" si="130"/>
        <v>-16.446000000000005</v>
      </c>
      <c r="AP77" s="916">
        <v>-58.252000000000002</v>
      </c>
      <c r="AR77" s="230"/>
      <c r="AS77" s="230"/>
      <c r="AV77" s="230"/>
      <c r="AW77" s="230"/>
      <c r="AZ77" s="230"/>
      <c r="BA77" s="230"/>
      <c r="BD77" s="230"/>
      <c r="BE77" s="230"/>
      <c r="BH77" s="230"/>
      <c r="BI77" s="230"/>
      <c r="BL77" s="230"/>
      <c r="BM77" s="230"/>
      <c r="BP77" s="230"/>
      <c r="BQ77" s="230"/>
      <c r="BT77" s="230"/>
      <c r="BU77" s="230"/>
      <c r="BX77" s="230"/>
      <c r="BY77" s="230"/>
    </row>
    <row r="78" spans="1:78" s="161" customFormat="1">
      <c r="A78" s="148"/>
      <c r="B78" s="148" t="s">
        <v>222</v>
      </c>
      <c r="D78" s="230">
        <v>0</v>
      </c>
      <c r="E78" s="161">
        <f t="shared" si="123"/>
        <v>0</v>
      </c>
      <c r="F78" s="230">
        <v>0</v>
      </c>
      <c r="H78" s="230">
        <v>0</v>
      </c>
      <c r="I78" s="161">
        <f t="shared" si="124"/>
        <v>0</v>
      </c>
      <c r="J78" s="230">
        <v>0</v>
      </c>
      <c r="L78" s="230">
        <v>0</v>
      </c>
      <c r="M78" s="161">
        <f t="shared" si="125"/>
        <v>0</v>
      </c>
      <c r="N78" s="230">
        <v>0</v>
      </c>
      <c r="P78" s="230">
        <v>0</v>
      </c>
      <c r="Q78" s="161">
        <f t="shared" si="126"/>
        <v>0</v>
      </c>
      <c r="R78" s="230">
        <v>0</v>
      </c>
      <c r="T78" s="230">
        <v>0</v>
      </c>
      <c r="U78" s="161">
        <f t="shared" si="131"/>
        <v>1.25</v>
      </c>
      <c r="V78" s="230">
        <v>1.25</v>
      </c>
      <c r="W78" s="218"/>
      <c r="X78" s="230">
        <v>0.97799999999999998</v>
      </c>
      <c r="Y78" s="161">
        <f t="shared" si="132"/>
        <v>1.4800000000000002</v>
      </c>
      <c r="Z78" s="230">
        <v>2.4580000000000002</v>
      </c>
      <c r="AA78" s="218"/>
      <c r="AB78" s="230">
        <v>6.8440000000000003</v>
      </c>
      <c r="AC78" s="161">
        <f t="shared" si="127"/>
        <v>-6.4640000000000004</v>
      </c>
      <c r="AD78" s="230">
        <v>0.38</v>
      </c>
      <c r="AE78" s="218"/>
      <c r="AF78" s="181">
        <v>8.3710000000000004</v>
      </c>
      <c r="AG78" s="161">
        <f t="shared" si="128"/>
        <v>10.022999999999998</v>
      </c>
      <c r="AH78" s="175">
        <v>18.393999999999998</v>
      </c>
      <c r="AI78" s="218"/>
      <c r="AJ78" s="230">
        <v>7.2569999999999997</v>
      </c>
      <c r="AK78" s="161">
        <f t="shared" si="129"/>
        <v>5.25</v>
      </c>
      <c r="AL78" s="231">
        <v>12.507</v>
      </c>
      <c r="AN78" s="181">
        <v>2.3679999999999999</v>
      </c>
      <c r="AO78" s="161">
        <f t="shared" si="130"/>
        <v>11.744</v>
      </c>
      <c r="AP78" s="915">
        <v>14.112</v>
      </c>
      <c r="AR78" s="230"/>
      <c r="AS78" s="230"/>
      <c r="AV78" s="230"/>
      <c r="AW78" s="230"/>
      <c r="AZ78" s="230"/>
      <c r="BA78" s="230"/>
      <c r="BD78" s="230"/>
      <c r="BE78" s="230"/>
      <c r="BH78" s="230"/>
      <c r="BI78" s="230"/>
      <c r="BL78" s="230"/>
      <c r="BM78" s="230"/>
      <c r="BP78" s="230"/>
      <c r="BQ78" s="230"/>
      <c r="BT78" s="230"/>
      <c r="BU78" s="230"/>
      <c r="BX78" s="230"/>
      <c r="BY78" s="230"/>
    </row>
    <row r="79" spans="1:78" s="140" customFormat="1">
      <c r="A79" s="149"/>
      <c r="B79" s="149" t="s">
        <v>223</v>
      </c>
      <c r="D79" s="219">
        <f>SUM(D67:D78)</f>
        <v>9.195999999999998</v>
      </c>
      <c r="E79" s="219">
        <f>SUM(E67:E78)</f>
        <v>-6.1079999999999988</v>
      </c>
      <c r="F79" s="219">
        <f>SUM(F67:F78)</f>
        <v>3.088000000000001</v>
      </c>
      <c r="H79" s="219">
        <f>SUM(H67:H78)</f>
        <v>-37.82</v>
      </c>
      <c r="I79" s="219">
        <f>SUM(I67:I78)</f>
        <v>-13.872000000000002</v>
      </c>
      <c r="J79" s="219">
        <f>SUM(J67:J78)</f>
        <v>-51.692</v>
      </c>
      <c r="L79" s="219">
        <f>SUM(L67:L78)</f>
        <v>-13.514999999999992</v>
      </c>
      <c r="M79" s="219">
        <f>SUM(M67:M78)</f>
        <v>-10.489000000000004</v>
      </c>
      <c r="N79" s="219">
        <f>SUM(N67:N78)</f>
        <v>-24.004000000000001</v>
      </c>
      <c r="P79" s="219">
        <f>SUM(P67:P78)</f>
        <v>15.355999999999995</v>
      </c>
      <c r="Q79" s="219">
        <f>SUM(Q67:Q78)</f>
        <v>0.61800000000000566</v>
      </c>
      <c r="R79" s="219">
        <f>SUM(R67:R78)</f>
        <v>15.974000000000011</v>
      </c>
      <c r="T79" s="219">
        <f>SUM(T67:T78)</f>
        <v>-43.678000000000004</v>
      </c>
      <c r="U79" s="219">
        <f>SUM(U67:U78)</f>
        <v>131.03399999999999</v>
      </c>
      <c r="V79" s="219">
        <f>SUM(V67:V78)</f>
        <v>87.355999999999995</v>
      </c>
      <c r="X79" s="219">
        <f>SUM(X67:X78)</f>
        <v>-31.407000000000004</v>
      </c>
      <c r="Y79" s="219">
        <f>SUM(Y67:Y78)</f>
        <v>-65.580999999999989</v>
      </c>
      <c r="Z79" s="219">
        <f>SUM(Z67:Z78)</f>
        <v>-96.988000000000014</v>
      </c>
      <c r="AB79" s="219">
        <f>SUM(AB67:AB78)</f>
        <v>-17.619999999999997</v>
      </c>
      <c r="AC79" s="219">
        <f>SUM(AC67:AC78)</f>
        <v>122.38599999999997</v>
      </c>
      <c r="AD79" s="219">
        <f>SUM(AD67:AD78)</f>
        <v>104.76599999999998</v>
      </c>
      <c r="AF79" s="219">
        <f>SUM(AF67:AF78)</f>
        <v>491.48599999999999</v>
      </c>
      <c r="AG79" s="219">
        <f>SUM(AG67:AG78)</f>
        <v>7.172000000000061</v>
      </c>
      <c r="AH79" s="219">
        <f>SUM(AH67:AH78)</f>
        <v>498.65800000000002</v>
      </c>
      <c r="AJ79" s="219">
        <f>SUM(AJ67:AJ78)</f>
        <v>-28.768999999999998</v>
      </c>
      <c r="AK79" s="219">
        <f>SUM(AK67:AK78)</f>
        <v>117.982</v>
      </c>
      <c r="AL79" s="219">
        <f>SUM(AL67:AL78)</f>
        <v>89.213000000000022</v>
      </c>
      <c r="AM79" s="258"/>
      <c r="AN79" s="140">
        <f>SUM(AN67:AN78)</f>
        <v>17.233999999999998</v>
      </c>
      <c r="AO79" s="219">
        <f>SUM(AO67:AO78)</f>
        <v>17.38499999999997</v>
      </c>
      <c r="AP79" s="219">
        <f>SUM(AP67:AP78)</f>
        <v>34.618999999999986</v>
      </c>
      <c r="AQ79" s="258"/>
      <c r="AR79" s="415">
        <f>AR87</f>
        <v>-114.04314722700008</v>
      </c>
      <c r="AS79" s="415">
        <f>AS87</f>
        <v>-75.728164765470055</v>
      </c>
      <c r="AT79" s="415">
        <f t="shared" ref="AT79" si="140">+AS79+AR79</f>
        <v>-189.77131199247015</v>
      </c>
      <c r="AU79" s="258"/>
      <c r="AV79" s="415">
        <f>AV87</f>
        <v>-130.73882560560352</v>
      </c>
      <c r="AW79" s="415">
        <f>AW87</f>
        <v>-80.170521833857251</v>
      </c>
      <c r="AX79" s="415">
        <f t="shared" ref="AX79" si="141">+AW79+AV79</f>
        <v>-210.90934743946076</v>
      </c>
      <c r="AY79" s="258"/>
      <c r="AZ79" s="415">
        <f>AZ87</f>
        <v>-142.68095965233144</v>
      </c>
      <c r="BA79" s="415">
        <f>BA87</f>
        <v>-87.391373508914</v>
      </c>
      <c r="BB79" s="415">
        <f t="shared" ref="BB79" si="142">+BA79+AZ79</f>
        <v>-230.07233316124544</v>
      </c>
      <c r="BC79" s="258"/>
      <c r="BD79" s="415">
        <f>BD87</f>
        <v>-151.79892481948886</v>
      </c>
      <c r="BE79" s="415">
        <f>BE87</f>
        <v>-90.5984139595503</v>
      </c>
      <c r="BF79" s="415">
        <f t="shared" ref="BF79" si="143">+BE79+BD79</f>
        <v>-242.39733877903916</v>
      </c>
      <c r="BG79" s="258"/>
      <c r="BH79" s="415">
        <f>BH87</f>
        <v>-157.91927663823296</v>
      </c>
      <c r="BI79" s="415">
        <f>BI87</f>
        <v>-93.943219904357704</v>
      </c>
      <c r="BJ79" s="415">
        <f t="shared" ref="BJ79" si="144">+BI79+BH79</f>
        <v>-251.86249654259066</v>
      </c>
      <c r="BK79" s="258"/>
      <c r="BL79" s="415">
        <f>BL87</f>
        <v>-164.31519125477908</v>
      </c>
      <c r="BM79" s="415">
        <f>BM87</f>
        <v>-97.432366606496061</v>
      </c>
      <c r="BN79" s="415">
        <f t="shared" ref="BN79" si="145">+BM79+BL79</f>
        <v>-261.74755786127514</v>
      </c>
      <c r="BO79" s="258"/>
      <c r="BP79" s="415">
        <f>BP87</f>
        <v>-171.00000241346356</v>
      </c>
      <c r="BQ79" s="415">
        <f>BQ87</f>
        <v>-101.07276137985019</v>
      </c>
      <c r="BR79" s="415">
        <f t="shared" ref="BR79" si="146">+BQ79+BP79</f>
        <v>-272.07276379331375</v>
      </c>
      <c r="BS79" s="258"/>
      <c r="BT79" s="415">
        <f>BT87</f>
        <v>-177.98771401943119</v>
      </c>
      <c r="BU79" s="415">
        <f>BU87</f>
        <v>-104.87166086562155</v>
      </c>
      <c r="BV79" s="415">
        <f t="shared" ref="BV79" si="147">+BU79+BT79</f>
        <v>-282.85937488505272</v>
      </c>
      <c r="BW79" s="258"/>
      <c r="BX79" s="415">
        <f>BX87</f>
        <v>-185.29303453928711</v>
      </c>
      <c r="BY79" s="415">
        <f>BY87</f>
        <v>-108.83668922393485</v>
      </c>
      <c r="BZ79" s="415">
        <f t="shared" ref="BZ79" si="148">+BY79+BX79</f>
        <v>-294.12972376322193</v>
      </c>
    </row>
    <row r="80" spans="1:78" s="161" customFormat="1">
      <c r="A80" s="148"/>
      <c r="B80" s="148"/>
      <c r="F80" s="218"/>
      <c r="J80" s="218"/>
      <c r="N80" s="218"/>
      <c r="R80" s="218"/>
      <c r="V80" s="218"/>
      <c r="W80" s="218"/>
      <c r="Z80" s="218"/>
      <c r="AA80" s="218"/>
      <c r="AB80" s="218"/>
      <c r="AE80" s="218"/>
      <c r="AF80" s="218"/>
      <c r="AI80" s="218"/>
      <c r="AJ80" s="218"/>
      <c r="AL80" s="218"/>
      <c r="AP80" s="218"/>
      <c r="AR80" s="218"/>
      <c r="AV80" s="218"/>
      <c r="AZ80" s="218"/>
      <c r="BD80" s="218"/>
      <c r="BH80" s="218"/>
      <c r="BL80" s="218"/>
      <c r="BP80" s="218"/>
      <c r="BT80" s="218"/>
      <c r="BX80" s="218"/>
    </row>
    <row r="81" spans="1:78" ht="14.4">
      <c r="B81" s="510" t="s">
        <v>441</v>
      </c>
      <c r="T81" s="258"/>
      <c r="U81" s="258"/>
      <c r="X81" s="258"/>
      <c r="Y81" s="258"/>
      <c r="AB81" s="258"/>
      <c r="AC81" s="258"/>
      <c r="AF81" s="258"/>
      <c r="AG81" s="258"/>
      <c r="AJ81" s="258"/>
      <c r="AK81" s="258"/>
      <c r="AL81" s="256"/>
      <c r="AM81" s="258"/>
      <c r="AN81" s="258"/>
      <c r="AO81" s="258"/>
      <c r="AP81" s="256"/>
      <c r="AQ81" s="258"/>
      <c r="AR81" s="258"/>
      <c r="AS81" s="258"/>
      <c r="AT81" s="258"/>
      <c r="AU81" s="258"/>
      <c r="AV81" s="258"/>
      <c r="AW81" s="258"/>
      <c r="AX81" s="258"/>
      <c r="AY81" s="258"/>
      <c r="AZ81" s="258"/>
      <c r="BA81" s="258"/>
      <c r="BB81" s="258"/>
      <c r="BC81" s="258"/>
      <c r="BD81" s="258"/>
      <c r="BE81" s="258"/>
      <c r="BF81" s="258"/>
      <c r="BG81" s="258"/>
      <c r="BH81" s="258"/>
      <c r="BI81" s="258"/>
      <c r="BJ81" s="258"/>
      <c r="BK81" s="258"/>
      <c r="BL81" s="258"/>
      <c r="BM81" s="258"/>
      <c r="BN81" s="258"/>
      <c r="BO81" s="258"/>
      <c r="BP81" s="258"/>
      <c r="BQ81" s="258"/>
      <c r="BR81" s="258"/>
      <c r="BS81" s="258"/>
      <c r="BT81" s="258"/>
      <c r="BU81" s="258"/>
      <c r="BV81" s="258"/>
      <c r="BW81" s="258"/>
      <c r="BX81" s="258"/>
      <c r="BY81" s="258"/>
      <c r="BZ81" s="258"/>
    </row>
    <row r="82" spans="1:78">
      <c r="B82" s="148" t="s">
        <v>473</v>
      </c>
      <c r="H82" s="258">
        <f>-'P&amp;L'!H105</f>
        <v>-17.253293040000003</v>
      </c>
      <c r="I82" s="258">
        <f>-'P&amp;L'!I105</f>
        <v>-7.9808095000000003</v>
      </c>
      <c r="J82" s="258">
        <f t="shared" ref="J82" si="149">SUM(H82:I82)</f>
        <v>-25.234102540000002</v>
      </c>
      <c r="K82" s="258"/>
      <c r="L82" s="258">
        <f>-'P&amp;L'!L105</f>
        <v>-17.877190500000001</v>
      </c>
      <c r="M82" s="258">
        <f>-'P&amp;L'!M105</f>
        <v>-8.619274260000001</v>
      </c>
      <c r="N82" s="258">
        <f t="shared" ref="N82" si="150">SUM(L82:M82)</f>
        <v>-26.496464760000002</v>
      </c>
      <c r="O82" s="258"/>
      <c r="P82" s="258">
        <f>-'P&amp;L'!P105</f>
        <v>-18.83472574</v>
      </c>
      <c r="Q82" s="258">
        <f>-'P&amp;L'!Q105</f>
        <v>-9.9026592299999994</v>
      </c>
      <c r="R82" s="258">
        <f t="shared" ref="R82" si="151">SUM(P82:Q82)</f>
        <v>-28.737384970000001</v>
      </c>
      <c r="S82" s="258"/>
      <c r="T82" s="258">
        <f>-'P&amp;L'!T105</f>
        <v>-23.895111449999998</v>
      </c>
      <c r="U82" s="258">
        <f>-'P&amp;L'!U105</f>
        <v>-10.700546295000001</v>
      </c>
      <c r="V82" s="258">
        <f t="shared" ref="V82" si="152">SUM(T82:U82)</f>
        <v>-34.595657744999997</v>
      </c>
      <c r="W82" s="258"/>
      <c r="X82" s="258">
        <f>-'P&amp;L'!X105</f>
        <v>-26.206716558333333</v>
      </c>
      <c r="Y82" s="258">
        <f>-'P&amp;L'!Y105</f>
        <v>-11.900672159999999</v>
      </c>
      <c r="Z82" s="258">
        <f t="shared" ref="Z82" si="153">SUM(X82:Y82)</f>
        <v>-38.107388718333333</v>
      </c>
      <c r="AA82" s="258"/>
      <c r="AB82" s="258">
        <f>-'P&amp;L'!AB105</f>
        <v>-29.018664050000002</v>
      </c>
      <c r="AC82" s="258">
        <f>-'P&amp;L'!AC105</f>
        <v>-12.658039690000001</v>
      </c>
      <c r="AD82" s="258">
        <f t="shared" ref="AD82" si="154">SUM(AB82:AC82)</f>
        <v>-41.676703740000001</v>
      </c>
      <c r="AE82" s="258"/>
      <c r="AF82" s="258">
        <f>-'P&amp;L'!AF105</f>
        <v>-36.132638456666669</v>
      </c>
      <c r="AG82" s="258">
        <f>-'P&amp;L'!AG105</f>
        <v>-17.260188060000001</v>
      </c>
      <c r="AH82" s="258">
        <f t="shared" ref="AH82" si="155">SUM(AF82:AG82)</f>
        <v>-53.392826516666673</v>
      </c>
      <c r="AI82" s="258"/>
      <c r="AJ82" s="258">
        <f>-'P&amp;L'!AJ105</f>
        <v>-50.950640999999997</v>
      </c>
      <c r="AK82" s="258">
        <f>-'P&amp;L'!AK105</f>
        <v>-21.7</v>
      </c>
      <c r="AL82" s="258">
        <f t="shared" ref="AL82" si="156">SUM(AJ82:AK82)</f>
        <v>-72.650640999999993</v>
      </c>
      <c r="AM82" s="258"/>
      <c r="AN82" s="258">
        <f>-'P&amp;L'!AN105</f>
        <v>-68.787000000000006</v>
      </c>
      <c r="AO82" s="258">
        <f>-'P&amp;L'!AO105</f>
        <v>-29.1</v>
      </c>
      <c r="AP82" s="258">
        <f t="shared" ref="AP82:AP85" si="157">SUM(AN82:AO82)</f>
        <v>-97.887</v>
      </c>
      <c r="AQ82" s="258"/>
      <c r="AR82" s="258">
        <f>-'P&amp;L'!AR105</f>
        <v>-76.947999999999993</v>
      </c>
      <c r="AS82" s="258">
        <f>-'P&amp;L'!AS105</f>
        <v>-36.700681899470034</v>
      </c>
      <c r="AT82" s="258">
        <f t="shared" ref="AT82" si="158">SUM(AR82:AS82)</f>
        <v>-113.64868189947003</v>
      </c>
      <c r="AU82" s="258"/>
      <c r="AV82" s="258">
        <f>-'P&amp;L'!AV105</f>
        <v>-92.307431050835049</v>
      </c>
      <c r="AW82" s="258">
        <f>-'P&amp;L'!AW105</f>
        <v>-39.547808563643549</v>
      </c>
      <c r="AX82" s="258">
        <f t="shared" ref="AX82" si="159">SUM(AV82:AW82)</f>
        <v>-131.85523961447859</v>
      </c>
      <c r="AY82" s="258"/>
      <c r="AZ82" s="258">
        <f>-'P&amp;L'!AZ105</f>
        <v>-100.62273911249635</v>
      </c>
      <c r="BA82" s="258">
        <f>-'P&amp;L'!BA105</f>
        <v>-42.956624670037137</v>
      </c>
      <c r="BB82" s="258">
        <f t="shared" ref="BB82" si="160">SUM(AZ82:BA82)</f>
        <v>-143.57936378253348</v>
      </c>
      <c r="BC82" s="258"/>
      <c r="BD82" s="258">
        <f>-'P&amp;L'!BD105</f>
        <v>-108.58389302062275</v>
      </c>
      <c r="BE82" s="258">
        <f>-'P&amp;L'!BE105</f>
        <v>-44.877170825031072</v>
      </c>
      <c r="BF82" s="258">
        <f t="shared" ref="BF82" si="161">SUM(BD82:BE82)</f>
        <v>-153.46106384565383</v>
      </c>
      <c r="BG82" s="258"/>
      <c r="BH82" s="258">
        <f>-'P&amp;L'!BH105</f>
        <v>-113.50590392213034</v>
      </c>
      <c r="BI82" s="258">
        <f>-'P&amp;L'!BI105</f>
        <v>-46.887323237546028</v>
      </c>
      <c r="BJ82" s="258">
        <f t="shared" ref="BJ82" si="162">SUM(BH82:BI82)</f>
        <v>-160.39322715967637</v>
      </c>
      <c r="BK82" s="258"/>
      <c r="BL82" s="258">
        <f>-'P&amp;L'!BL105</f>
        <v>-118.66011850822609</v>
      </c>
      <c r="BM82" s="258">
        <f>-'P&amp;L'!BM105</f>
        <v>-48.991480299964422</v>
      </c>
      <c r="BN82" s="258">
        <f t="shared" ref="BN82" si="163">SUM(BL82:BM82)</f>
        <v>-167.6515988081905</v>
      </c>
      <c r="BO82" s="258"/>
      <c r="BP82" s="258">
        <f>-'P&amp;L'!BP105</f>
        <v>-124.05794966140429</v>
      </c>
      <c r="BQ82" s="258">
        <f>-'P&amp;L'!BQ105</f>
        <v>-51.194262479361669</v>
      </c>
      <c r="BR82" s="258">
        <f t="shared" ref="BR82" si="164">SUM(BP82:BQ82)</f>
        <v>-175.25221214076595</v>
      </c>
      <c r="BS82" s="258"/>
      <c r="BT82" s="258">
        <f>-'P&amp;L'!BT105</f>
        <v>-129.71138415216498</v>
      </c>
      <c r="BU82" s="258">
        <f>-'P&amp;L'!BU105</f>
        <v>-53.500523719006395</v>
      </c>
      <c r="BV82" s="258">
        <f t="shared" ref="BV82:BV83" si="165">SUM(BT82:BU82)</f>
        <v>-183.21190787117138</v>
      </c>
      <c r="BW82" s="258"/>
      <c r="BX82" s="258">
        <f>-'P&amp;L'!BX105</f>
        <v>-135.63301190649847</v>
      </c>
      <c r="BY82" s="258">
        <f>-'P&amp;L'!BY105</f>
        <v>-55.915363432050576</v>
      </c>
      <c r="BZ82" s="258">
        <f t="shared" ref="BZ82:BZ83" si="166">SUM(BX82:BY82)</f>
        <v>-191.54837533854905</v>
      </c>
    </row>
    <row r="83" spans="1:78">
      <c r="B83" s="148" t="s">
        <v>215</v>
      </c>
      <c r="H83" s="258"/>
      <c r="I83" s="258"/>
      <c r="L83" s="258"/>
      <c r="M83" s="258"/>
      <c r="P83" s="258">
        <f>+P90*P91</f>
        <v>-6.492</v>
      </c>
      <c r="Q83" s="258">
        <f>+Q90*Q91</f>
        <v>-3.4769999999999994</v>
      </c>
      <c r="R83" s="258">
        <f t="shared" ref="R83:R85" si="167">SUM(P83:Q83)</f>
        <v>-9.9689999999999994</v>
      </c>
      <c r="S83" s="258"/>
      <c r="T83" s="258">
        <f>+T90*T91</f>
        <v>-4.641</v>
      </c>
      <c r="U83" s="258">
        <f>+U90*U91</f>
        <v>-3.7309999999999999</v>
      </c>
      <c r="V83" s="258">
        <f t="shared" ref="V83:V85" si="168">SUM(T83:U83)</f>
        <v>-8.3719999999999999</v>
      </c>
      <c r="W83" s="258"/>
      <c r="X83" s="258">
        <f>+X90*X91</f>
        <v>-5.6779999999999999</v>
      </c>
      <c r="Y83" s="258">
        <f>+Y90*Y91</f>
        <v>-7.9680000000000009</v>
      </c>
      <c r="Z83" s="258">
        <f t="shared" ref="Z83:Z85" si="169">SUM(X83:Y83)</f>
        <v>-13.646000000000001</v>
      </c>
      <c r="AA83" s="258"/>
      <c r="AB83" s="258">
        <f>+AB90*AB91</f>
        <v>-6.8309999999999995</v>
      </c>
      <c r="AC83" s="258">
        <f>+AC90*AC91</f>
        <v>-8.1559999999999988</v>
      </c>
      <c r="AD83" s="258">
        <f t="shared" ref="AD83:AD85" si="170">SUM(AB83:AC83)</f>
        <v>-14.986999999999998</v>
      </c>
      <c r="AE83" s="258"/>
      <c r="AF83" s="258">
        <f>+AF90*AF91</f>
        <v>-15.487</v>
      </c>
      <c r="AG83" s="258">
        <f>+AG90*AG91</f>
        <v>-6.65</v>
      </c>
      <c r="AH83" s="258">
        <f t="shared" ref="AH83:AH85" si="171">SUM(AF83:AG83)</f>
        <v>-22.137</v>
      </c>
      <c r="AI83" s="258"/>
      <c r="AJ83" s="258">
        <f>+AJ90*AJ91</f>
        <v>-14.269</v>
      </c>
      <c r="AK83" s="258">
        <f>+AK90*AK91</f>
        <v>-13.818</v>
      </c>
      <c r="AL83" s="258">
        <f t="shared" ref="AL83:AL85" si="172">SUM(AJ83:AK83)</f>
        <v>-28.087</v>
      </c>
      <c r="AM83" s="258"/>
      <c r="AN83" s="258">
        <f>+AN90*AN91</f>
        <v>-12.61</v>
      </c>
      <c r="AO83" s="258">
        <f>+AO90*AO91</f>
        <v>-18.861000000000001</v>
      </c>
      <c r="AP83" s="258">
        <f t="shared" si="157"/>
        <v>-31.471</v>
      </c>
      <c r="AQ83" s="258"/>
      <c r="AR83" s="258">
        <f t="shared" ref="AR83:AS83" si="173">+AR90*AR91</f>
        <v>-15.280782226999998</v>
      </c>
      <c r="AS83" s="258">
        <f t="shared" si="173"/>
        <v>-17.205010666000003</v>
      </c>
      <c r="AT83" s="258">
        <f t="shared" ref="AT83" si="174">SUM(AR83:AS83)</f>
        <v>-32.485792893000003</v>
      </c>
      <c r="AU83" s="258"/>
      <c r="AV83" s="258">
        <f t="shared" ref="AV83:AW83" si="175">+AV90*AV91</f>
        <v>-16.266546532768547</v>
      </c>
      <c r="AW83" s="258">
        <f t="shared" si="175"/>
        <v>-18.362850889993553</v>
      </c>
      <c r="AX83" s="258">
        <f t="shared" ref="AX83" si="176">SUM(AV83:AW83)</f>
        <v>-34.629397422762096</v>
      </c>
      <c r="AY83" s="258"/>
      <c r="AZ83" s="258">
        <f t="shared" ref="AZ83:BA83" si="177">+AZ90*AZ91</f>
        <v>-17.296345339812984</v>
      </c>
      <c r="BA83" s="258">
        <f t="shared" si="177"/>
        <v>-19.575949492034304</v>
      </c>
      <c r="BB83" s="258">
        <f t="shared" ref="BB83" si="178">SUM(AZ83:BA83)</f>
        <v>-36.872294831847285</v>
      </c>
      <c r="BC83" s="258"/>
      <c r="BD83" s="258">
        <f t="shared" ref="BD83:BE83" si="179">+BD90*BD91</f>
        <v>-17.956949853375388</v>
      </c>
      <c r="BE83" s="258">
        <f t="shared" si="179"/>
        <v>-20.364288866856981</v>
      </c>
      <c r="BF83" s="258">
        <f t="shared" ref="BF83" si="180">SUM(BD83:BE83)</f>
        <v>-38.321238720232373</v>
      </c>
      <c r="BG83" s="258"/>
      <c r="BH83" s="258">
        <f t="shared" ref="BH83:BI83" si="181">+BH90*BH91</f>
        <v>-18.649140408480442</v>
      </c>
      <c r="BI83" s="258">
        <f t="shared" si="181"/>
        <v>-21.19080470334233</v>
      </c>
      <c r="BJ83" s="258">
        <f t="shared" ref="BJ83" si="182">SUM(BH83:BI83)</f>
        <v>-39.839945111822772</v>
      </c>
      <c r="BK83" s="258"/>
      <c r="BL83" s="258">
        <f t="shared" ref="BL83:BM83" si="183">+BL90*BL91</f>
        <v>-19.374547196219702</v>
      </c>
      <c r="BM83" s="258">
        <f t="shared" si="183"/>
        <v>-22.057473821268854</v>
      </c>
      <c r="BN83" s="258">
        <f t="shared" ref="BN83" si="184">SUM(BL83:BM83)</f>
        <v>-41.432021017488552</v>
      </c>
      <c r="BO83" s="258"/>
      <c r="BP83" s="258">
        <f t="shared" ref="BP83:BQ83" si="185">+BP90*BP91</f>
        <v>-20.134887821369858</v>
      </c>
      <c r="BQ83" s="258">
        <f t="shared" si="185"/>
        <v>-22.966379007477684</v>
      </c>
      <c r="BR83" s="258">
        <f t="shared" ref="BR83" si="186">SUM(BP83:BQ83)</f>
        <v>-43.101266828847542</v>
      </c>
      <c r="BS83" s="258"/>
      <c r="BT83" s="258">
        <f t="shared" ref="BT83:BU83" si="187">+BT90*BT91</f>
        <v>-20.931972088340121</v>
      </c>
      <c r="BU83" s="258">
        <f t="shared" si="187"/>
        <v>-23.919714810624743</v>
      </c>
      <c r="BV83" s="258">
        <f t="shared" si="165"/>
        <v>-44.851686898964864</v>
      </c>
      <c r="BW83" s="258"/>
      <c r="BX83" s="258">
        <f t="shared" ref="BX83:BY83" si="188">+BX90*BX91</f>
        <v>-21.76770705271311</v>
      </c>
      <c r="BY83" s="258">
        <f t="shared" si="188"/>
        <v>-24.919793657147551</v>
      </c>
      <c r="BZ83" s="258">
        <f t="shared" si="166"/>
        <v>-46.687500709860657</v>
      </c>
    </row>
    <row r="84" spans="1:78">
      <c r="B84" s="448" t="s">
        <v>457</v>
      </c>
      <c r="P84" s="258">
        <f>(BS!P46-BS!M46)</f>
        <v>-68.739000000000004</v>
      </c>
      <c r="Q84" s="258">
        <f>(BS!Q46-BS!P46)</f>
        <v>41.984000000000002</v>
      </c>
      <c r="R84" s="258">
        <f t="shared" si="167"/>
        <v>-26.755000000000003</v>
      </c>
      <c r="T84" s="258">
        <f>(BS!T46-BS!Q46)</f>
        <v>-9.0259999999999962</v>
      </c>
      <c r="U84" s="258">
        <f>(BS!U46-BS!T46)</f>
        <v>144.16199999999998</v>
      </c>
      <c r="V84" s="258">
        <f t="shared" si="168"/>
        <v>135.13599999999997</v>
      </c>
      <c r="X84" s="258">
        <f>(BS!X46-BS!U46)</f>
        <v>38.288999999999987</v>
      </c>
      <c r="Y84" s="258">
        <f>(BS!Y46-BS!X46)</f>
        <v>-58.145999999999987</v>
      </c>
      <c r="Z84" s="258">
        <f t="shared" si="169"/>
        <v>-19.856999999999999</v>
      </c>
      <c r="AB84" s="258">
        <f>(BS!AB46-BS!Y46)</f>
        <v>24.644000000000005</v>
      </c>
      <c r="AC84" s="258">
        <f>(BS!AC46-BS!AB46)</f>
        <v>-186.59200000000001</v>
      </c>
      <c r="AD84" s="258">
        <f t="shared" si="170"/>
        <v>-161.94800000000001</v>
      </c>
      <c r="AF84" s="258">
        <f>(BS!AF46-BS!AC46)</f>
        <v>645.827</v>
      </c>
      <c r="AG84" s="258">
        <f>(BS!AG46-BS!AF46)</f>
        <v>-120.22699999999998</v>
      </c>
      <c r="AH84" s="258">
        <f t="shared" si="171"/>
        <v>525.6</v>
      </c>
      <c r="AJ84" s="258">
        <f>(BS!AJ46-BS!AG46)</f>
        <v>98.408000000000015</v>
      </c>
      <c r="AK84" s="258">
        <f>(BS!AK46-BS!AJ46)</f>
        <v>-22.98700000000008</v>
      </c>
      <c r="AL84" s="258">
        <f t="shared" si="172"/>
        <v>75.420999999999935</v>
      </c>
      <c r="AM84" s="258"/>
      <c r="AN84" s="258">
        <f>(BS!AN46-BS!AK46)</f>
        <v>126.077</v>
      </c>
      <c r="AO84" s="258">
        <f>(BS!AO46-BS!AN46)</f>
        <v>99.57000000000005</v>
      </c>
      <c r="AP84" s="258">
        <f t="shared" si="157"/>
        <v>225.64700000000005</v>
      </c>
      <c r="AQ84" s="258"/>
      <c r="AR84" s="258">
        <f>(BS!AR46-BS!AO46)</f>
        <v>-2.0833575000000337</v>
      </c>
      <c r="AS84" s="258">
        <f>(BS!AS46-BS!AR46)</f>
        <v>-2.0691849999999476</v>
      </c>
      <c r="AT84" s="258">
        <f t="shared" ref="AT84:AT85" si="189">SUM(AR84:AS84)</f>
        <v>-4.1525424999999814</v>
      </c>
      <c r="AU84" s="258"/>
      <c r="AV84" s="258">
        <f>(BS!AV46-BS!AS46)</f>
        <v>-2.1105687000000444</v>
      </c>
      <c r="AW84" s="258">
        <f>(BS!AW46-BS!AV46)</f>
        <v>-2.1105687000000444</v>
      </c>
      <c r="AX84" s="258">
        <f t="shared" ref="AX84:AX85" si="190">SUM(AV84:AW84)</f>
        <v>-4.2211374000000887</v>
      </c>
      <c r="AY84" s="258"/>
      <c r="AZ84" s="258">
        <f>(BS!AZ46-BS!AW46)</f>
        <v>-4.3055601480000405</v>
      </c>
      <c r="BA84" s="258">
        <f>(BS!BA46-BS!AZ46)</f>
        <v>-4.3055601480000405</v>
      </c>
      <c r="BB84" s="258">
        <f t="shared" ref="BB84:BB85" si="191">SUM(AZ84:BA84)</f>
        <v>-8.611120296000081</v>
      </c>
      <c r="BC84" s="258"/>
      <c r="BD84" s="258">
        <f>(BS!BD46-BS!BA46)</f>
        <v>-4.3916713509599958</v>
      </c>
      <c r="BE84" s="258">
        <f>(BS!BE46-BS!BD46)</f>
        <v>-4.3916713509599958</v>
      </c>
      <c r="BF84" s="258">
        <f t="shared" ref="BF84:BF85" si="192">SUM(BD84:BE84)</f>
        <v>-8.7833427019199917</v>
      </c>
      <c r="BG84" s="258"/>
      <c r="BH84" s="258">
        <f>(BS!BH46-BS!BE46)</f>
        <v>-4.479504777979173</v>
      </c>
      <c r="BI84" s="258">
        <f>(BS!BI46-BS!BH46)</f>
        <v>-4.479504777979173</v>
      </c>
      <c r="BJ84" s="258">
        <f t="shared" ref="BJ84:BJ85" si="193">SUM(BH84:BI84)</f>
        <v>-8.959009555958346</v>
      </c>
      <c r="BK84" s="258"/>
      <c r="BL84" s="258">
        <f>(BS!BL46-BS!BI46)</f>
        <v>-4.5690948735388019</v>
      </c>
      <c r="BM84" s="258">
        <f>(BS!BM46-BS!BL46)</f>
        <v>-4.5690948735388019</v>
      </c>
      <c r="BN84" s="258">
        <f t="shared" ref="BN84:BN85" si="194">SUM(BL84:BM84)</f>
        <v>-9.1381897470776039</v>
      </c>
      <c r="BO84" s="258"/>
      <c r="BP84" s="258">
        <f>(BS!BP46-BS!BM46)</f>
        <v>-4.6604767710095985</v>
      </c>
      <c r="BQ84" s="258">
        <f>(BS!BQ46-BS!BP46)</f>
        <v>-4.6604767710095985</v>
      </c>
      <c r="BR84" s="258">
        <f t="shared" ref="BR84:BR85" si="195">SUM(BP84:BQ84)</f>
        <v>-9.3209535420191969</v>
      </c>
      <c r="BS84" s="258"/>
      <c r="BT84" s="258">
        <f>(BS!BT46-BS!BQ46)</f>
        <v>-4.7536863064296995</v>
      </c>
      <c r="BU84" s="258">
        <f>(BS!BU46-BS!BT46)</f>
        <v>-4.7536863064296995</v>
      </c>
      <c r="BV84" s="258">
        <f t="shared" ref="BV84:BV85" si="196">SUM(BT84:BU84)</f>
        <v>-9.5073726128593989</v>
      </c>
      <c r="BW84" s="258"/>
      <c r="BX84" s="258">
        <f>(BS!BX46-BS!BU46)</f>
        <v>-4.8487600325584026</v>
      </c>
      <c r="BY84" s="258">
        <f>(BS!BY46-BS!BX46)</f>
        <v>-4.8487600325584026</v>
      </c>
      <c r="BZ84" s="258">
        <f t="shared" ref="BZ84:BZ85" si="197">SUM(BX84:BY84)</f>
        <v>-9.6975200651168052</v>
      </c>
    </row>
    <row r="85" spans="1:78">
      <c r="B85" s="448" t="s">
        <v>458</v>
      </c>
      <c r="P85" s="258">
        <f>(BS!P56-BS!M56)</f>
        <v>113.27000000000001</v>
      </c>
      <c r="Q85" s="258">
        <f>(BS!Q56-BS!P56)</f>
        <v>0.6839999999999975</v>
      </c>
      <c r="R85" s="258">
        <f t="shared" si="167"/>
        <v>113.95400000000001</v>
      </c>
      <c r="T85" s="258">
        <f>(BS!T56-BS!Q56)</f>
        <v>3.2849999999999966</v>
      </c>
      <c r="U85" s="258">
        <f>(BS!U56-BS!T56)</f>
        <v>0</v>
      </c>
      <c r="V85" s="258">
        <f t="shared" si="168"/>
        <v>3.2849999999999966</v>
      </c>
      <c r="X85" s="258">
        <f>(BS!X56-BS!U56)</f>
        <v>7.5889999999999986</v>
      </c>
      <c r="Y85" s="258">
        <f>(BS!Y56-BS!X56)</f>
        <v>0.12299999999999045</v>
      </c>
      <c r="Z85" s="258">
        <f t="shared" si="169"/>
        <v>7.7119999999999891</v>
      </c>
      <c r="AB85" s="258">
        <f>(BS!AB56-BS!Y56)</f>
        <v>0</v>
      </c>
      <c r="AC85" s="258">
        <f>(BS!AC56-BS!AB56)</f>
        <v>341.86099999999999</v>
      </c>
      <c r="AD85" s="258">
        <f t="shared" si="170"/>
        <v>341.86099999999999</v>
      </c>
      <c r="AF85" s="258">
        <f>(BS!AF56-BS!AC56)</f>
        <v>175.54500000000007</v>
      </c>
      <c r="AG85" s="258">
        <f>(BS!AG56-BS!AF56)</f>
        <v>161.62199999999996</v>
      </c>
      <c r="AH85" s="258">
        <f t="shared" si="171"/>
        <v>337.16700000000003</v>
      </c>
      <c r="AJ85" s="258">
        <f>(BS!AJ56-BS!AG56)</f>
        <v>0</v>
      </c>
      <c r="AK85" s="258">
        <f>(BS!AK56-BS!AJ56)</f>
        <v>195.7410000000001</v>
      </c>
      <c r="AL85" s="258">
        <f t="shared" si="172"/>
        <v>195.7410000000001</v>
      </c>
      <c r="AM85" s="258"/>
      <c r="AN85" s="258">
        <f>(BS!AN56-BS!AK56)</f>
        <v>24.847999999999956</v>
      </c>
      <c r="AO85" s="258">
        <f>(BS!AO56-BS!AN56)</f>
        <v>0</v>
      </c>
      <c r="AP85" s="258">
        <f t="shared" si="157"/>
        <v>24.847999999999956</v>
      </c>
      <c r="AQ85" s="258"/>
      <c r="AR85" s="258">
        <f>(BS!AR56-BS!AO56)</f>
        <v>-10.416787500000055</v>
      </c>
      <c r="AS85" s="258">
        <f>(BS!AS56-BS!AR56)</f>
        <v>-10.345925000000079</v>
      </c>
      <c r="AT85" s="258">
        <f t="shared" si="189"/>
        <v>-20.762712500000134</v>
      </c>
      <c r="AU85" s="258"/>
      <c r="AV85" s="258">
        <f>(BS!AV56-BS!AS56)</f>
        <v>-10.552843499999881</v>
      </c>
      <c r="AW85" s="258">
        <f>(BS!AW56-BS!AV56)</f>
        <v>-10.552843500000108</v>
      </c>
      <c r="AX85" s="258">
        <f t="shared" si="190"/>
        <v>-21.105686999999989</v>
      </c>
      <c r="AY85" s="258"/>
      <c r="AZ85" s="258">
        <f>(BS!AZ56-BS!AW56)</f>
        <v>-10.763900369999874</v>
      </c>
      <c r="BA85" s="258">
        <f>(BS!BA56-BS!AZ56)</f>
        <v>-10.763900370000101</v>
      </c>
      <c r="BB85" s="258">
        <f t="shared" si="191"/>
        <v>-21.527800739999975</v>
      </c>
      <c r="BC85" s="258"/>
      <c r="BD85" s="258">
        <f>(BS!BD56-BS!BA56)</f>
        <v>-10.979178377399876</v>
      </c>
      <c r="BE85" s="258">
        <f>(BS!BE56-BS!BD56)</f>
        <v>-10.979178377400103</v>
      </c>
      <c r="BF85" s="258">
        <f t="shared" si="192"/>
        <v>-21.958356754799979</v>
      </c>
      <c r="BG85" s="258"/>
      <c r="BH85" s="258">
        <f>(BS!BH56-BS!BE56)</f>
        <v>-11.198761944947819</v>
      </c>
      <c r="BI85" s="258">
        <f>(BS!BI56-BS!BH56)</f>
        <v>-11.198761944948046</v>
      </c>
      <c r="BJ85" s="258">
        <f t="shared" si="193"/>
        <v>-22.397523889895865</v>
      </c>
      <c r="BK85" s="258"/>
      <c r="BL85" s="258">
        <f>(BS!BL56-BS!BI56)</f>
        <v>-11.422737183846948</v>
      </c>
      <c r="BM85" s="258">
        <f>(BS!BM56-BS!BL56)</f>
        <v>-11.422737183846948</v>
      </c>
      <c r="BN85" s="258">
        <f t="shared" si="194"/>
        <v>-22.845474367693896</v>
      </c>
      <c r="BO85" s="258"/>
      <c r="BP85" s="258">
        <f>(BS!BP56-BS!BM56)</f>
        <v>-11.651191927523996</v>
      </c>
      <c r="BQ85" s="258">
        <f>(BS!BQ56-BS!BP56)</f>
        <v>-11.651191927523882</v>
      </c>
      <c r="BR85" s="258">
        <f t="shared" si="195"/>
        <v>-23.302383855047879</v>
      </c>
      <c r="BS85" s="258"/>
      <c r="BT85" s="258">
        <f>(BS!BT56-BS!BQ56)</f>
        <v>-11.884215766074249</v>
      </c>
      <c r="BU85" s="258">
        <f>(BS!BU56-BS!BT56)</f>
        <v>-11.884215766074362</v>
      </c>
      <c r="BV85" s="258">
        <f t="shared" si="196"/>
        <v>-23.768431532148611</v>
      </c>
      <c r="BW85" s="258"/>
      <c r="BX85" s="258">
        <f>(BS!BX56-BS!BU56)</f>
        <v>-12.121900081395893</v>
      </c>
      <c r="BY85" s="258">
        <f>(BS!BY56-BS!BX56)</f>
        <v>-12.121900081395893</v>
      </c>
      <c r="BZ85" s="258">
        <f t="shared" si="197"/>
        <v>-24.243800162791786</v>
      </c>
    </row>
    <row r="86" spans="1:78" s="161" customFormat="1">
      <c r="A86" s="148"/>
      <c r="B86" s="148" t="s">
        <v>219</v>
      </c>
      <c r="D86" s="218">
        <f t="shared" ref="D86:E86" si="198">+D74</f>
        <v>0</v>
      </c>
      <c r="E86" s="218">
        <f t="shared" si="198"/>
        <v>0</v>
      </c>
      <c r="F86" s="230"/>
      <c r="G86" s="218"/>
      <c r="H86" s="218">
        <f t="shared" ref="H86:I86" si="199">+H74</f>
        <v>0</v>
      </c>
      <c r="I86" s="218">
        <f t="shared" si="199"/>
        <v>0</v>
      </c>
      <c r="J86" s="230"/>
      <c r="K86" s="218"/>
      <c r="L86" s="218">
        <f t="shared" ref="L86:M86" si="200">+L74</f>
        <v>0</v>
      </c>
      <c r="M86" s="218">
        <f t="shared" si="200"/>
        <v>0</v>
      </c>
      <c r="N86" s="230"/>
      <c r="O86" s="218"/>
      <c r="P86" s="218">
        <f t="shared" ref="P86:Q86" si="201">+P74</f>
        <v>0</v>
      </c>
      <c r="Q86" s="218">
        <f t="shared" si="201"/>
        <v>0</v>
      </c>
      <c r="R86" s="136">
        <f t="shared" ref="R86" si="202">+P86+Q86</f>
        <v>0</v>
      </c>
      <c r="S86" s="218"/>
      <c r="T86" s="218">
        <f t="shared" ref="T86:U86" si="203">+T74</f>
        <v>-3.5449999999999999</v>
      </c>
      <c r="U86" s="218">
        <f t="shared" si="203"/>
        <v>-5.6229999999999993</v>
      </c>
      <c r="V86" s="136">
        <f t="shared" ref="V86" si="204">+T86+U86</f>
        <v>-9.1679999999999993</v>
      </c>
      <c r="W86" s="218"/>
      <c r="X86" s="218">
        <f t="shared" ref="X86:Y86" si="205">+X74</f>
        <v>-4.6020000000000003</v>
      </c>
      <c r="Y86" s="218">
        <f t="shared" si="205"/>
        <v>-4.7439999999999998</v>
      </c>
      <c r="Z86" s="136">
        <f t="shared" ref="Z86" si="206">+X86+Y86</f>
        <v>-9.3460000000000001</v>
      </c>
      <c r="AA86" s="218"/>
      <c r="AB86" s="218">
        <f>+AB74</f>
        <v>-3.6139999999999999</v>
      </c>
      <c r="AC86" s="218">
        <f>+AC74</f>
        <v>-3.7780000000000005</v>
      </c>
      <c r="AD86" s="136">
        <f t="shared" ref="AD86" si="207">+AB86+AC86</f>
        <v>-7.3920000000000003</v>
      </c>
      <c r="AE86" s="218"/>
      <c r="AF86" s="218">
        <f>+AF74</f>
        <v>-4.1859999999999999</v>
      </c>
      <c r="AG86" s="218">
        <f>+AG74</f>
        <v>-6.0690000000000008</v>
      </c>
      <c r="AH86" s="136">
        <f t="shared" ref="AH86" si="208">+AF86+AG86</f>
        <v>-10.255000000000001</v>
      </c>
      <c r="AI86" s="218"/>
      <c r="AJ86" s="218">
        <f>+AJ74</f>
        <v>-7.4089999999999998</v>
      </c>
      <c r="AK86" s="218">
        <f>+AK74</f>
        <v>-6.9159999999999995</v>
      </c>
      <c r="AL86" s="136">
        <f t="shared" ref="AL86" si="209">+AJ86+AK86</f>
        <v>-14.324999999999999</v>
      </c>
      <c r="AN86" s="218">
        <f>+AN74</f>
        <v>-6.6760000000000002</v>
      </c>
      <c r="AO86" s="218">
        <f>+AO74</f>
        <v>-9.2219999999999995</v>
      </c>
      <c r="AP86" s="136">
        <f t="shared" ref="AP86" si="210">+AN86+AO86</f>
        <v>-15.898</v>
      </c>
      <c r="AR86" s="136">
        <f t="shared" ref="AR86" si="211">+AO86*1.01</f>
        <v>-9.3142199999999988</v>
      </c>
      <c r="AS86" s="136">
        <f t="shared" ref="AS86" si="212">+AR86*1.01</f>
        <v>-9.4073621999999997</v>
      </c>
      <c r="AT86" s="136">
        <f t="shared" ref="AT86" si="213">+AR86+AS86</f>
        <v>-18.7215822</v>
      </c>
      <c r="AV86" s="136">
        <f t="shared" ref="AV86" si="214">+AS86*1.01</f>
        <v>-9.5014358219999995</v>
      </c>
      <c r="AW86" s="136">
        <f t="shared" ref="AW86" si="215">+AV86*1.01</f>
        <v>-9.5964501802199997</v>
      </c>
      <c r="AX86" s="136">
        <f t="shared" ref="AX86" si="216">+AV86+AW86</f>
        <v>-19.097886002220001</v>
      </c>
      <c r="AZ86" s="136">
        <f t="shared" ref="AZ86" si="217">+AW86*1.01</f>
        <v>-9.6924146820221999</v>
      </c>
      <c r="BA86" s="136">
        <f t="shared" ref="BA86" si="218">+AZ86*1.01</f>
        <v>-9.7893388288424212</v>
      </c>
      <c r="BB86" s="136">
        <f t="shared" ref="BB86" si="219">+AZ86+BA86</f>
        <v>-19.481753510864621</v>
      </c>
      <c r="BD86" s="136">
        <f t="shared" ref="BD86" si="220">+BA86*1.01</f>
        <v>-9.8872322171308458</v>
      </c>
      <c r="BE86" s="136">
        <f t="shared" ref="BE86" si="221">+BD86*1.01</f>
        <v>-9.9861045393021541</v>
      </c>
      <c r="BF86" s="136">
        <f t="shared" ref="BF86" si="222">+BD86+BE86</f>
        <v>-19.873336756432998</v>
      </c>
      <c r="BH86" s="136">
        <f t="shared" ref="BH86" si="223">+BE86*1.01</f>
        <v>-10.085965584695176</v>
      </c>
      <c r="BI86" s="136">
        <f t="shared" ref="BI86" si="224">+BH86*1.01</f>
        <v>-10.186825240542127</v>
      </c>
      <c r="BJ86" s="136">
        <f t="shared" ref="BJ86" si="225">+BH86+BI86</f>
        <v>-20.272790825237301</v>
      </c>
      <c r="BL86" s="136">
        <f t="shared" ref="BL86" si="226">+BI86*1.01</f>
        <v>-10.288693492947548</v>
      </c>
      <c r="BM86" s="136">
        <f t="shared" ref="BM86" si="227">+BL86*1.01</f>
        <v>-10.391580427877024</v>
      </c>
      <c r="BN86" s="136">
        <f t="shared" ref="BN86" si="228">+BL86+BM86</f>
        <v>-20.680273920824572</v>
      </c>
      <c r="BP86" s="136">
        <f t="shared" ref="BP86" si="229">+BM86*1.01</f>
        <v>-10.495496232155794</v>
      </c>
      <c r="BQ86" s="136">
        <f t="shared" ref="BQ86" si="230">+BP86*1.01</f>
        <v>-10.600451194477353</v>
      </c>
      <c r="BR86" s="136">
        <f t="shared" ref="BR86" si="231">+BP86+BQ86</f>
        <v>-21.095947426633145</v>
      </c>
      <c r="BT86" s="136">
        <f t="shared" ref="BT86" si="232">+BQ86*1.01</f>
        <v>-10.706455706422126</v>
      </c>
      <c r="BU86" s="136">
        <f t="shared" ref="BU86" si="233">+BT86*1.01</f>
        <v>-10.813520263486348</v>
      </c>
      <c r="BV86" s="136">
        <f t="shared" ref="BV86" si="234">+BT86+BU86</f>
        <v>-21.519975969908472</v>
      </c>
      <c r="BX86" s="136">
        <f t="shared" ref="BX86" si="235">+BU86*1.01</f>
        <v>-10.921655466121212</v>
      </c>
      <c r="BY86" s="136">
        <f t="shared" ref="BY86" si="236">+BX86*1.01</f>
        <v>-11.030872020782425</v>
      </c>
      <c r="BZ86" s="136">
        <f t="shared" ref="BZ86" si="237">+BX86+BY86</f>
        <v>-21.952527486903637</v>
      </c>
    </row>
    <row r="87" spans="1:78">
      <c r="B87" s="451" t="s">
        <v>459</v>
      </c>
      <c r="P87" s="415">
        <f t="shared" ref="P87:Q87" si="238">SUM(P82:P86)</f>
        <v>19.204274260000005</v>
      </c>
      <c r="Q87" s="415">
        <f t="shared" si="238"/>
        <v>29.288340770000001</v>
      </c>
      <c r="R87" s="415">
        <f>SUM(R82:R86)</f>
        <v>48.492615029999996</v>
      </c>
      <c r="S87" s="258"/>
      <c r="T87" s="415">
        <f t="shared" ref="T87:U87" si="239">SUM(T82:T86)</f>
        <v>-37.822111450000001</v>
      </c>
      <c r="U87" s="415">
        <f t="shared" si="239"/>
        <v>124.10745370499997</v>
      </c>
      <c r="V87" s="415">
        <f>SUM(V82:V86)</f>
        <v>86.285342254999961</v>
      </c>
      <c r="W87" s="258"/>
      <c r="X87" s="415">
        <f t="shared" ref="X87:Y87" si="240">SUM(X82:X86)</f>
        <v>9.3912834416666513</v>
      </c>
      <c r="Y87" s="415">
        <f t="shared" si="240"/>
        <v>-82.635672159999999</v>
      </c>
      <c r="Z87" s="415">
        <f>SUM(Z82:Z86)</f>
        <v>-73.24438871833334</v>
      </c>
      <c r="AA87" s="258"/>
      <c r="AB87" s="415">
        <f t="shared" ref="AB87:AC87" si="241">SUM(AB82:AB86)</f>
        <v>-14.819664049999997</v>
      </c>
      <c r="AC87" s="415">
        <f t="shared" si="241"/>
        <v>130.67696031</v>
      </c>
      <c r="AD87" s="415">
        <f>SUM(AD82:AD86)</f>
        <v>115.85729626</v>
      </c>
      <c r="AE87" s="258"/>
      <c r="AF87" s="415">
        <f>SUM(AF82:AF86)</f>
        <v>765.56636154333341</v>
      </c>
      <c r="AG87" s="415">
        <f t="shared" ref="AG87" si="242">SUM(AG82:AG86)</f>
        <v>11.415811939999985</v>
      </c>
      <c r="AH87" s="415">
        <f>SUM(AH82:AH86)</f>
        <v>776.98217348333344</v>
      </c>
      <c r="AI87" s="258"/>
      <c r="AJ87" s="415">
        <f>SUM(AJ82:AJ86)</f>
        <v>25.779359000000021</v>
      </c>
      <c r="AK87" s="415">
        <f t="shared" ref="AK87" si="243">SUM(AK82:AK86)</f>
        <v>130.32000000000002</v>
      </c>
      <c r="AL87" s="415">
        <f>SUM(AL82:AL86)</f>
        <v>156.09935900000005</v>
      </c>
      <c r="AM87" s="258"/>
      <c r="AN87" s="415">
        <f>SUM(AN82:AN86)</f>
        <v>62.851999999999947</v>
      </c>
      <c r="AO87" s="415">
        <f t="shared" ref="AO87" si="244">SUM(AO82:AO86)</f>
        <v>42.38700000000005</v>
      </c>
      <c r="AP87" s="415">
        <f>SUM(AP82:AP86)</f>
        <v>105.239</v>
      </c>
      <c r="AQ87" s="258"/>
      <c r="AR87" s="415">
        <f t="shared" ref="AR87:AT87" si="245">SUM(AR82:AR86)</f>
        <v>-114.04314722700008</v>
      </c>
      <c r="AS87" s="415">
        <f t="shared" si="245"/>
        <v>-75.728164765470055</v>
      </c>
      <c r="AT87" s="415">
        <f t="shared" si="245"/>
        <v>-189.77131199247015</v>
      </c>
      <c r="AU87" s="258"/>
      <c r="AV87" s="415">
        <f t="shared" ref="AV87:AX87" si="246">SUM(AV82:AV86)</f>
        <v>-130.73882560560352</v>
      </c>
      <c r="AW87" s="415">
        <f t="shared" si="246"/>
        <v>-80.170521833857251</v>
      </c>
      <c r="AX87" s="415">
        <f t="shared" si="246"/>
        <v>-210.90934743946079</v>
      </c>
      <c r="AY87" s="258"/>
      <c r="AZ87" s="415">
        <f t="shared" ref="AZ87:BB87" si="247">SUM(AZ82:AZ86)</f>
        <v>-142.68095965233144</v>
      </c>
      <c r="BA87" s="415">
        <f t="shared" si="247"/>
        <v>-87.391373508914</v>
      </c>
      <c r="BB87" s="415">
        <f t="shared" si="247"/>
        <v>-230.07233316124544</v>
      </c>
      <c r="BC87" s="258"/>
      <c r="BD87" s="415">
        <f t="shared" ref="BD87:BF87" si="248">SUM(BD82:BD86)</f>
        <v>-151.79892481948886</v>
      </c>
      <c r="BE87" s="415">
        <f t="shared" si="248"/>
        <v>-90.5984139595503</v>
      </c>
      <c r="BF87" s="415">
        <f t="shared" si="248"/>
        <v>-242.39733877903916</v>
      </c>
      <c r="BG87" s="258"/>
      <c r="BH87" s="415">
        <f t="shared" ref="BH87:BJ87" si="249">SUM(BH82:BH86)</f>
        <v>-157.91927663823296</v>
      </c>
      <c r="BI87" s="415">
        <f t="shared" si="249"/>
        <v>-93.943219904357704</v>
      </c>
      <c r="BJ87" s="415">
        <f t="shared" si="249"/>
        <v>-251.86249654259066</v>
      </c>
      <c r="BK87" s="258"/>
      <c r="BL87" s="415">
        <f t="shared" ref="BL87:BN87" si="250">SUM(BL82:BL86)</f>
        <v>-164.31519125477908</v>
      </c>
      <c r="BM87" s="415">
        <f t="shared" si="250"/>
        <v>-97.432366606496061</v>
      </c>
      <c r="BN87" s="415">
        <f t="shared" si="250"/>
        <v>-261.74755786127514</v>
      </c>
      <c r="BO87" s="258"/>
      <c r="BP87" s="415">
        <f t="shared" ref="BP87:BR87" si="251">SUM(BP82:BP86)</f>
        <v>-171.00000241346356</v>
      </c>
      <c r="BQ87" s="415">
        <f t="shared" si="251"/>
        <v>-101.07276137985019</v>
      </c>
      <c r="BR87" s="415">
        <f t="shared" si="251"/>
        <v>-272.0727637933137</v>
      </c>
      <c r="BS87" s="258"/>
      <c r="BT87" s="415">
        <f t="shared" ref="BT87:BV87" si="252">SUM(BT82:BT86)</f>
        <v>-177.98771401943119</v>
      </c>
      <c r="BU87" s="415">
        <f t="shared" si="252"/>
        <v>-104.87166086562155</v>
      </c>
      <c r="BV87" s="415">
        <f t="shared" si="252"/>
        <v>-282.85937488505272</v>
      </c>
      <c r="BW87" s="258"/>
      <c r="BX87" s="415">
        <f t="shared" ref="BX87:BZ87" si="253">SUM(BX82:BX86)</f>
        <v>-185.29303453928711</v>
      </c>
      <c r="BY87" s="415">
        <f t="shared" si="253"/>
        <v>-108.83668922393485</v>
      </c>
      <c r="BZ87" s="415">
        <f t="shared" si="253"/>
        <v>-294.12972376322193</v>
      </c>
    </row>
    <row r="88" spans="1:78">
      <c r="B88" s="450" t="s">
        <v>449</v>
      </c>
      <c r="P88" s="454">
        <f>P79</f>
        <v>15.355999999999995</v>
      </c>
      <c r="Q88" s="454">
        <f>Q79</f>
        <v>0.61800000000000566</v>
      </c>
      <c r="T88" s="454">
        <f>T79</f>
        <v>-43.678000000000004</v>
      </c>
      <c r="U88" s="454">
        <f>U79</f>
        <v>131.03399999999999</v>
      </c>
      <c r="X88" s="454">
        <f>X79</f>
        <v>-31.407000000000004</v>
      </c>
      <c r="Y88" s="454">
        <f>Y79</f>
        <v>-65.580999999999989</v>
      </c>
      <c r="AB88" s="454">
        <f>AB79</f>
        <v>-17.619999999999997</v>
      </c>
      <c r="AC88" s="454">
        <f>AC79</f>
        <v>122.38599999999997</v>
      </c>
      <c r="AF88" s="454">
        <f>AF79</f>
        <v>491.48599999999999</v>
      </c>
      <c r="AG88" s="454">
        <f>AG79</f>
        <v>7.172000000000061</v>
      </c>
      <c r="AJ88" s="454">
        <f>AJ79</f>
        <v>-28.768999999999998</v>
      </c>
      <c r="AK88" s="454">
        <f>AK79</f>
        <v>117.982</v>
      </c>
      <c r="AM88" s="258"/>
      <c r="AN88" s="454">
        <f>AN79</f>
        <v>17.233999999999998</v>
      </c>
      <c r="AO88" s="454">
        <f>AO79</f>
        <v>17.38499999999997</v>
      </c>
      <c r="AQ88" s="258"/>
      <c r="AR88" s="258"/>
      <c r="AS88" s="258"/>
      <c r="AT88" s="258"/>
      <c r="AU88" s="258"/>
      <c r="AV88" s="258"/>
      <c r="AW88" s="258"/>
      <c r="AX88" s="258"/>
      <c r="AY88" s="258"/>
      <c r="AZ88" s="258"/>
      <c r="BA88" s="258"/>
      <c r="BB88" s="258"/>
      <c r="BC88" s="258"/>
      <c r="BD88" s="258"/>
      <c r="BE88" s="258"/>
      <c r="BF88" s="258"/>
      <c r="BG88" s="258"/>
      <c r="BH88" s="258"/>
      <c r="BI88" s="258"/>
      <c r="BJ88" s="258"/>
      <c r="BK88" s="258"/>
      <c r="BL88" s="258"/>
      <c r="BM88" s="258"/>
      <c r="BN88" s="258"/>
      <c r="BO88" s="258"/>
      <c r="BP88" s="258"/>
      <c r="BQ88" s="258"/>
      <c r="BR88" s="258"/>
      <c r="BS88" s="258"/>
      <c r="BT88" s="258"/>
      <c r="BU88" s="258"/>
      <c r="BV88" s="258"/>
      <c r="BW88" s="258"/>
      <c r="BX88" s="258"/>
      <c r="BY88" s="258"/>
      <c r="BZ88" s="258"/>
    </row>
    <row r="89" spans="1:78">
      <c r="Q89" s="258"/>
      <c r="U89" s="258"/>
      <c r="Y89" s="258"/>
      <c r="AC89" s="258"/>
      <c r="AG89" s="258"/>
      <c r="AK89" s="258"/>
      <c r="AM89" s="258"/>
      <c r="AO89" s="258"/>
      <c r="AQ89" s="258"/>
      <c r="AR89" s="258"/>
      <c r="AS89" s="258"/>
      <c r="AT89" s="258"/>
      <c r="AU89" s="258"/>
      <c r="AV89" s="258"/>
      <c r="AW89" s="258"/>
      <c r="AX89" s="258"/>
      <c r="AY89" s="258"/>
      <c r="AZ89" s="258"/>
      <c r="BA89" s="258"/>
      <c r="BB89" s="258"/>
      <c r="BC89" s="258"/>
      <c r="BD89" s="258"/>
      <c r="BE89" s="258"/>
      <c r="BF89" s="258"/>
      <c r="BG89" s="258"/>
      <c r="BH89" s="258"/>
      <c r="BI89" s="258"/>
      <c r="BJ89" s="258"/>
      <c r="BK89" s="258"/>
      <c r="BL89" s="258"/>
      <c r="BM89" s="258"/>
      <c r="BN89" s="258"/>
      <c r="BO89" s="258"/>
      <c r="BP89" s="258"/>
      <c r="BQ89" s="258"/>
      <c r="BR89" s="258"/>
      <c r="BS89" s="258"/>
      <c r="BT89" s="258"/>
      <c r="BU89" s="258"/>
      <c r="BV89" s="258"/>
      <c r="BW89" s="258"/>
      <c r="BX89" s="258"/>
      <c r="BY89" s="258"/>
      <c r="BZ89" s="258"/>
    </row>
    <row r="90" spans="1:78">
      <c r="B90" s="134" t="s">
        <v>489</v>
      </c>
      <c r="D90" s="232">
        <f>'P&amp;L'!D30</f>
        <v>-17.869000000000003</v>
      </c>
      <c r="E90" s="232">
        <f>'P&amp;L'!E30</f>
        <v>-26.941000000000006</v>
      </c>
      <c r="F90" s="232">
        <f>'P&amp;L'!F30</f>
        <v>-50.347999999999999</v>
      </c>
      <c r="G90" s="232">
        <f>'P&amp;L'!G30</f>
        <v>0</v>
      </c>
      <c r="H90" s="232">
        <f>'P&amp;L'!H30</f>
        <v>-23.419000000000004</v>
      </c>
      <c r="I90" s="232">
        <f>'P&amp;L'!I30</f>
        <v>-31.442</v>
      </c>
      <c r="J90" s="232">
        <f>'P&amp;L'!J30</f>
        <v>-57.70000000000001</v>
      </c>
      <c r="K90" s="232"/>
      <c r="L90" s="232">
        <f>'P&amp;L'!L30</f>
        <v>-25.565000000000001</v>
      </c>
      <c r="M90" s="232">
        <f>'P&amp;L'!M30</f>
        <v>-32.685999999999993</v>
      </c>
      <c r="N90" s="232">
        <f>'P&amp;L'!N30</f>
        <v>-60.185999999999993</v>
      </c>
      <c r="O90" s="232"/>
      <c r="P90" s="232">
        <f>'P&amp;L'!P30</f>
        <v>-26.142999999999997</v>
      </c>
      <c r="Q90" s="232">
        <f>'P&amp;L'!Q30</f>
        <v>-29.600000000000005</v>
      </c>
      <c r="R90" s="232">
        <f>'P&amp;L'!R30</f>
        <v>-56.071000000000005</v>
      </c>
      <c r="S90" s="232"/>
      <c r="T90" s="232">
        <f>'P&amp;L'!T30</f>
        <v>-24.980999999999998</v>
      </c>
      <c r="U90" s="232">
        <f>'P&amp;L'!U30</f>
        <v>-44.943999999999996</v>
      </c>
      <c r="V90" s="232">
        <f>'P&amp;L'!V30</f>
        <v>-69.924999999999997</v>
      </c>
      <c r="W90" s="232"/>
      <c r="X90" s="232">
        <f>'P&amp;L'!X30</f>
        <v>-40.977000000000011</v>
      </c>
      <c r="Y90" s="232">
        <f>'P&amp;L'!Y30</f>
        <v>-46.988</v>
      </c>
      <c r="Z90" s="232">
        <f>'P&amp;L'!Z30</f>
        <v>-87.964999999999989</v>
      </c>
      <c r="AA90" s="232"/>
      <c r="AB90" s="232">
        <f>'P&amp;L'!AB30</f>
        <v>-44.000000000000007</v>
      </c>
      <c r="AC90" s="232">
        <f>'P&amp;L'!AC30</f>
        <v>-56.599999999999994</v>
      </c>
      <c r="AD90" s="232">
        <f>'P&amp;L'!AD30</f>
        <v>-100.6</v>
      </c>
      <c r="AE90" s="232"/>
      <c r="AF90" s="232">
        <f>'P&amp;L'!AF30</f>
        <v>-52.339999999999996</v>
      </c>
      <c r="AG90" s="232">
        <f>'P&amp;L'!AG30</f>
        <v>-63.679999999999993</v>
      </c>
      <c r="AH90" s="232">
        <f>'P&amp;L'!AH30</f>
        <v>-116.02000000000002</v>
      </c>
      <c r="AI90" s="232"/>
      <c r="AJ90" s="232">
        <f>'P&amp;L'!AJ30</f>
        <v>-62.20000000000001</v>
      </c>
      <c r="AK90" s="232">
        <f>'P&amp;L'!AK30</f>
        <v>-69.248999999999995</v>
      </c>
      <c r="AL90" s="232">
        <f>'P&amp;L'!AL30</f>
        <v>-131.44900000000001</v>
      </c>
      <c r="AM90" s="232"/>
      <c r="AN90" s="232">
        <f>'P&amp;L'!AN30</f>
        <v>-71.200000000000031</v>
      </c>
      <c r="AO90" s="232">
        <f>'P&amp;L'!AO30</f>
        <v>-81.999999999999943</v>
      </c>
      <c r="AP90" s="232">
        <f>'P&amp;L'!AP30</f>
        <v>-153.19999999999996</v>
      </c>
      <c r="AQ90" s="232"/>
      <c r="AR90" s="232">
        <f>'P&amp;L'!AR30</f>
        <v>-76.403911134999987</v>
      </c>
      <c r="AS90" s="232">
        <f>'P&amp;L'!AS30</f>
        <v>-86.02505333000002</v>
      </c>
      <c r="AT90" s="232">
        <f>'P&amp;L'!AT30</f>
        <v>-162.42896446500004</v>
      </c>
      <c r="AU90" s="232"/>
      <c r="AV90" s="232">
        <f>'P&amp;L'!AV30</f>
        <v>-81.332732663842734</v>
      </c>
      <c r="AW90" s="232">
        <f>'P&amp;L'!AW30</f>
        <v>-91.814254449967763</v>
      </c>
      <c r="AX90" s="232">
        <f>'P&amp;L'!AX30</f>
        <v>-173.14698711381047</v>
      </c>
      <c r="AY90" s="232"/>
      <c r="AZ90" s="232">
        <f>'P&amp;L'!AZ30</f>
        <v>-86.481726699064907</v>
      </c>
      <c r="BA90" s="232">
        <f>'P&amp;L'!BA30</f>
        <v>-97.879747460171515</v>
      </c>
      <c r="BB90" s="232">
        <f>'P&amp;L'!BB30</f>
        <v>-184.36147415923642</v>
      </c>
      <c r="BC90" s="232"/>
      <c r="BD90" s="232">
        <f>'P&amp;L'!BD30</f>
        <v>-89.784749266876929</v>
      </c>
      <c r="BE90" s="232">
        <f>'P&amp;L'!BE30</f>
        <v>-101.82144433428491</v>
      </c>
      <c r="BF90" s="232">
        <f>'P&amp;L'!BF30</f>
        <v>-191.60619360116186</v>
      </c>
      <c r="BG90" s="232"/>
      <c r="BH90" s="232">
        <f>'P&amp;L'!BH30</f>
        <v>-93.245702042402201</v>
      </c>
      <c r="BI90" s="232">
        <f>'P&amp;L'!BI30</f>
        <v>-105.95402351671164</v>
      </c>
      <c r="BJ90" s="232">
        <f>'P&amp;L'!BJ30</f>
        <v>-199.19972555911389</v>
      </c>
      <c r="BK90" s="232"/>
      <c r="BL90" s="232">
        <f>'P&amp;L'!BL30</f>
        <v>-96.872735981098501</v>
      </c>
      <c r="BM90" s="232">
        <f>'P&amp;L'!BM30</f>
        <v>-110.28736910634426</v>
      </c>
      <c r="BN90" s="232">
        <f>'P&amp;L'!BN30</f>
        <v>-207.16010508744276</v>
      </c>
      <c r="BO90" s="232"/>
      <c r="BP90" s="232">
        <f>'P&amp;L'!BP30</f>
        <v>-100.67443910684929</v>
      </c>
      <c r="BQ90" s="232">
        <f>'P&amp;L'!BQ30</f>
        <v>-114.83189503738841</v>
      </c>
      <c r="BR90" s="232">
        <f>'P&amp;L'!BR30</f>
        <v>-215.50633414423771</v>
      </c>
      <c r="BS90" s="232"/>
      <c r="BT90" s="232">
        <f>'P&amp;L'!BT30</f>
        <v>-104.6598604417006</v>
      </c>
      <c r="BU90" s="232">
        <f>'P&amp;L'!BU30</f>
        <v>-119.59857405312371</v>
      </c>
      <c r="BV90" s="232">
        <f>'P&amp;L'!BV30</f>
        <v>-224.25843449482429</v>
      </c>
      <c r="BW90" s="232"/>
      <c r="BX90" s="232">
        <f>'P&amp;L'!BX30</f>
        <v>-108.83853526356555</v>
      </c>
      <c r="BY90" s="232">
        <f>'P&amp;L'!BY30</f>
        <v>-124.59896828573774</v>
      </c>
      <c r="BZ90" s="232">
        <f>'P&amp;L'!BZ30</f>
        <v>-233.4375035493033</v>
      </c>
    </row>
    <row r="91" spans="1:78">
      <c r="B91" s="187" t="s">
        <v>490</v>
      </c>
      <c r="D91" s="173">
        <f>+D69/D90</f>
        <v>0.11080642453410933</v>
      </c>
      <c r="E91" s="173">
        <f t="shared" ref="E91:F91" si="254">+E69/E90</f>
        <v>8.9788797743216645E-2</v>
      </c>
      <c r="F91" s="173">
        <f t="shared" si="254"/>
        <v>8.737189163422579E-2</v>
      </c>
      <c r="H91" s="173">
        <f t="shared" ref="H91" si="255">+H69/H90</f>
        <v>0.18732652974080868</v>
      </c>
      <c r="I91" s="173">
        <f t="shared" ref="I91" si="256">+I69/I90</f>
        <v>0.13093950766490681</v>
      </c>
      <c r="J91" s="173">
        <f t="shared" ref="J91" si="257">+J69/J90</f>
        <v>0.14738301559792025</v>
      </c>
      <c r="L91" s="173">
        <f t="shared" ref="L91" si="258">+L69/L90</f>
        <v>0.11468805006845295</v>
      </c>
      <c r="M91" s="173">
        <f t="shared" ref="M91" si="259">+M69/M90</f>
        <v>7.8290399559444418E-2</v>
      </c>
      <c r="N91" s="173">
        <f t="shared" ref="N91" si="260">+N69/N90</f>
        <v>9.1233841757219297E-2</v>
      </c>
      <c r="P91" s="173">
        <f t="shared" ref="P91" si="261">+P69/P90</f>
        <v>0.24832651187698432</v>
      </c>
      <c r="Q91" s="173">
        <f t="shared" ref="Q91" si="262">+Q69/Q90</f>
        <v>0.11746621621621618</v>
      </c>
      <c r="R91" s="173">
        <f t="shared" ref="R91" si="263">+R69/R90</f>
        <v>0.17779244172566921</v>
      </c>
      <c r="T91" s="173">
        <f t="shared" ref="T91" si="264">+T69/T90</f>
        <v>0.18578119370721749</v>
      </c>
      <c r="U91" s="173">
        <f t="shared" ref="U91" si="265">+U69/U90</f>
        <v>8.3014417942328236E-2</v>
      </c>
      <c r="V91" s="173">
        <f t="shared" ref="V91" si="266">+V69/V90</f>
        <v>0.11972828030032177</v>
      </c>
      <c r="X91" s="173">
        <f t="shared" ref="X91" si="267">+X69/X90</f>
        <v>0.1385655367645264</v>
      </c>
      <c r="Y91" s="173">
        <f t="shared" ref="Y91" si="268">+Y69/Y90</f>
        <v>0.16957521069209161</v>
      </c>
      <c r="Z91" s="173">
        <f t="shared" ref="Z91" si="269">+Z69/Z90</f>
        <v>0.15512988120275112</v>
      </c>
      <c r="AB91" s="173">
        <f t="shared" ref="AB91" si="270">+AB69/AB90</f>
        <v>0.15524999999999997</v>
      </c>
      <c r="AC91" s="173">
        <f t="shared" ref="AC91" si="271">+AC69/AC90</f>
        <v>0.14409893992932862</v>
      </c>
      <c r="AD91" s="173">
        <f t="shared" ref="AD91" si="272">+AD69/AD90</f>
        <v>0.14897614314115309</v>
      </c>
      <c r="AF91" s="173">
        <f t="shared" ref="AF91:AH91" si="273">+AF69/AF90</f>
        <v>0.29589224302636608</v>
      </c>
      <c r="AG91" s="173">
        <f t="shared" si="273"/>
        <v>0.10442839195979901</v>
      </c>
      <c r="AH91" s="173">
        <f t="shared" si="273"/>
        <v>0.19080330977417684</v>
      </c>
      <c r="AJ91" s="173">
        <f t="shared" ref="AJ91:AL91" si="274">+AJ69/AJ90</f>
        <v>0.22940514469453371</v>
      </c>
      <c r="AK91" s="173">
        <f t="shared" si="274"/>
        <v>0.19954078759260063</v>
      </c>
      <c r="AL91" s="173">
        <f t="shared" si="274"/>
        <v>0.2136722226871258</v>
      </c>
      <c r="AN91" s="173">
        <f t="shared" ref="AN91:AP91" si="275">+AN69/AN90</f>
        <v>0.17710674157303363</v>
      </c>
      <c r="AO91" s="173">
        <f t="shared" si="275"/>
        <v>0.2300121951219514</v>
      </c>
      <c r="AP91" s="173">
        <f t="shared" si="275"/>
        <v>0.20542428198433427</v>
      </c>
      <c r="AR91" s="521">
        <v>0.2</v>
      </c>
      <c r="AS91" s="521">
        <v>0.2</v>
      </c>
      <c r="AT91" s="173">
        <f t="shared" ref="AT91:BR91" si="276">+AT83/AT90</f>
        <v>0.19999999999999998</v>
      </c>
      <c r="AV91" s="521">
        <v>0.2</v>
      </c>
      <c r="AW91" s="521">
        <v>0.2</v>
      </c>
      <c r="AX91" s="173">
        <f t="shared" si="276"/>
        <v>0.2</v>
      </c>
      <c r="AZ91" s="521">
        <v>0.2</v>
      </c>
      <c r="BA91" s="521">
        <v>0.2</v>
      </c>
      <c r="BB91" s="173">
        <f t="shared" si="276"/>
        <v>0.2</v>
      </c>
      <c r="BD91" s="521">
        <v>0.2</v>
      </c>
      <c r="BE91" s="521">
        <v>0.2</v>
      </c>
      <c r="BF91" s="173">
        <f t="shared" si="276"/>
        <v>0.2</v>
      </c>
      <c r="BH91" s="521">
        <v>0.2</v>
      </c>
      <c r="BI91" s="521">
        <v>0.2</v>
      </c>
      <c r="BJ91" s="173">
        <f t="shared" si="276"/>
        <v>0.19999999999999998</v>
      </c>
      <c r="BL91" s="521">
        <v>0.2</v>
      </c>
      <c r="BM91" s="521">
        <v>0.2</v>
      </c>
      <c r="BN91" s="173">
        <f t="shared" si="276"/>
        <v>0.2</v>
      </c>
      <c r="BP91" s="521">
        <v>0.2</v>
      </c>
      <c r="BQ91" s="521">
        <v>0.2</v>
      </c>
      <c r="BR91" s="173">
        <f t="shared" si="276"/>
        <v>0.2</v>
      </c>
      <c r="BT91" s="521">
        <v>0.2</v>
      </c>
      <c r="BU91" s="521">
        <v>0.2</v>
      </c>
      <c r="BV91" s="173">
        <f t="shared" ref="BV91" si="277">+BV83/BV90</f>
        <v>0.20000000000000004</v>
      </c>
      <c r="BX91" s="521">
        <v>0.2</v>
      </c>
      <c r="BY91" s="521">
        <v>0.2</v>
      </c>
      <c r="BZ91" s="173">
        <f t="shared" ref="BZ91" si="278">+BZ83/BZ90</f>
        <v>0.19999999999999998</v>
      </c>
    </row>
    <row r="92" spans="1:78">
      <c r="Q92" s="258"/>
      <c r="U92" s="258"/>
      <c r="Y92" s="258"/>
      <c r="AC92" s="258"/>
      <c r="AG92" s="258"/>
      <c r="AK92" s="258"/>
      <c r="AM92" s="258"/>
      <c r="AO92" s="258"/>
      <c r="AQ92" s="258"/>
      <c r="AR92" s="258"/>
      <c r="AS92" s="258"/>
      <c r="AT92" s="258"/>
      <c r="AU92" s="258"/>
      <c r="AV92" s="258"/>
      <c r="AW92" s="258"/>
      <c r="AX92" s="258"/>
      <c r="AY92" s="258"/>
      <c r="AZ92" s="258"/>
      <c r="BA92" s="258"/>
      <c r="BB92" s="258"/>
      <c r="BC92" s="258"/>
      <c r="BD92" s="258"/>
      <c r="BE92" s="258"/>
      <c r="BF92" s="258"/>
      <c r="BG92" s="258"/>
      <c r="BH92" s="258"/>
      <c r="BI92" s="258"/>
      <c r="BJ92" s="258"/>
      <c r="BK92" s="258"/>
      <c r="BL92" s="258"/>
      <c r="BM92" s="258"/>
      <c r="BN92" s="258"/>
      <c r="BO92" s="258"/>
      <c r="BP92" s="258"/>
      <c r="BQ92" s="258"/>
      <c r="BR92" s="258"/>
      <c r="BS92" s="258"/>
      <c r="BT92" s="258"/>
      <c r="BU92" s="258"/>
      <c r="BV92" s="258"/>
      <c r="BW92" s="258"/>
      <c r="BX92" s="258"/>
      <c r="BY92" s="258"/>
      <c r="BZ92" s="258"/>
    </row>
    <row r="93" spans="1:78">
      <c r="B93" s="134" t="s">
        <v>488</v>
      </c>
      <c r="P93" s="452">
        <f>P37+P63+P87</f>
        <v>5.8202742600000548</v>
      </c>
      <c r="Q93" s="452">
        <f>Q37+Q63+Q87</f>
        <v>79.010340769999985</v>
      </c>
      <c r="T93" s="452">
        <f>T37+T63+T87</f>
        <v>-71.907111449999945</v>
      </c>
      <c r="U93" s="452">
        <f>U37+U63+U87</f>
        <v>63.035453704999952</v>
      </c>
      <c r="X93" s="452">
        <f>X37+X63+X87</f>
        <v>-93.714716558333322</v>
      </c>
      <c r="Y93" s="452">
        <f>Y37+Y63+Y87</f>
        <v>35.340327840000043</v>
      </c>
      <c r="AB93" s="452">
        <f>AB37+AB63+AB87</f>
        <v>-47.809664049999967</v>
      </c>
      <c r="AC93" s="452">
        <f>AC37+AC63+AC87</f>
        <v>426.55796031</v>
      </c>
      <c r="AF93" s="452">
        <f>AF37+AF63+AF87</f>
        <v>857.94936154333311</v>
      </c>
      <c r="AG93" s="452">
        <f>AG37+AG63+AG87</f>
        <v>187.83181194000011</v>
      </c>
      <c r="AJ93" s="452">
        <f>AJ37+AJ63+AJ87</f>
        <v>-204.37564099999983</v>
      </c>
      <c r="AK93" s="452">
        <f>AK37+AK63+AK87</f>
        <v>164.25500000000017</v>
      </c>
      <c r="AM93" s="258"/>
      <c r="AN93" s="452">
        <f>AN37+AN63+AN87</f>
        <v>233.70199999999963</v>
      </c>
      <c r="AO93" s="452">
        <f>AO37+AO63+AO87</f>
        <v>-256.90999999999985</v>
      </c>
      <c r="AQ93" s="258"/>
      <c r="AR93" s="258"/>
      <c r="AS93" s="258"/>
      <c r="AT93" s="258"/>
      <c r="AU93" s="258"/>
      <c r="AV93" s="258"/>
      <c r="AW93" s="258"/>
      <c r="AX93" s="258"/>
      <c r="AY93" s="258"/>
      <c r="AZ93" s="258"/>
      <c r="BA93" s="258"/>
      <c r="BB93" s="258"/>
      <c r="BC93" s="258"/>
      <c r="BD93" s="258"/>
      <c r="BE93" s="258"/>
      <c r="BF93" s="258"/>
      <c r="BG93" s="258"/>
      <c r="BH93" s="258"/>
      <c r="BI93" s="258"/>
      <c r="BJ93" s="258"/>
      <c r="BK93" s="258"/>
      <c r="BL93" s="258"/>
      <c r="BM93" s="258"/>
      <c r="BN93" s="258"/>
      <c r="BO93" s="258"/>
      <c r="BP93" s="258"/>
      <c r="BQ93" s="258"/>
      <c r="BR93" s="258"/>
      <c r="BS93" s="258"/>
      <c r="BT93" s="258"/>
      <c r="BU93" s="258"/>
      <c r="BV93" s="258"/>
      <c r="BW93" s="258"/>
      <c r="BX93" s="258"/>
      <c r="BY93" s="258"/>
      <c r="BZ93" s="258"/>
    </row>
    <row r="94" spans="1:78">
      <c r="B94" s="450" t="s">
        <v>449</v>
      </c>
      <c r="P94" s="453">
        <f>P38+P64+P88</f>
        <v>26.770999999999987</v>
      </c>
      <c r="Q94" s="453">
        <f>Q38+Q64+Q88</f>
        <v>34.222000000000023</v>
      </c>
      <c r="T94" s="453">
        <f>T38+T64+T88</f>
        <v>-35.410000000000011</v>
      </c>
      <c r="U94" s="453">
        <f>U38+U64+U88</f>
        <v>59.018000000000001</v>
      </c>
      <c r="X94" s="453">
        <f>X38+X64+X88</f>
        <v>-17.143999999999977</v>
      </c>
      <c r="Y94" s="453">
        <f>Y38+Y64+Y88</f>
        <v>55.974999999999994</v>
      </c>
      <c r="AB94" s="453">
        <f>AB38+AB64+AB88</f>
        <v>-9.5629999999999598</v>
      </c>
      <c r="AC94" s="453">
        <f>AC38+AC64+AC88</f>
        <v>322.35099999999989</v>
      </c>
      <c r="AF94" s="453">
        <f>AF38+AF64+AF88</f>
        <v>432.13200000000001</v>
      </c>
      <c r="AG94" s="453">
        <f>AG38+AG64+AG88</f>
        <v>131.91000000000008</v>
      </c>
      <c r="AJ94" s="453">
        <f>AJ38+AJ64+AJ88</f>
        <v>-105.32499999999996</v>
      </c>
      <c r="AK94" s="453">
        <f>AK38+AK64+AK88</f>
        <v>193.72500000000002</v>
      </c>
      <c r="AM94" s="258"/>
      <c r="AN94" s="453">
        <f>AN38+AN64+AN88</f>
        <v>-43.510000000000062</v>
      </c>
      <c r="AO94" s="453">
        <f>AO38+AO64+AO88</f>
        <v>98.893999999999835</v>
      </c>
      <c r="AQ94" s="258"/>
      <c r="AR94" s="258"/>
      <c r="AS94" s="258"/>
      <c r="AT94" s="258"/>
      <c r="AU94" s="258"/>
      <c r="AV94" s="258"/>
      <c r="AW94" s="258"/>
      <c r="AX94" s="258"/>
      <c r="AY94" s="258"/>
      <c r="AZ94" s="258"/>
      <c r="BA94" s="258"/>
      <c r="BB94" s="258"/>
      <c r="BC94" s="258"/>
      <c r="BD94" s="258"/>
      <c r="BE94" s="258"/>
      <c r="BF94" s="258"/>
      <c r="BG94" s="258"/>
      <c r="BH94" s="258"/>
      <c r="BI94" s="258"/>
      <c r="BJ94" s="258"/>
      <c r="BK94" s="258"/>
      <c r="BL94" s="258"/>
      <c r="BM94" s="258"/>
      <c r="BN94" s="258"/>
      <c r="BO94" s="258"/>
      <c r="BP94" s="258"/>
      <c r="BQ94" s="258"/>
      <c r="BR94" s="258"/>
      <c r="BS94" s="258"/>
      <c r="BT94" s="258"/>
      <c r="BU94" s="258"/>
      <c r="BV94" s="258"/>
      <c r="BW94" s="258"/>
      <c r="BX94" s="258"/>
      <c r="BY94" s="258"/>
      <c r="BZ94" s="258"/>
    </row>
    <row r="95" spans="1:78" ht="19.95" customHeight="1">
      <c r="T95" s="453"/>
      <c r="U95" s="453"/>
      <c r="X95" s="453"/>
      <c r="Y95" s="453"/>
      <c r="AB95" s="453"/>
      <c r="AC95" s="453"/>
      <c r="AF95" s="453"/>
      <c r="AG95" s="453"/>
      <c r="AJ95" s="453"/>
      <c r="AK95" s="453"/>
      <c r="AM95" s="258"/>
      <c r="AN95" s="453"/>
      <c r="AO95" s="453"/>
      <c r="AQ95" s="258"/>
      <c r="AR95" s="258"/>
      <c r="AS95" s="258"/>
      <c r="AT95" s="258"/>
      <c r="AU95" s="258"/>
      <c r="AV95" s="258"/>
      <c r="AW95" s="258"/>
      <c r="AX95" s="258"/>
      <c r="AY95" s="258"/>
      <c r="AZ95" s="258"/>
      <c r="BA95" s="258"/>
      <c r="BB95" s="258"/>
      <c r="BC95" s="258"/>
      <c r="BD95" s="258"/>
      <c r="BE95" s="258"/>
      <c r="BF95" s="258"/>
      <c r="BG95" s="258"/>
      <c r="BH95" s="258"/>
      <c r="BI95" s="258"/>
      <c r="BJ95" s="258"/>
      <c r="BK95" s="258"/>
      <c r="BL95" s="258"/>
      <c r="BM95" s="258"/>
      <c r="BN95" s="258"/>
      <c r="BO95" s="258"/>
      <c r="BP95" s="258"/>
      <c r="BQ95" s="258"/>
      <c r="BR95" s="258"/>
      <c r="BS95" s="258"/>
      <c r="BT95" s="258"/>
      <c r="BU95" s="258"/>
      <c r="BV95" s="258"/>
      <c r="BW95" s="258"/>
      <c r="BX95" s="258"/>
      <c r="BY95" s="258"/>
      <c r="BZ95" s="258"/>
    </row>
    <row r="96" spans="1:78" s="140" customFormat="1">
      <c r="A96" s="149"/>
      <c r="B96" s="149" t="s">
        <v>21</v>
      </c>
      <c r="D96" s="219">
        <f>D79+D51+D22+D23</f>
        <v>-13.378999999999998</v>
      </c>
      <c r="E96" s="219">
        <f>E79+E51+E22+E23</f>
        <v>15.815999999999988</v>
      </c>
      <c r="F96" s="219">
        <f>F79+F51+F22+F23</f>
        <v>2.4369999999999603</v>
      </c>
      <c r="H96" s="219">
        <f>H79+H51+H22+H23</f>
        <v>-11.321000000000009</v>
      </c>
      <c r="I96" s="219">
        <f>I79+I51+I22+I23</f>
        <v>6.1929999999999907</v>
      </c>
      <c r="J96" s="219">
        <f>J79+J51+J22+J23</f>
        <v>-5.1279999999999974</v>
      </c>
      <c r="L96" s="219">
        <f>L79+L51+L22+L23</f>
        <v>5.7829999999999995</v>
      </c>
      <c r="M96" s="219">
        <f>M79+M51+M22+M23</f>
        <v>-0.4440000000000115</v>
      </c>
      <c r="N96" s="219">
        <f>N79+N51+N22+N23</f>
        <v>5.3390000000000093</v>
      </c>
      <c r="P96" s="219">
        <f>P79+P51+P22+P23</f>
        <v>26.770999999999987</v>
      </c>
      <c r="Q96" s="219">
        <f>Q79+Q51+Q22+Q23</f>
        <v>34.222000000000016</v>
      </c>
      <c r="R96" s="219">
        <f>R79+R51+R22+R23</f>
        <v>60.992999999999988</v>
      </c>
      <c r="T96" s="219">
        <f>T79+T51+T22+T23</f>
        <v>-35.410000000000011</v>
      </c>
      <c r="U96" s="219">
        <f>U79+U51+U22+U23</f>
        <v>59.018000000000001</v>
      </c>
      <c r="V96" s="219">
        <f>V79+V51+V22+V23</f>
        <v>23.607999999999986</v>
      </c>
      <c r="W96" s="219"/>
      <c r="X96" s="219">
        <f>X79+X51+X22+X23</f>
        <v>-17.143999999999977</v>
      </c>
      <c r="Y96" s="219">
        <f>Y79+Y51+Y22+Y23</f>
        <v>55.97499999999998</v>
      </c>
      <c r="Z96" s="219">
        <f>Z79+Z51+Z22+Z23</f>
        <v>38.830999999999946</v>
      </c>
      <c r="AA96" s="219"/>
      <c r="AB96" s="219">
        <f>AB24+AB51+AB79</f>
        <v>-9.5629999999999598</v>
      </c>
      <c r="AC96" s="219">
        <f>AC24+AC51+AC79</f>
        <v>322.35099999999989</v>
      </c>
      <c r="AD96" s="219">
        <f>AD24+AD51+AD79</f>
        <v>312.78799999999995</v>
      </c>
      <c r="AE96" s="219"/>
      <c r="AF96" s="219">
        <f>AF24+AF51+AF79</f>
        <v>432.13200000000001</v>
      </c>
      <c r="AG96" s="219">
        <f>AG24+AG51+AG79</f>
        <v>131.91000000000008</v>
      </c>
      <c r="AH96" s="219">
        <f>AH24+AH51+AH79</f>
        <v>564.04200000000003</v>
      </c>
      <c r="AI96" s="219"/>
      <c r="AJ96" s="219">
        <f>AJ24+AJ51+AJ79</f>
        <v>-105.32499999999996</v>
      </c>
      <c r="AK96" s="219">
        <f>AK24+AK51+AK79</f>
        <v>193.72500000000002</v>
      </c>
      <c r="AL96" s="219">
        <f>AL24+AL51+AL79</f>
        <v>88.399999999999949</v>
      </c>
      <c r="AN96" s="219">
        <f>AN24+AN51+AN79</f>
        <v>-43.510000000000062</v>
      </c>
      <c r="AO96" s="219">
        <f>AO24+AO51+AO79</f>
        <v>98.893999999999835</v>
      </c>
      <c r="AP96" s="219">
        <f>AP24+AP51+AP79</f>
        <v>55.383999999999745</v>
      </c>
      <c r="AR96" s="219">
        <f>AR24+AR51+AR79</f>
        <v>-49.587488046269087</v>
      </c>
      <c r="AS96" s="219">
        <f>AS24+AS51+AS79</f>
        <v>285.66343033420486</v>
      </c>
      <c r="AT96" s="219">
        <f>AT24+AT51+AT79</f>
        <v>236.07594228793579</v>
      </c>
      <c r="AV96" s="219">
        <f>AV24+AV51+AV79</f>
        <v>-134.3719227198803</v>
      </c>
      <c r="AW96" s="219">
        <f>AW24+AW51+AW79</f>
        <v>310.21948172413829</v>
      </c>
      <c r="AX96" s="219">
        <f>AX24+AX51+AX79</f>
        <v>175.84755900425802</v>
      </c>
      <c r="AZ96" s="219">
        <f>AZ24+AZ51+AZ79</f>
        <v>-178.29301116550448</v>
      </c>
      <c r="BA96" s="219">
        <f>BA24+BA51+BA79</f>
        <v>312.73942157293328</v>
      </c>
      <c r="BB96" s="219">
        <f>BB24+BB51+BB79</f>
        <v>134.44641040742871</v>
      </c>
      <c r="BD96" s="219">
        <f>BD24+BD51+BD79</f>
        <v>-189.60214217772278</v>
      </c>
      <c r="BE96" s="219">
        <f>BE24+BE51+BE79</f>
        <v>345.29503217554725</v>
      </c>
      <c r="BF96" s="219">
        <f>BF24+BF51+BF79</f>
        <v>155.69288999782452</v>
      </c>
      <c r="BH96" s="219">
        <f>BH24+BH51+BH79</f>
        <v>-208.58623009798194</v>
      </c>
      <c r="BI96" s="219">
        <f>BI24+BI51+BI79</f>
        <v>362.98146399455283</v>
      </c>
      <c r="BJ96" s="219">
        <f>BJ24+BJ51+BJ79</f>
        <v>154.39523389657094</v>
      </c>
      <c r="BL96" s="219">
        <f>BL24+BL51+BL79</f>
        <v>-219.86071065030336</v>
      </c>
      <c r="BM96" s="219">
        <f>BM24+BM51+BM79</f>
        <v>381.37840357835637</v>
      </c>
      <c r="BN96" s="219">
        <f>BN24+BN51+BN79</f>
        <v>161.51769292805295</v>
      </c>
      <c r="BP96" s="219">
        <f>BP24+BP51+BP79</f>
        <v>-204.0528132970158</v>
      </c>
      <c r="BQ96" s="219">
        <f>BQ24+BQ51+BQ79</f>
        <v>384.91111778985186</v>
      </c>
      <c r="BR96" s="219">
        <f>BR24+BR51+BR79</f>
        <v>180.85830449283606</v>
      </c>
      <c r="BT96" s="219">
        <f>BT24+BT51+BT79</f>
        <v>-235.87108992889361</v>
      </c>
      <c r="BU96" s="219">
        <f>BU24+BU51+BU79</f>
        <v>422.6259945233665</v>
      </c>
      <c r="BV96" s="219">
        <f>BV24+BV51+BV79</f>
        <v>186.75490459447281</v>
      </c>
      <c r="BX96" s="219">
        <f>BX24+BX51+BX79</f>
        <v>-258.02385568583821</v>
      </c>
      <c r="BY96" s="219">
        <f>BY24+BY51+BY79</f>
        <v>443.44941358988171</v>
      </c>
      <c r="BZ96" s="219">
        <f>BZ24+BZ51+BZ79</f>
        <v>185.42555790404344</v>
      </c>
    </row>
    <row r="97" spans="1:78" s="140" customFormat="1">
      <c r="A97" s="149"/>
      <c r="B97" s="149" t="s">
        <v>137</v>
      </c>
      <c r="D97" s="231">
        <v>-13.379</v>
      </c>
      <c r="E97" s="219">
        <f>+E96</f>
        <v>15.815999999999988</v>
      </c>
      <c r="F97" s="231">
        <v>2.4369999999999998</v>
      </c>
      <c r="H97" s="231">
        <v>-11.321</v>
      </c>
      <c r="I97" s="219">
        <f>+I96</f>
        <v>6.1929999999999907</v>
      </c>
      <c r="J97" s="231">
        <v>-5.1280000000000001</v>
      </c>
      <c r="L97" s="231">
        <v>5.7830000000000004</v>
      </c>
      <c r="M97" s="219">
        <f>+M96</f>
        <v>-0.4440000000000115</v>
      </c>
      <c r="N97" s="231">
        <v>5.3390000000000004</v>
      </c>
      <c r="P97" s="231">
        <v>26.771000000000001</v>
      </c>
      <c r="Q97" s="219">
        <f>+Q96</f>
        <v>34.222000000000016</v>
      </c>
      <c r="R97" s="231">
        <v>60.993000000000002</v>
      </c>
      <c r="T97" s="231">
        <v>-35.410000000000011</v>
      </c>
      <c r="U97" s="219">
        <f>+U96</f>
        <v>59.018000000000001</v>
      </c>
      <c r="V97" s="231">
        <v>23.608000000000001</v>
      </c>
      <c r="W97" s="219"/>
      <c r="X97" s="231">
        <f>+X96</f>
        <v>-17.143999999999977</v>
      </c>
      <c r="Y97" s="219">
        <f>+Y96</f>
        <v>55.97499999999998</v>
      </c>
      <c r="Z97" s="231">
        <v>38.831000000000003</v>
      </c>
      <c r="AA97" s="175"/>
      <c r="AB97" s="231">
        <v>-9.5629999999999633</v>
      </c>
      <c r="AC97" s="219">
        <f>+AC96</f>
        <v>322.35099999999989</v>
      </c>
      <c r="AD97" s="231">
        <v>312.78800000000001</v>
      </c>
      <c r="AE97" s="175"/>
      <c r="AF97" s="175">
        <v>432.13200000000001</v>
      </c>
      <c r="AG97" s="219">
        <f>+AG96</f>
        <v>131.91000000000008</v>
      </c>
      <c r="AH97" s="175">
        <v>564.04200000000003</v>
      </c>
      <c r="AI97" s="175"/>
      <c r="AJ97" s="231">
        <v>-105.325</v>
      </c>
      <c r="AK97" s="219">
        <f>+AK96</f>
        <v>193.72500000000002</v>
      </c>
      <c r="AL97" s="231">
        <v>88.4</v>
      </c>
      <c r="AN97" s="175">
        <v>-43.51</v>
      </c>
      <c r="AO97" s="219">
        <f>+AO96</f>
        <v>98.893999999999835</v>
      </c>
      <c r="AP97" s="915">
        <v>55.384</v>
      </c>
      <c r="AR97" s="219">
        <f t="shared" ref="AR97:AT97" si="279">+AR96</f>
        <v>-49.587488046269087</v>
      </c>
      <c r="AS97" s="219">
        <f t="shared" si="279"/>
        <v>285.66343033420486</v>
      </c>
      <c r="AT97" s="219">
        <f t="shared" si="279"/>
        <v>236.07594228793579</v>
      </c>
      <c r="AV97" s="219">
        <f t="shared" ref="AV97:AX97" si="280">+AV96</f>
        <v>-134.3719227198803</v>
      </c>
      <c r="AW97" s="219">
        <f t="shared" si="280"/>
        <v>310.21948172413829</v>
      </c>
      <c r="AX97" s="219">
        <f t="shared" si="280"/>
        <v>175.84755900425802</v>
      </c>
      <c r="AZ97" s="219">
        <f t="shared" ref="AZ97:BB97" si="281">+AZ96</f>
        <v>-178.29301116550448</v>
      </c>
      <c r="BA97" s="219">
        <f t="shared" si="281"/>
        <v>312.73942157293328</v>
      </c>
      <c r="BB97" s="219">
        <f t="shared" si="281"/>
        <v>134.44641040742871</v>
      </c>
      <c r="BD97" s="219">
        <f t="shared" ref="BD97:BF97" si="282">+BD96</f>
        <v>-189.60214217772278</v>
      </c>
      <c r="BE97" s="219">
        <f t="shared" si="282"/>
        <v>345.29503217554725</v>
      </c>
      <c r="BF97" s="219">
        <f t="shared" si="282"/>
        <v>155.69288999782452</v>
      </c>
      <c r="BH97" s="219">
        <f t="shared" ref="BH97:BJ97" si="283">+BH96</f>
        <v>-208.58623009798194</v>
      </c>
      <c r="BI97" s="219">
        <f t="shared" si="283"/>
        <v>362.98146399455283</v>
      </c>
      <c r="BJ97" s="219">
        <f t="shared" si="283"/>
        <v>154.39523389657094</v>
      </c>
      <c r="BL97" s="219">
        <f t="shared" ref="BL97:BN97" si="284">+BL96</f>
        <v>-219.86071065030336</v>
      </c>
      <c r="BM97" s="219">
        <f t="shared" si="284"/>
        <v>381.37840357835637</v>
      </c>
      <c r="BN97" s="219">
        <f t="shared" si="284"/>
        <v>161.51769292805295</v>
      </c>
      <c r="BP97" s="219">
        <f t="shared" ref="BP97:BR97" si="285">+BP96</f>
        <v>-204.0528132970158</v>
      </c>
      <c r="BQ97" s="219">
        <f t="shared" si="285"/>
        <v>384.91111778985186</v>
      </c>
      <c r="BR97" s="219">
        <f t="shared" si="285"/>
        <v>180.85830449283606</v>
      </c>
      <c r="BT97" s="219">
        <f t="shared" ref="BT97:BV97" si="286">+BT96</f>
        <v>-235.87108992889361</v>
      </c>
      <c r="BU97" s="219">
        <f t="shared" si="286"/>
        <v>422.6259945233665</v>
      </c>
      <c r="BV97" s="219">
        <f t="shared" si="286"/>
        <v>186.75490459447281</v>
      </c>
      <c r="BX97" s="219">
        <f t="shared" ref="BX97:BZ97" si="287">+BX96</f>
        <v>-258.02385568583821</v>
      </c>
      <c r="BY97" s="219">
        <f t="shared" si="287"/>
        <v>443.44941358988171</v>
      </c>
      <c r="BZ97" s="219">
        <f t="shared" si="287"/>
        <v>185.42555790404344</v>
      </c>
    </row>
    <row r="98" spans="1:78" s="140" customFormat="1">
      <c r="B98" s="244" t="s">
        <v>107</v>
      </c>
      <c r="C98" s="243"/>
      <c r="D98" s="243">
        <f>+D96-D97</f>
        <v>0</v>
      </c>
      <c r="E98" s="243">
        <f>+E96-E97</f>
        <v>0</v>
      </c>
      <c r="F98" s="243">
        <f>+F96-F97</f>
        <v>-3.9523939676655573E-14</v>
      </c>
      <c r="G98" s="243"/>
      <c r="H98" s="243">
        <f>+H96-H97</f>
        <v>0</v>
      </c>
      <c r="I98" s="243">
        <f>+I96-I97</f>
        <v>0</v>
      </c>
      <c r="J98" s="243">
        <f>+J96-J97</f>
        <v>0</v>
      </c>
      <c r="K98" s="243"/>
      <c r="L98" s="243">
        <f>+L96-L97</f>
        <v>0</v>
      </c>
      <c r="M98" s="243">
        <f>+M96-M97</f>
        <v>0</v>
      </c>
      <c r="N98" s="243">
        <f>+N96-N97</f>
        <v>8.8817841970012523E-15</v>
      </c>
      <c r="O98" s="243"/>
      <c r="P98" s="243">
        <f>+P96-P97</f>
        <v>0</v>
      </c>
      <c r="Q98" s="243">
        <f>+Q96-Q97</f>
        <v>0</v>
      </c>
      <c r="R98" s="243">
        <f>+R96-R97</f>
        <v>0</v>
      </c>
      <c r="S98" s="243"/>
      <c r="T98" s="243">
        <f>+T96-T97</f>
        <v>0</v>
      </c>
      <c r="U98" s="243">
        <f>+U96-U97</f>
        <v>0</v>
      </c>
      <c r="V98" s="243">
        <f>+V96-V97</f>
        <v>0</v>
      </c>
      <c r="W98" s="243"/>
      <c r="X98" s="243">
        <f>+X96-X97</f>
        <v>0</v>
      </c>
      <c r="Y98" s="243">
        <f>+Y96-Y97</f>
        <v>0</v>
      </c>
      <c r="Z98" s="243">
        <f>+Z96-Z97</f>
        <v>-5.6843418860808015E-14</v>
      </c>
      <c r="AA98" s="243"/>
      <c r="AB98" s="243">
        <f>+AB96-AB97</f>
        <v>0</v>
      </c>
      <c r="AC98" s="243">
        <f>+AC96-AC97</f>
        <v>0</v>
      </c>
      <c r="AD98" s="243">
        <f>+AD96-AD97</f>
        <v>0</v>
      </c>
      <c r="AE98" s="243"/>
      <c r="AF98" s="243">
        <f>+AF96-AF97</f>
        <v>0</v>
      </c>
      <c r="AG98" s="243">
        <f>+AG96-AG97</f>
        <v>0</v>
      </c>
      <c r="AH98" s="243">
        <f>+AH96-AH97</f>
        <v>0</v>
      </c>
      <c r="AI98" s="243"/>
      <c r="AJ98" s="243">
        <f>+AJ96-AJ97</f>
        <v>0</v>
      </c>
      <c r="AK98" s="243">
        <f>+AK96-AK97</f>
        <v>0</v>
      </c>
      <c r="AL98" s="243">
        <f>+AL96-AL97</f>
        <v>0</v>
      </c>
      <c r="AM98" s="243"/>
      <c r="AN98" s="243">
        <f>+AN96-AN97</f>
        <v>-6.3948846218409017E-14</v>
      </c>
      <c r="AO98" s="243">
        <f>+AO96-AO97</f>
        <v>0</v>
      </c>
      <c r="AP98" s="243">
        <f>+AP96-AP97</f>
        <v>-2.5579538487363607E-13</v>
      </c>
      <c r="AQ98" s="243"/>
      <c r="AR98" s="243">
        <f t="shared" ref="AR98:AT98" si="288">+AR96-AR97</f>
        <v>0</v>
      </c>
      <c r="AS98" s="243">
        <f t="shared" si="288"/>
        <v>0</v>
      </c>
      <c r="AT98" s="243">
        <f t="shared" si="288"/>
        <v>0</v>
      </c>
      <c r="AU98" s="243"/>
      <c r="AV98" s="243">
        <f t="shared" ref="AV98:AX98" si="289">+AV96-AV97</f>
        <v>0</v>
      </c>
      <c r="AW98" s="243">
        <f t="shared" si="289"/>
        <v>0</v>
      </c>
      <c r="AX98" s="243">
        <f t="shared" si="289"/>
        <v>0</v>
      </c>
      <c r="AY98" s="243"/>
      <c r="AZ98" s="243">
        <f t="shared" ref="AZ98:BB98" si="290">+AZ96-AZ97</f>
        <v>0</v>
      </c>
      <c r="BA98" s="243">
        <f t="shared" si="290"/>
        <v>0</v>
      </c>
      <c r="BB98" s="243">
        <f t="shared" si="290"/>
        <v>0</v>
      </c>
      <c r="BC98" s="243"/>
      <c r="BD98" s="243">
        <f t="shared" ref="BD98:BF98" si="291">+BD96-BD97</f>
        <v>0</v>
      </c>
      <c r="BE98" s="243">
        <f t="shared" si="291"/>
        <v>0</v>
      </c>
      <c r="BF98" s="243">
        <f t="shared" si="291"/>
        <v>0</v>
      </c>
      <c r="BG98" s="243"/>
      <c r="BH98" s="243">
        <f t="shared" ref="BH98:BJ98" si="292">+BH96-BH97</f>
        <v>0</v>
      </c>
      <c r="BI98" s="243">
        <f t="shared" si="292"/>
        <v>0</v>
      </c>
      <c r="BJ98" s="243">
        <f t="shared" si="292"/>
        <v>0</v>
      </c>
      <c r="BK98" s="243"/>
      <c r="BL98" s="243">
        <f t="shared" ref="BL98:BN98" si="293">+BL96-BL97</f>
        <v>0</v>
      </c>
      <c r="BM98" s="243">
        <f t="shared" si="293"/>
        <v>0</v>
      </c>
      <c r="BN98" s="243">
        <f t="shared" si="293"/>
        <v>0</v>
      </c>
      <c r="BO98" s="243"/>
      <c r="BP98" s="243">
        <f t="shared" ref="BP98:BR98" si="294">+BP96-BP97</f>
        <v>0</v>
      </c>
      <c r="BQ98" s="243">
        <f t="shared" si="294"/>
        <v>0</v>
      </c>
      <c r="BR98" s="243">
        <f t="shared" si="294"/>
        <v>0</v>
      </c>
      <c r="BS98" s="243"/>
      <c r="BT98" s="243">
        <f t="shared" ref="BT98:BV98" si="295">+BT96-BT97</f>
        <v>0</v>
      </c>
      <c r="BU98" s="243">
        <f t="shared" si="295"/>
        <v>0</v>
      </c>
      <c r="BV98" s="243">
        <f t="shared" si="295"/>
        <v>0</v>
      </c>
      <c r="BW98" s="243"/>
      <c r="BX98" s="243">
        <f t="shared" ref="BX98:BZ98" si="296">+BX96-BX97</f>
        <v>0</v>
      </c>
      <c r="BY98" s="243">
        <f t="shared" si="296"/>
        <v>0</v>
      </c>
      <c r="BZ98" s="243">
        <f t="shared" si="296"/>
        <v>0</v>
      </c>
    </row>
    <row r="99" spans="1:78" s="140" customFormat="1">
      <c r="A99" s="149"/>
      <c r="B99" s="149"/>
      <c r="F99" s="219"/>
      <c r="J99" s="219"/>
      <c r="N99" s="219"/>
      <c r="R99" s="219"/>
      <c r="V99" s="219"/>
      <c r="W99" s="219"/>
      <c r="Z99" s="219"/>
      <c r="AA99" s="219"/>
      <c r="AE99" s="219"/>
      <c r="AJ99" s="219"/>
      <c r="AN99" s="219"/>
      <c r="AR99" s="219"/>
      <c r="AV99" s="219"/>
      <c r="AZ99" s="219"/>
      <c r="BD99" s="219"/>
      <c r="BH99" s="219"/>
      <c r="BL99" s="219"/>
      <c r="BP99" s="219"/>
      <c r="BT99" s="219"/>
      <c r="BX99" s="219"/>
    </row>
    <row r="100" spans="1:78" s="161" customFormat="1">
      <c r="A100" s="148"/>
      <c r="B100" s="149" t="s">
        <v>22</v>
      </c>
      <c r="D100" s="230">
        <v>156.00899999999999</v>
      </c>
      <c r="E100" s="218">
        <f>D103</f>
        <v>142.63</v>
      </c>
      <c r="F100" s="230">
        <v>156.00899999999999</v>
      </c>
      <c r="H100" s="230">
        <v>158.446</v>
      </c>
      <c r="I100" s="218">
        <f>H103</f>
        <v>147.125</v>
      </c>
      <c r="J100" s="230">
        <v>158.65700000000001</v>
      </c>
      <c r="L100" s="230">
        <v>153.31800000000001</v>
      </c>
      <c r="M100" s="218">
        <f>L103</f>
        <v>159.101</v>
      </c>
      <c r="N100" s="230">
        <v>158.65700000000001</v>
      </c>
      <c r="P100" s="230">
        <v>158.65700000000001</v>
      </c>
      <c r="Q100" s="218">
        <f>P103</f>
        <v>185.428</v>
      </c>
      <c r="R100" s="230">
        <v>158.65700000000001</v>
      </c>
      <c r="T100" s="230">
        <v>219.99700000000001</v>
      </c>
      <c r="U100" s="218">
        <f>T103</f>
        <v>184.77699999999999</v>
      </c>
      <c r="V100" s="230">
        <v>219.99700000000001</v>
      </c>
      <c r="W100" s="218"/>
      <c r="X100" s="230">
        <v>243.15100000000001</v>
      </c>
      <c r="Y100" s="218">
        <f>X103</f>
        <v>226.15000000000003</v>
      </c>
      <c r="Z100" s="230">
        <v>243.15100000000001</v>
      </c>
      <c r="AA100" s="218"/>
      <c r="AB100" s="230">
        <v>281.82</v>
      </c>
      <c r="AC100" s="218">
        <f>AB103</f>
        <v>272.55200000000008</v>
      </c>
      <c r="AD100" s="230">
        <v>281.82</v>
      </c>
      <c r="AE100" s="218"/>
      <c r="AF100" s="809">
        <f>+AD103</f>
        <v>592.45999999999992</v>
      </c>
      <c r="AG100" s="218">
        <f>AF103</f>
        <v>1027.3779999999999</v>
      </c>
      <c r="AH100" s="809">
        <f>+AD103</f>
        <v>592.45999999999992</v>
      </c>
      <c r="AI100" s="218"/>
      <c r="AJ100" s="809">
        <f>+AH103</f>
        <v>1196.721</v>
      </c>
      <c r="AK100" s="218">
        <f>AJ103</f>
        <v>1093.127</v>
      </c>
      <c r="AL100" s="809">
        <f>+AH103</f>
        <v>1196.721</v>
      </c>
      <c r="AN100" s="809">
        <f>+AL103</f>
        <v>1286.3159999999998</v>
      </c>
      <c r="AO100" s="218">
        <f>AN103</f>
        <v>1240.1429999999998</v>
      </c>
      <c r="AP100" s="809">
        <f>+AL103</f>
        <v>1286.3159999999998</v>
      </c>
      <c r="AR100" s="809">
        <f t="shared" ref="AR100" si="297">+AP103</f>
        <v>1342.6379999999997</v>
      </c>
      <c r="AS100" s="218">
        <f t="shared" ref="AS100" si="298">AR103</f>
        <v>1293.0505119537306</v>
      </c>
      <c r="AT100" s="809">
        <f t="shared" ref="AT100" si="299">+AP103</f>
        <v>1342.6379999999997</v>
      </c>
      <c r="AV100" s="809">
        <f t="shared" ref="AV100" si="300">+AT103</f>
        <v>1578.7139422879354</v>
      </c>
      <c r="AW100" s="218">
        <f t="shared" ref="AW100" si="301">AV103</f>
        <v>1444.3420195680551</v>
      </c>
      <c r="AX100" s="809">
        <f t="shared" ref="AX100" si="302">+AT103</f>
        <v>1578.7139422879354</v>
      </c>
      <c r="AZ100" s="809">
        <f t="shared" ref="AZ100" si="303">+AX103</f>
        <v>1754.5615012921935</v>
      </c>
      <c r="BA100" s="218">
        <f t="shared" ref="BA100" si="304">AZ103</f>
        <v>1576.2684901266889</v>
      </c>
      <c r="BB100" s="809">
        <f t="shared" ref="BB100" si="305">+AX103</f>
        <v>1754.5615012921935</v>
      </c>
      <c r="BD100" s="809">
        <f t="shared" ref="BD100" si="306">+BB103</f>
        <v>1889.0079116996224</v>
      </c>
      <c r="BE100" s="218">
        <f t="shared" ref="BE100" si="307">BD103</f>
        <v>1699.4057695218996</v>
      </c>
      <c r="BF100" s="809">
        <f t="shared" ref="BF100" si="308">+BB103</f>
        <v>1889.0079116996224</v>
      </c>
      <c r="BH100" s="809">
        <f t="shared" ref="BH100" si="309">+BF103</f>
        <v>2044.7008016974469</v>
      </c>
      <c r="BI100" s="218">
        <f t="shared" ref="BI100" si="310">BH103</f>
        <v>1836.1145715994649</v>
      </c>
      <c r="BJ100" s="809">
        <f t="shared" ref="BJ100" si="311">+BF103</f>
        <v>2044.7008016974469</v>
      </c>
      <c r="BL100" s="809">
        <f t="shared" ref="BL100" si="312">+BJ103</f>
        <v>2199.0960355940178</v>
      </c>
      <c r="BM100" s="218">
        <f t="shared" ref="BM100" si="313">BL103</f>
        <v>1979.2353249437144</v>
      </c>
      <c r="BN100" s="809">
        <f t="shared" ref="BN100" si="314">+BJ103</f>
        <v>2199.0960355940178</v>
      </c>
      <c r="BP100" s="809">
        <f t="shared" ref="BP100" si="315">+BN103</f>
        <v>2360.6137285220707</v>
      </c>
      <c r="BQ100" s="218">
        <f t="shared" ref="BQ100" si="316">BP103</f>
        <v>2156.5609152250549</v>
      </c>
      <c r="BR100" s="809">
        <f t="shared" ref="BR100" si="317">+BN103</f>
        <v>2360.6137285220707</v>
      </c>
      <c r="BT100" s="809">
        <f t="shared" ref="BT100" si="318">+BR103</f>
        <v>2541.4720330149066</v>
      </c>
      <c r="BU100" s="218">
        <f t="shared" ref="BU100" si="319">BT103</f>
        <v>2305.6009430860131</v>
      </c>
      <c r="BV100" s="809">
        <f t="shared" ref="BV100" si="320">+BR103</f>
        <v>2541.4720330149066</v>
      </c>
      <c r="BX100" s="809">
        <f t="shared" ref="BX100" si="321">+BV103</f>
        <v>2728.2269376093795</v>
      </c>
      <c r="BY100" s="218">
        <f t="shared" ref="BY100" si="322">BX103</f>
        <v>2470.2030819235415</v>
      </c>
      <c r="BZ100" s="809">
        <f t="shared" ref="BZ100" si="323">+BV103</f>
        <v>2728.2269376093795</v>
      </c>
    </row>
    <row r="101" spans="1:78" s="161" customFormat="1">
      <c r="A101" s="148"/>
      <c r="B101" s="148" t="s">
        <v>24</v>
      </c>
      <c r="D101" s="218">
        <f>D96</f>
        <v>-13.378999999999998</v>
      </c>
      <c r="E101" s="218">
        <f>E96</f>
        <v>15.815999999999988</v>
      </c>
      <c r="F101" s="218">
        <f>F96</f>
        <v>2.4369999999999603</v>
      </c>
      <c r="H101" s="218">
        <f>H96</f>
        <v>-11.321000000000009</v>
      </c>
      <c r="I101" s="218">
        <f>I96</f>
        <v>6.1929999999999907</v>
      </c>
      <c r="J101" s="218">
        <f>J96</f>
        <v>-5.1279999999999974</v>
      </c>
      <c r="L101" s="218">
        <f>L96</f>
        <v>5.7829999999999995</v>
      </c>
      <c r="M101" s="218">
        <f>M96</f>
        <v>-0.4440000000000115</v>
      </c>
      <c r="N101" s="218">
        <f>N96</f>
        <v>5.3390000000000093</v>
      </c>
      <c r="P101" s="218">
        <f>P96</f>
        <v>26.770999999999987</v>
      </c>
      <c r="Q101" s="218">
        <f>Q96</f>
        <v>34.222000000000016</v>
      </c>
      <c r="R101" s="218">
        <f>R96</f>
        <v>60.992999999999988</v>
      </c>
      <c r="T101" s="218">
        <f>T96</f>
        <v>-35.410000000000011</v>
      </c>
      <c r="U101" s="218">
        <f>U96</f>
        <v>59.018000000000001</v>
      </c>
      <c r="V101" s="218">
        <f>V96</f>
        <v>23.607999999999986</v>
      </c>
      <c r="W101" s="218"/>
      <c r="X101" s="218">
        <f>X96</f>
        <v>-17.143999999999977</v>
      </c>
      <c r="Y101" s="218">
        <f>Y96</f>
        <v>55.97499999999998</v>
      </c>
      <c r="Z101" s="218">
        <f>Z96</f>
        <v>38.830999999999946</v>
      </c>
      <c r="AA101" s="218"/>
      <c r="AB101" s="218">
        <f>AB96</f>
        <v>-9.5629999999999598</v>
      </c>
      <c r="AC101" s="218">
        <f>AC96</f>
        <v>322.35099999999989</v>
      </c>
      <c r="AD101" s="218">
        <f>AD96</f>
        <v>312.78799999999995</v>
      </c>
      <c r="AE101" s="218"/>
      <c r="AF101" s="218">
        <f>AF96</f>
        <v>432.13200000000001</v>
      </c>
      <c r="AG101" s="218">
        <f>AG96</f>
        <v>131.91000000000008</v>
      </c>
      <c r="AH101" s="218">
        <f>AH96</f>
        <v>564.04200000000003</v>
      </c>
      <c r="AI101" s="218"/>
      <c r="AJ101" s="218">
        <f>AJ96</f>
        <v>-105.32499999999996</v>
      </c>
      <c r="AK101" s="218">
        <f>AK96</f>
        <v>193.72500000000002</v>
      </c>
      <c r="AL101" s="218">
        <f>AL96</f>
        <v>88.399999999999949</v>
      </c>
      <c r="AN101" s="218">
        <f>AN96</f>
        <v>-43.510000000000062</v>
      </c>
      <c r="AO101" s="218">
        <f>AO96</f>
        <v>98.893999999999835</v>
      </c>
      <c r="AP101" s="218">
        <f>AP96</f>
        <v>55.383999999999745</v>
      </c>
      <c r="AR101" s="218">
        <f t="shared" ref="AR101:AS101" si="324">AR96</f>
        <v>-49.587488046269087</v>
      </c>
      <c r="AS101" s="218">
        <f t="shared" si="324"/>
        <v>285.66343033420486</v>
      </c>
      <c r="AT101" s="161">
        <f t="shared" ref="AT101:AT102" si="325">+AR101+AS101</f>
        <v>236.07594228793579</v>
      </c>
      <c r="AV101" s="218">
        <f t="shared" ref="AV101:AW101" si="326">AV96</f>
        <v>-134.3719227198803</v>
      </c>
      <c r="AW101" s="218">
        <f t="shared" si="326"/>
        <v>310.21948172413829</v>
      </c>
      <c r="AX101" s="161">
        <f t="shared" ref="AX101:AX102" si="327">+AV101+AW101</f>
        <v>175.84755900425799</v>
      </c>
      <c r="AZ101" s="218">
        <f t="shared" ref="AZ101:BA101" si="328">AZ96</f>
        <v>-178.29301116550448</v>
      </c>
      <c r="BA101" s="218">
        <f t="shared" si="328"/>
        <v>312.73942157293328</v>
      </c>
      <c r="BB101" s="161">
        <f t="shared" ref="BB101:BB102" si="329">+AZ101+BA101</f>
        <v>134.4464104074288</v>
      </c>
      <c r="BD101" s="218">
        <f t="shared" ref="BD101:BE101" si="330">BD96</f>
        <v>-189.60214217772278</v>
      </c>
      <c r="BE101" s="218">
        <f t="shared" si="330"/>
        <v>345.29503217554725</v>
      </c>
      <c r="BF101" s="161">
        <f t="shared" ref="BF101:BF102" si="331">+BD101+BE101</f>
        <v>155.69288999782447</v>
      </c>
      <c r="BH101" s="218">
        <f t="shared" ref="BH101:BI101" si="332">BH96</f>
        <v>-208.58623009798194</v>
      </c>
      <c r="BI101" s="218">
        <f t="shared" si="332"/>
        <v>362.98146399455283</v>
      </c>
      <c r="BJ101" s="161">
        <f t="shared" ref="BJ101:BJ102" si="333">+BH101+BI101</f>
        <v>154.39523389657089</v>
      </c>
      <c r="BL101" s="218">
        <f t="shared" ref="BL101:BM101" si="334">BL96</f>
        <v>-219.86071065030336</v>
      </c>
      <c r="BM101" s="218">
        <f t="shared" si="334"/>
        <v>381.37840357835637</v>
      </c>
      <c r="BN101" s="161">
        <f t="shared" ref="BN101:BN102" si="335">+BL101+BM101</f>
        <v>161.51769292805301</v>
      </c>
      <c r="BP101" s="218">
        <f t="shared" ref="BP101:BQ101" si="336">BP96</f>
        <v>-204.0528132970158</v>
      </c>
      <c r="BQ101" s="218">
        <f t="shared" si="336"/>
        <v>384.91111778985186</v>
      </c>
      <c r="BR101" s="161">
        <f t="shared" ref="BR101:BR102" si="337">+BP101+BQ101</f>
        <v>180.85830449283606</v>
      </c>
      <c r="BT101" s="218">
        <f t="shared" ref="BT101:BU101" si="338">BT96</f>
        <v>-235.87108992889361</v>
      </c>
      <c r="BU101" s="218">
        <f t="shared" si="338"/>
        <v>422.6259945233665</v>
      </c>
      <c r="BV101" s="161">
        <f t="shared" ref="BV101:BV102" si="339">+BT101+BU101</f>
        <v>186.75490459447289</v>
      </c>
      <c r="BX101" s="218">
        <f t="shared" ref="BX101:BY101" si="340">BX96</f>
        <v>-258.02385568583821</v>
      </c>
      <c r="BY101" s="218">
        <f t="shared" si="340"/>
        <v>443.44941358988171</v>
      </c>
      <c r="BZ101" s="161">
        <f t="shared" ref="BZ101:BZ102" si="341">+BX101+BY101</f>
        <v>185.4255579040435</v>
      </c>
    </row>
    <row r="102" spans="1:78" s="161" customFormat="1">
      <c r="A102" s="148"/>
      <c r="B102" s="148" t="s">
        <v>23</v>
      </c>
      <c r="D102" s="230">
        <v>0</v>
      </c>
      <c r="E102" s="218">
        <f>F102-D102</f>
        <v>0</v>
      </c>
      <c r="F102" s="230">
        <v>0</v>
      </c>
      <c r="H102" s="230">
        <v>0</v>
      </c>
      <c r="I102" s="218">
        <f>J102-H102</f>
        <v>0.34699999999999998</v>
      </c>
      <c r="J102" s="230">
        <v>0.34699999999999998</v>
      </c>
      <c r="L102" s="230">
        <v>0</v>
      </c>
      <c r="M102" s="218">
        <f>N102-L102</f>
        <v>0.34699999999999998</v>
      </c>
      <c r="N102" s="230">
        <v>0.34699999999999998</v>
      </c>
      <c r="P102" s="230">
        <v>0</v>
      </c>
      <c r="Q102" s="218">
        <f>R102-P102</f>
        <v>0.34699999999999998</v>
      </c>
      <c r="R102" s="230">
        <v>0.34699999999999998</v>
      </c>
      <c r="T102" s="230">
        <v>0.19</v>
      </c>
      <c r="U102" s="218">
        <f>V102-T102</f>
        <v>-0.64400000000000002</v>
      </c>
      <c r="V102" s="230">
        <v>-0.45400000000000001</v>
      </c>
      <c r="W102" s="218"/>
      <c r="X102" s="230">
        <v>0.14299999999999999</v>
      </c>
      <c r="Y102" s="218">
        <f>Z102-X102</f>
        <v>-0.30499999999999999</v>
      </c>
      <c r="Z102" s="230">
        <v>-0.16200000000000001</v>
      </c>
      <c r="AA102" s="218"/>
      <c r="AB102" s="230">
        <v>0.29499999999999998</v>
      </c>
      <c r="AC102" s="218">
        <f>AD102-AB102</f>
        <v>-2.4430000000000001</v>
      </c>
      <c r="AD102" s="230">
        <v>-2.1480000000000001</v>
      </c>
      <c r="AE102" s="218"/>
      <c r="AF102" s="181">
        <v>2.786</v>
      </c>
      <c r="AG102" s="218">
        <f>AH102-AF102</f>
        <v>37.433</v>
      </c>
      <c r="AH102" s="181">
        <v>40.219000000000001</v>
      </c>
      <c r="AI102" s="218"/>
      <c r="AJ102" s="230">
        <v>1.7310000000000001</v>
      </c>
      <c r="AK102" s="218">
        <f>AL102-AJ102</f>
        <v>-0.53600000000000003</v>
      </c>
      <c r="AL102" s="230">
        <v>1.1950000000000001</v>
      </c>
      <c r="AM102" s="136"/>
      <c r="AN102" s="181">
        <v>-2.6629999999999998</v>
      </c>
      <c r="AO102" s="218">
        <f>AP102-AN102</f>
        <v>3.601</v>
      </c>
      <c r="AP102" s="916">
        <v>0.93799999999999994</v>
      </c>
      <c r="AQ102" s="136"/>
      <c r="AR102" s="488">
        <v>0</v>
      </c>
      <c r="AS102" s="488">
        <v>0</v>
      </c>
      <c r="AT102" s="262">
        <f t="shared" si="325"/>
        <v>0</v>
      </c>
      <c r="AU102" s="136"/>
      <c r="AV102" s="488">
        <v>0</v>
      </c>
      <c r="AW102" s="488">
        <v>0</v>
      </c>
      <c r="AX102" s="262">
        <f t="shared" si="327"/>
        <v>0</v>
      </c>
      <c r="AY102" s="136"/>
      <c r="AZ102" s="488">
        <v>0</v>
      </c>
      <c r="BA102" s="488">
        <v>0</v>
      </c>
      <c r="BB102" s="262">
        <f t="shared" si="329"/>
        <v>0</v>
      </c>
      <c r="BC102" s="136"/>
      <c r="BD102" s="488">
        <v>0</v>
      </c>
      <c r="BE102" s="488">
        <v>0</v>
      </c>
      <c r="BF102" s="262">
        <f t="shared" si="331"/>
        <v>0</v>
      </c>
      <c r="BG102" s="136"/>
      <c r="BH102" s="488">
        <v>0</v>
      </c>
      <c r="BI102" s="488">
        <v>0</v>
      </c>
      <c r="BJ102" s="262">
        <f t="shared" si="333"/>
        <v>0</v>
      </c>
      <c r="BK102" s="136"/>
      <c r="BL102" s="488">
        <v>0</v>
      </c>
      <c r="BM102" s="488">
        <v>0</v>
      </c>
      <c r="BN102" s="262">
        <f t="shared" si="335"/>
        <v>0</v>
      </c>
      <c r="BO102" s="136"/>
      <c r="BP102" s="488">
        <v>0</v>
      </c>
      <c r="BQ102" s="488">
        <v>0</v>
      </c>
      <c r="BR102" s="262">
        <f t="shared" si="337"/>
        <v>0</v>
      </c>
      <c r="BS102" s="136"/>
      <c r="BT102" s="488">
        <v>0</v>
      </c>
      <c r="BU102" s="488">
        <v>0</v>
      </c>
      <c r="BV102" s="262">
        <f t="shared" si="339"/>
        <v>0</v>
      </c>
      <c r="BW102" s="136"/>
      <c r="BX102" s="488">
        <v>0</v>
      </c>
      <c r="BY102" s="488">
        <v>0</v>
      </c>
      <c r="BZ102" s="262">
        <f t="shared" si="341"/>
        <v>0</v>
      </c>
    </row>
    <row r="103" spans="1:78" s="140" customFormat="1">
      <c r="A103" s="149"/>
      <c r="B103" s="149" t="s">
        <v>25</v>
      </c>
      <c r="D103" s="219">
        <f>SUM(D100:D102)</f>
        <v>142.63</v>
      </c>
      <c r="E103" s="219">
        <f>SUM(E100:E102)</f>
        <v>158.44599999999997</v>
      </c>
      <c r="F103" s="219">
        <f>SUM(F100:F102)</f>
        <v>158.44599999999994</v>
      </c>
      <c r="H103" s="219">
        <f>SUM(H100:H102)</f>
        <v>147.125</v>
      </c>
      <c r="I103" s="219">
        <f>SUM(I100:I102)</f>
        <v>153.66499999999999</v>
      </c>
      <c r="J103" s="219">
        <f>SUM(J100:J102)</f>
        <v>153.87600000000003</v>
      </c>
      <c r="L103" s="219">
        <f>SUM(L100:L102)</f>
        <v>159.101</v>
      </c>
      <c r="M103" s="219">
        <f>SUM(M100:M102)</f>
        <v>159.00399999999999</v>
      </c>
      <c r="N103" s="219">
        <f>SUM(N100:N102)</f>
        <v>164.34300000000002</v>
      </c>
      <c r="P103" s="219">
        <f>SUM(P100:P102)</f>
        <v>185.428</v>
      </c>
      <c r="Q103" s="219">
        <f>SUM(Q100:Q102)</f>
        <v>219.99700000000001</v>
      </c>
      <c r="R103" s="219">
        <f>SUM(R100:R102)</f>
        <v>219.99700000000001</v>
      </c>
      <c r="T103" s="219">
        <f>SUM(T100:T102)</f>
        <v>184.77699999999999</v>
      </c>
      <c r="U103" s="219">
        <f>SUM(U100:U102)</f>
        <v>243.15099999999998</v>
      </c>
      <c r="V103" s="219">
        <f>SUM(V100:V102)</f>
        <v>243.15099999999998</v>
      </c>
      <c r="W103" s="219"/>
      <c r="X103" s="219">
        <f>SUM(X100:X102)</f>
        <v>226.15000000000003</v>
      </c>
      <c r="Y103" s="219">
        <f>SUM(Y100:Y102)</f>
        <v>281.82</v>
      </c>
      <c r="Z103" s="219">
        <f>SUM(Z100:Z102)</f>
        <v>281.82</v>
      </c>
      <c r="AA103" s="219"/>
      <c r="AB103" s="219">
        <f>SUM(AB100:AB102)</f>
        <v>272.55200000000008</v>
      </c>
      <c r="AC103" s="219">
        <f>SUM(AC100:AC102)</f>
        <v>592.46</v>
      </c>
      <c r="AD103" s="219">
        <f>SUM(AD100:AD102)</f>
        <v>592.45999999999992</v>
      </c>
      <c r="AE103" s="219"/>
      <c r="AF103" s="219">
        <f>SUM(AF100:AF102)</f>
        <v>1027.3779999999999</v>
      </c>
      <c r="AG103" s="219">
        <f>SUM(AG100:AG102)</f>
        <v>1196.721</v>
      </c>
      <c r="AH103" s="219">
        <f>SUM(AH100:AH102)</f>
        <v>1196.721</v>
      </c>
      <c r="AI103" s="219"/>
      <c r="AJ103" s="219">
        <f>SUM(AJ100:AJ102)</f>
        <v>1093.127</v>
      </c>
      <c r="AK103" s="219">
        <f>SUM(AK100:AK102)</f>
        <v>1286.3159999999998</v>
      </c>
      <c r="AL103" s="219">
        <f>SUM(AL100:AL102)</f>
        <v>1286.3159999999998</v>
      </c>
      <c r="AN103" s="219">
        <f>SUM(AN100:AN102)</f>
        <v>1240.1429999999998</v>
      </c>
      <c r="AO103" s="219">
        <f>SUM(AO100:AO102)</f>
        <v>1342.6379999999997</v>
      </c>
      <c r="AP103" s="219">
        <f>SUM(AP100:AP102)</f>
        <v>1342.6379999999997</v>
      </c>
      <c r="AR103" s="219">
        <f t="shared" ref="AR103:AT103" si="342">SUM(AR100:AR102)</f>
        <v>1293.0505119537306</v>
      </c>
      <c r="AS103" s="219">
        <f t="shared" si="342"/>
        <v>1578.7139422879354</v>
      </c>
      <c r="AT103" s="219">
        <f t="shared" si="342"/>
        <v>1578.7139422879354</v>
      </c>
      <c r="AV103" s="219">
        <f t="shared" ref="AV103:AX103" si="343">SUM(AV100:AV102)</f>
        <v>1444.3420195680551</v>
      </c>
      <c r="AW103" s="219">
        <f t="shared" si="343"/>
        <v>1754.5615012921935</v>
      </c>
      <c r="AX103" s="219">
        <f t="shared" si="343"/>
        <v>1754.5615012921935</v>
      </c>
      <c r="AZ103" s="219">
        <f t="shared" ref="AZ103:BB103" si="344">SUM(AZ100:AZ102)</f>
        <v>1576.2684901266889</v>
      </c>
      <c r="BA103" s="219">
        <f t="shared" si="344"/>
        <v>1889.0079116996221</v>
      </c>
      <c r="BB103" s="219">
        <f t="shared" si="344"/>
        <v>1889.0079116996224</v>
      </c>
      <c r="BD103" s="219">
        <f t="shared" ref="BD103:BF103" si="345">SUM(BD100:BD102)</f>
        <v>1699.4057695218996</v>
      </c>
      <c r="BE103" s="219">
        <f t="shared" si="345"/>
        <v>2044.7008016974469</v>
      </c>
      <c r="BF103" s="219">
        <f t="shared" si="345"/>
        <v>2044.7008016974469</v>
      </c>
      <c r="BH103" s="219">
        <f t="shared" ref="BH103:BJ103" si="346">SUM(BH100:BH102)</f>
        <v>1836.1145715994649</v>
      </c>
      <c r="BI103" s="219">
        <f t="shared" si="346"/>
        <v>2199.0960355940178</v>
      </c>
      <c r="BJ103" s="219">
        <f t="shared" si="346"/>
        <v>2199.0960355940178</v>
      </c>
      <c r="BL103" s="219">
        <f t="shared" ref="BL103:BN103" si="347">SUM(BL100:BL102)</f>
        <v>1979.2353249437144</v>
      </c>
      <c r="BM103" s="219">
        <f t="shared" si="347"/>
        <v>2360.6137285220707</v>
      </c>
      <c r="BN103" s="219">
        <f t="shared" si="347"/>
        <v>2360.6137285220707</v>
      </c>
      <c r="BP103" s="219">
        <f t="shared" ref="BP103:BR103" si="348">SUM(BP100:BP102)</f>
        <v>2156.5609152250549</v>
      </c>
      <c r="BQ103" s="219">
        <f t="shared" si="348"/>
        <v>2541.4720330149066</v>
      </c>
      <c r="BR103" s="219">
        <f t="shared" si="348"/>
        <v>2541.4720330149066</v>
      </c>
      <c r="BT103" s="219">
        <f t="shared" ref="BT103:BV103" si="349">SUM(BT100:BT102)</f>
        <v>2305.6009430860131</v>
      </c>
      <c r="BU103" s="219">
        <f t="shared" si="349"/>
        <v>2728.2269376093795</v>
      </c>
      <c r="BV103" s="219">
        <f t="shared" si="349"/>
        <v>2728.2269376093795</v>
      </c>
      <c r="BX103" s="219">
        <f t="shared" ref="BX103:BZ103" si="350">SUM(BX100:BX102)</f>
        <v>2470.2030819235415</v>
      </c>
      <c r="BY103" s="219">
        <f t="shared" si="350"/>
        <v>2913.6524955134232</v>
      </c>
      <c r="BZ103" s="219">
        <f t="shared" si="350"/>
        <v>2913.6524955134232</v>
      </c>
    </row>
    <row r="104" spans="1:78" s="140" customFormat="1">
      <c r="B104" s="244" t="s">
        <v>139</v>
      </c>
      <c r="C104" s="243"/>
      <c r="D104" s="243">
        <f>+IF(D103&gt;0,0,1)</f>
        <v>0</v>
      </c>
      <c r="E104" s="243">
        <f>+IF(E103&gt;0,0,1)</f>
        <v>0</v>
      </c>
      <c r="F104" s="243">
        <f>+IF(F103&gt;0,0,1)</f>
        <v>0</v>
      </c>
      <c r="G104" s="243"/>
      <c r="H104" s="243">
        <f>+IF(H103&gt;0,0,1)</f>
        <v>0</v>
      </c>
      <c r="I104" s="243">
        <f>+IF(I103&gt;0,0,1)</f>
        <v>0</v>
      </c>
      <c r="J104" s="243">
        <f>+IF(J103&gt;0,0,1)</f>
        <v>0</v>
      </c>
      <c r="K104" s="243"/>
      <c r="L104" s="243">
        <f>+IF(L103&gt;0,0,1)</f>
        <v>0</v>
      </c>
      <c r="M104" s="243">
        <f>+IF(M103&gt;0,0,1)</f>
        <v>0</v>
      </c>
      <c r="N104" s="243">
        <f>+IF(N103&gt;0,0,1)</f>
        <v>0</v>
      </c>
      <c r="O104" s="243"/>
      <c r="P104" s="243">
        <f>+IF(P103&gt;0,0,1)</f>
        <v>0</v>
      </c>
      <c r="Q104" s="243">
        <f>+IF(Q103&gt;0,0,1)</f>
        <v>0</v>
      </c>
      <c r="R104" s="243">
        <f>+IF(R103&gt;0,0,1)</f>
        <v>0</v>
      </c>
      <c r="S104" s="243"/>
      <c r="T104" s="243">
        <f>+IF(T103&gt;0,0,1)</f>
        <v>0</v>
      </c>
      <c r="U104" s="243">
        <f>+IF(U103&gt;0,0,1)</f>
        <v>0</v>
      </c>
      <c r="V104" s="243">
        <f>+IF(V103&gt;0,0,1)</f>
        <v>0</v>
      </c>
      <c r="W104" s="243"/>
      <c r="X104" s="243">
        <f>+IF(X103&gt;0,0,1)</f>
        <v>0</v>
      </c>
      <c r="Y104" s="243">
        <f>+IF(Y103&gt;0,0,1)</f>
        <v>0</v>
      </c>
      <c r="Z104" s="243">
        <f>+IF(Z103&gt;0,0,1)</f>
        <v>0</v>
      </c>
      <c r="AA104" s="243"/>
      <c r="AB104" s="243">
        <f>+IF(AB103&gt;0,0,1)</f>
        <v>0</v>
      </c>
      <c r="AC104" s="243">
        <f>+IF(AC103&gt;0,0,1)</f>
        <v>0</v>
      </c>
      <c r="AD104" s="243">
        <f>+IF(AD103&gt;0,0,1)</f>
        <v>0</v>
      </c>
      <c r="AE104" s="243"/>
      <c r="AF104" s="243">
        <f>+IF(AF103&gt;0,0,1)</f>
        <v>0</v>
      </c>
      <c r="AG104" s="243">
        <f>+IF(AG103&gt;0,0,1)</f>
        <v>0</v>
      </c>
      <c r="AH104" s="243">
        <f>+IF(AH103&gt;0,0,1)</f>
        <v>0</v>
      </c>
      <c r="AI104" s="243"/>
      <c r="AJ104" s="243">
        <f>+IF(AJ103&gt;0,0,1)</f>
        <v>0</v>
      </c>
      <c r="AK104" s="243">
        <f>+IF(AK103&gt;0,0,1)</f>
        <v>0</v>
      </c>
      <c r="AL104" s="243">
        <f>+IF(AL103&gt;0,0,1)</f>
        <v>0</v>
      </c>
      <c r="AM104" s="243"/>
      <c r="AN104" s="243">
        <f>+IF(AN103&gt;0,0,1)</f>
        <v>0</v>
      </c>
      <c r="AO104" s="243">
        <f>+IF(AO103&gt;0,0,1)</f>
        <v>0</v>
      </c>
      <c r="AP104" s="243">
        <f>+IF(AP103&gt;0,0,1)</f>
        <v>0</v>
      </c>
      <c r="AQ104" s="243"/>
      <c r="AR104" s="243">
        <f t="shared" ref="AR104:AT104" si="351">+IF(AR103&gt;0,0,1)</f>
        <v>0</v>
      </c>
      <c r="AS104" s="243">
        <f t="shared" si="351"/>
        <v>0</v>
      </c>
      <c r="AT104" s="243">
        <f t="shared" si="351"/>
        <v>0</v>
      </c>
      <c r="AU104" s="243"/>
      <c r="AV104" s="243">
        <f t="shared" ref="AV104:AX104" si="352">+IF(AV103&gt;0,0,1)</f>
        <v>0</v>
      </c>
      <c r="AW104" s="243">
        <f t="shared" si="352"/>
        <v>0</v>
      </c>
      <c r="AX104" s="243">
        <f t="shared" si="352"/>
        <v>0</v>
      </c>
      <c r="AY104" s="243"/>
      <c r="AZ104" s="243">
        <f t="shared" ref="AZ104:BB104" si="353">+IF(AZ103&gt;0,0,1)</f>
        <v>0</v>
      </c>
      <c r="BA104" s="243">
        <f t="shared" si="353"/>
        <v>0</v>
      </c>
      <c r="BB104" s="243">
        <f t="shared" si="353"/>
        <v>0</v>
      </c>
      <c r="BC104" s="243"/>
      <c r="BD104" s="243">
        <f t="shared" ref="BD104:BF104" si="354">+IF(BD103&gt;0,0,1)</f>
        <v>0</v>
      </c>
      <c r="BE104" s="243">
        <f t="shared" si="354"/>
        <v>0</v>
      </c>
      <c r="BF104" s="243">
        <f t="shared" si="354"/>
        <v>0</v>
      </c>
      <c r="BG104" s="243"/>
      <c r="BH104" s="243">
        <f t="shared" ref="BH104:BJ104" si="355">+IF(BH103&gt;0,0,1)</f>
        <v>0</v>
      </c>
      <c r="BI104" s="243">
        <f t="shared" si="355"/>
        <v>0</v>
      </c>
      <c r="BJ104" s="243">
        <f t="shared" si="355"/>
        <v>0</v>
      </c>
      <c r="BK104" s="243"/>
      <c r="BL104" s="243">
        <f t="shared" ref="BL104:BN104" si="356">+IF(BL103&gt;0,0,1)</f>
        <v>0</v>
      </c>
      <c r="BM104" s="243">
        <f t="shared" si="356"/>
        <v>0</v>
      </c>
      <c r="BN104" s="243">
        <f t="shared" si="356"/>
        <v>0</v>
      </c>
      <c r="BO104" s="243"/>
      <c r="BP104" s="243">
        <f t="shared" ref="BP104:BR104" si="357">+IF(BP103&gt;0,0,1)</f>
        <v>0</v>
      </c>
      <c r="BQ104" s="243">
        <f t="shared" si="357"/>
        <v>0</v>
      </c>
      <c r="BR104" s="243">
        <f t="shared" si="357"/>
        <v>0</v>
      </c>
      <c r="BS104" s="243"/>
      <c r="BT104" s="243">
        <f t="shared" ref="BT104:BV104" si="358">+IF(BT103&gt;0,0,1)</f>
        <v>0</v>
      </c>
      <c r="BU104" s="243">
        <f t="shared" si="358"/>
        <v>0</v>
      </c>
      <c r="BV104" s="243">
        <f t="shared" si="358"/>
        <v>0</v>
      </c>
      <c r="BW104" s="243"/>
      <c r="BX104" s="243">
        <f t="shared" ref="BX104:BZ104" si="359">+IF(BX103&gt;0,0,1)</f>
        <v>0</v>
      </c>
      <c r="BY104" s="243">
        <f t="shared" si="359"/>
        <v>0</v>
      </c>
      <c r="BZ104" s="243">
        <f t="shared" si="359"/>
        <v>0</v>
      </c>
    </row>
    <row r="105" spans="1:78" s="457" customFormat="1">
      <c r="B105" s="459" t="s">
        <v>93</v>
      </c>
      <c r="C105" s="458"/>
      <c r="D105" s="457">
        <f>BS!D13+BS!D14</f>
        <v>142.63</v>
      </c>
      <c r="E105" s="457">
        <f>BS!E13+BS!E14</f>
        <v>158.44600000000003</v>
      </c>
      <c r="F105" s="457">
        <f>BS!F13+BS!F14</f>
        <v>158.44600000000003</v>
      </c>
      <c r="G105" s="458"/>
      <c r="H105" s="457">
        <f>BS!H13+BS!H14</f>
        <v>147.125</v>
      </c>
      <c r="I105" s="457">
        <f>BS!I13+BS!I14</f>
        <v>153.31800000000001</v>
      </c>
      <c r="J105" s="457">
        <f>BS!J13+BS!J14</f>
        <v>153.31800000000001</v>
      </c>
      <c r="K105" s="458"/>
      <c r="L105" s="457">
        <f>BS!L13+BS!L14</f>
        <v>159.101</v>
      </c>
      <c r="M105" s="457">
        <f>BS!M13+BS!M14</f>
        <v>158.65699999999998</v>
      </c>
      <c r="N105" s="457">
        <f>BS!N13+BS!N14</f>
        <v>158.65699999999998</v>
      </c>
      <c r="O105" s="458"/>
      <c r="P105" s="457">
        <f>BS!P13+BS!P14</f>
        <v>185.428</v>
      </c>
      <c r="Q105" s="457">
        <f>BS!Q13+BS!Q14</f>
        <v>219.99700000000001</v>
      </c>
      <c r="R105" s="457">
        <f>BS!R13+BS!R14</f>
        <v>219.99700000000001</v>
      </c>
      <c r="S105" s="458"/>
      <c r="T105" s="457">
        <f>BS!T13+BS!T14</f>
        <v>184.77700000000002</v>
      </c>
      <c r="U105" s="457">
        <f>BS!U13+BS!U14</f>
        <v>243.15099999999998</v>
      </c>
      <c r="V105" s="457">
        <f>BS!V13+BS!V14</f>
        <v>243.15099999999998</v>
      </c>
      <c r="W105" s="458"/>
      <c r="X105" s="457">
        <f>BS!X13+BS!X14</f>
        <v>226.15</v>
      </c>
      <c r="Y105" s="457">
        <f>BS!Y13+BS!Y14</f>
        <v>281.82</v>
      </c>
      <c r="Z105" s="457">
        <f>BS!Z13+BS!Z14</f>
        <v>281.82</v>
      </c>
      <c r="AA105" s="458"/>
      <c r="AB105" s="457">
        <f>BS!AB13+BS!AB14</f>
        <v>272.55200000000002</v>
      </c>
      <c r="AC105" s="457">
        <f>BS!AC13+BS!AC14</f>
        <v>592.46</v>
      </c>
      <c r="AD105" s="457">
        <f>BS!AD13+BS!AD14</f>
        <v>592.46</v>
      </c>
      <c r="AE105" s="458"/>
      <c r="AF105" s="457">
        <f>BS!AF13+BS!AF14</f>
        <v>1027.3779999999999</v>
      </c>
      <c r="AG105" s="457">
        <f>BS!AG13+BS!AG14</f>
        <v>1196.721</v>
      </c>
      <c r="AH105" s="457">
        <f>BS!AH13+BS!AH14</f>
        <v>1196.721</v>
      </c>
      <c r="AI105" s="458"/>
      <c r="AJ105" s="457">
        <f>BS!AJ13+BS!AJ14</f>
        <v>1093.127</v>
      </c>
      <c r="AK105" s="457">
        <f>BS!AK13+BS!AK14</f>
        <v>1286.316</v>
      </c>
      <c r="AL105" s="457">
        <f>BS!AL13+BS!AL14</f>
        <v>1286.316</v>
      </c>
      <c r="AM105" s="458"/>
      <c r="AN105" s="457">
        <f>BS!AN13+BS!AN14</f>
        <v>1240.143</v>
      </c>
      <c r="AO105" s="457">
        <f>BS!AO13+BS!AO14</f>
        <v>1342.6380000000001</v>
      </c>
      <c r="AP105" s="457">
        <f>BS!AP13+BS!AP14</f>
        <v>1342.6380000000001</v>
      </c>
      <c r="AQ105" s="458"/>
      <c r="AR105" s="457">
        <f>BS!AR13+BS!AR14</f>
        <v>1293.0505119537306</v>
      </c>
      <c r="AS105" s="457">
        <f>BS!AS13+BS!AS14</f>
        <v>1578.7139422879354</v>
      </c>
      <c r="AT105" s="457">
        <f>BS!AT13+BS!AT14</f>
        <v>1578.7139422879354</v>
      </c>
      <c r="AU105" s="458"/>
      <c r="AV105" s="457">
        <f>BS!AV13+BS!AV14</f>
        <v>1444.3420195680551</v>
      </c>
      <c r="AW105" s="457">
        <f>BS!AW13+BS!AW14</f>
        <v>1754.5615012921935</v>
      </c>
      <c r="AX105" s="457">
        <f>BS!AX13+BS!AX14</f>
        <v>1754.5615012921935</v>
      </c>
      <c r="AY105" s="458"/>
      <c r="AZ105" s="457">
        <f>BS!AZ13+BS!AZ14</f>
        <v>1576.2684901266889</v>
      </c>
      <c r="BA105" s="457">
        <f>BS!BA13+BS!BA14</f>
        <v>1889.0079116996221</v>
      </c>
      <c r="BB105" s="457">
        <f>BS!BB13+BS!BB14</f>
        <v>1889.0079116996224</v>
      </c>
      <c r="BC105" s="458"/>
      <c r="BD105" s="457">
        <f>BS!BD13+BS!BD14</f>
        <v>1699.4057695218996</v>
      </c>
      <c r="BE105" s="457">
        <f>BS!BE13+BS!BE14</f>
        <v>2044.7008016974469</v>
      </c>
      <c r="BF105" s="457">
        <f>BS!BF13+BS!BF14</f>
        <v>2044.7008016974469</v>
      </c>
      <c r="BG105" s="458"/>
      <c r="BH105" s="457">
        <f>BS!BH13+BS!BH14</f>
        <v>1836.1145715994649</v>
      </c>
      <c r="BI105" s="457">
        <f>BS!BI13+BS!BI14</f>
        <v>2199.0960355940178</v>
      </c>
      <c r="BJ105" s="457">
        <f>BS!BJ13+BS!BJ14</f>
        <v>2199.0960355940178</v>
      </c>
      <c r="BK105" s="458"/>
      <c r="BL105" s="457">
        <f>BS!BL13+BS!BL14</f>
        <v>1979.2353249437144</v>
      </c>
      <c r="BM105" s="457">
        <f>BS!BM13+BS!BM14</f>
        <v>2360.6137285220707</v>
      </c>
      <c r="BN105" s="457">
        <f>BS!BN13+BS!BN14</f>
        <v>2360.6137285220707</v>
      </c>
      <c r="BO105" s="458"/>
      <c r="BP105" s="457">
        <f>BS!BP13+BS!BP14</f>
        <v>2156.5609152250549</v>
      </c>
      <c r="BQ105" s="457">
        <f>BS!BQ13+BS!BQ14</f>
        <v>2541.4720330149066</v>
      </c>
      <c r="BR105" s="457">
        <f>BS!BR13+BS!BR14</f>
        <v>2541.4720330149066</v>
      </c>
      <c r="BS105" s="458"/>
      <c r="BT105" s="457">
        <f>BS!BT13+BS!BT14</f>
        <v>2305.6009430860131</v>
      </c>
      <c r="BU105" s="457">
        <f>BS!BU13+BS!BU14</f>
        <v>2728.2269376093795</v>
      </c>
      <c r="BV105" s="457">
        <f>BS!BV13+BS!BV14</f>
        <v>2728.2269376093795</v>
      </c>
      <c r="BW105" s="458"/>
      <c r="BX105" s="457">
        <f>BS!BX13+BS!BX14</f>
        <v>2470.2030819235415</v>
      </c>
      <c r="BY105" s="457">
        <f>BS!BY13+BS!BY14</f>
        <v>2913.6524955134232</v>
      </c>
      <c r="BZ105" s="457">
        <f>BS!BZ13+BS!BZ14</f>
        <v>2913.6524955134232</v>
      </c>
    </row>
    <row r="106" spans="1:78" s="140" customFormat="1">
      <c r="B106" s="244" t="s">
        <v>461</v>
      </c>
      <c r="C106" s="243"/>
      <c r="D106" s="243">
        <f>D105-D103</f>
        <v>0</v>
      </c>
      <c r="E106" s="243">
        <f>E105-E103</f>
        <v>0</v>
      </c>
      <c r="F106" s="243">
        <f>F105-F103</f>
        <v>0</v>
      </c>
      <c r="G106" s="243"/>
      <c r="H106" s="243">
        <f>H105-H103</f>
        <v>0</v>
      </c>
      <c r="I106" s="243">
        <f>I105-I103</f>
        <v>-0.34699999999997999</v>
      </c>
      <c r="J106" s="243">
        <f>J105-J103</f>
        <v>-0.55800000000002115</v>
      </c>
      <c r="K106" s="243"/>
      <c r="L106" s="243">
        <f>L105-L103</f>
        <v>0</v>
      </c>
      <c r="M106" s="243">
        <f>M105-M103</f>
        <v>-0.34700000000000841</v>
      </c>
      <c r="N106" s="243">
        <f>N105-N103</f>
        <v>-5.6860000000000355</v>
      </c>
      <c r="O106" s="243"/>
      <c r="P106" s="243">
        <f>P105-P103</f>
        <v>0</v>
      </c>
      <c r="Q106" s="243">
        <f>Q105-Q103</f>
        <v>0</v>
      </c>
      <c r="R106" s="243">
        <f>R105-R103</f>
        <v>0</v>
      </c>
      <c r="S106" s="243"/>
      <c r="T106" s="243">
        <f>T105-T103</f>
        <v>0</v>
      </c>
      <c r="U106" s="243">
        <f>U105-U103</f>
        <v>0</v>
      </c>
      <c r="V106" s="243">
        <f>V105-V103</f>
        <v>0</v>
      </c>
      <c r="W106" s="243"/>
      <c r="X106" s="243">
        <f>X105-X103</f>
        <v>0</v>
      </c>
      <c r="Y106" s="243">
        <f>Y105-Y103</f>
        <v>0</v>
      </c>
      <c r="Z106" s="243">
        <f>Z105-Z103</f>
        <v>0</v>
      </c>
      <c r="AA106" s="243"/>
      <c r="AB106" s="243">
        <f>AB105-AB103</f>
        <v>0</v>
      </c>
      <c r="AC106" s="243">
        <f>AC105-AC103</f>
        <v>0</v>
      </c>
      <c r="AD106" s="243">
        <f>AD105-AD103</f>
        <v>0</v>
      </c>
      <c r="AE106" s="243"/>
      <c r="AF106" s="243">
        <f>AF105-AF103</f>
        <v>0</v>
      </c>
      <c r="AG106" s="243">
        <f>AG105-AG103</f>
        <v>0</v>
      </c>
      <c r="AH106" s="243">
        <f>AH105-AH103</f>
        <v>0</v>
      </c>
      <c r="AI106" s="243"/>
      <c r="AJ106" s="243">
        <f>AJ105-AJ103</f>
        <v>0</v>
      </c>
      <c r="AK106" s="243">
        <f>AK105-AK103</f>
        <v>0</v>
      </c>
      <c r="AL106" s="243">
        <f>AL105-AL103</f>
        <v>0</v>
      </c>
      <c r="AM106" s="243"/>
      <c r="AN106" s="243">
        <f>AN105-AN103</f>
        <v>0</v>
      </c>
      <c r="AO106" s="243">
        <f>AO105-AO103</f>
        <v>0</v>
      </c>
      <c r="AP106" s="243">
        <f>AP105-AP103</f>
        <v>0</v>
      </c>
      <c r="AQ106" s="243"/>
      <c r="AR106" s="243">
        <f>AR105-AR103</f>
        <v>0</v>
      </c>
      <c r="AS106" s="243">
        <f>AS105-AS103</f>
        <v>0</v>
      </c>
      <c r="AT106" s="243">
        <f>AT105-AT103</f>
        <v>0</v>
      </c>
      <c r="AU106" s="243"/>
      <c r="AV106" s="243">
        <f>AV105-AV103</f>
        <v>0</v>
      </c>
      <c r="AW106" s="243">
        <f>AW105-AW103</f>
        <v>0</v>
      </c>
      <c r="AX106" s="243">
        <f>AX105-AX103</f>
        <v>0</v>
      </c>
      <c r="AY106" s="243"/>
      <c r="AZ106" s="243">
        <f>AZ105-AZ103</f>
        <v>0</v>
      </c>
      <c r="BA106" s="243">
        <f>BA105-BA103</f>
        <v>0</v>
      </c>
      <c r="BB106" s="243">
        <f>BB105-BB103</f>
        <v>0</v>
      </c>
      <c r="BC106" s="243"/>
      <c r="BD106" s="243">
        <f>BD105-BD103</f>
        <v>0</v>
      </c>
      <c r="BE106" s="243">
        <f>BE105-BE103</f>
        <v>0</v>
      </c>
      <c r="BF106" s="243">
        <f>BF105-BF103</f>
        <v>0</v>
      </c>
      <c r="BG106" s="243"/>
      <c r="BH106" s="243">
        <f>BH105-BH103</f>
        <v>0</v>
      </c>
      <c r="BI106" s="243">
        <f>BI105-BI103</f>
        <v>0</v>
      </c>
      <c r="BJ106" s="243">
        <f>BJ105-BJ103</f>
        <v>0</v>
      </c>
      <c r="BK106" s="243"/>
      <c r="BL106" s="243">
        <f>BL105-BL103</f>
        <v>0</v>
      </c>
      <c r="BM106" s="243">
        <f>BM105-BM103</f>
        <v>0</v>
      </c>
      <c r="BN106" s="243">
        <f>BN105-BN103</f>
        <v>0</v>
      </c>
      <c r="BO106" s="243"/>
      <c r="BP106" s="243">
        <f>BP105-BP103</f>
        <v>0</v>
      </c>
      <c r="BQ106" s="243">
        <f>BQ105-BQ103</f>
        <v>0</v>
      </c>
      <c r="BR106" s="243">
        <f>BR105-BR103</f>
        <v>0</v>
      </c>
      <c r="BS106" s="243"/>
      <c r="BT106" s="243">
        <f>BT105-BT103</f>
        <v>0</v>
      </c>
      <c r="BU106" s="243">
        <f>BU105-BU103</f>
        <v>0</v>
      </c>
      <c r="BV106" s="243">
        <f>BV105-BV103</f>
        <v>0</v>
      </c>
      <c r="BW106" s="243"/>
      <c r="BX106" s="243">
        <f>BX105-BX103</f>
        <v>0</v>
      </c>
      <c r="BY106" s="243">
        <f>BY105-BY103</f>
        <v>0</v>
      </c>
      <c r="BZ106" s="243">
        <f>BZ105-BZ103</f>
        <v>0</v>
      </c>
    </row>
    <row r="107" spans="1:78" s="180" customFormat="1">
      <c r="B107" s="204"/>
    </row>
    <row r="108" spans="1:78" s="726" customFormat="1" ht="15.6">
      <c r="B108" s="727" t="s">
        <v>643</v>
      </c>
      <c r="D108" s="728">
        <f>+BS!D13</f>
        <v>50.906999999999996</v>
      </c>
      <c r="E108" s="728">
        <f>+BS!E13</f>
        <v>70.933000000000007</v>
      </c>
      <c r="F108" s="728">
        <f>+BS!F13</f>
        <v>70.933000000000007</v>
      </c>
      <c r="H108" s="728">
        <f>+BS!H13</f>
        <v>61.027000000000001</v>
      </c>
      <c r="I108" s="728">
        <f>+BS!I13</f>
        <v>60.231000000000002</v>
      </c>
      <c r="J108" s="728">
        <f>+BS!J13</f>
        <v>60.231000000000002</v>
      </c>
      <c r="L108" s="728">
        <f>+BS!L13</f>
        <v>65.474000000000004</v>
      </c>
      <c r="M108" s="728">
        <f>+BS!M13</f>
        <v>58.688000000000002</v>
      </c>
      <c r="N108" s="728">
        <f>+BS!N13</f>
        <v>58.688000000000002</v>
      </c>
      <c r="P108" s="728">
        <f>+BS!P13</f>
        <v>71.34</v>
      </c>
      <c r="Q108" s="728">
        <f>+BS!Q13</f>
        <v>70.016000000000005</v>
      </c>
      <c r="R108" s="728">
        <f>+BS!R13</f>
        <v>70.016000000000005</v>
      </c>
      <c r="T108" s="728">
        <f>+BS!T13</f>
        <v>49.972000000000001</v>
      </c>
      <c r="U108" s="728">
        <f>+BS!U13</f>
        <v>84.373999999999995</v>
      </c>
      <c r="V108" s="728">
        <f>+BS!V13</f>
        <v>84.373999999999995</v>
      </c>
      <c r="X108" s="728">
        <f>+BS!X13</f>
        <v>66.302999999999997</v>
      </c>
      <c r="Y108" s="728">
        <f>+BS!Y13</f>
        <v>76.587999999999994</v>
      </c>
      <c r="Z108" s="728">
        <f>+BS!Z13</f>
        <v>76.587999999999994</v>
      </c>
      <c r="AB108" s="728">
        <f>+BS!AB13</f>
        <v>75.766999999999996</v>
      </c>
      <c r="AC108" s="728">
        <f>+BS!AC13</f>
        <v>259.32900000000001</v>
      </c>
      <c r="AD108" s="728">
        <f>+BS!AD13</f>
        <v>259.32900000000001</v>
      </c>
      <c r="AF108" s="728">
        <f>+BS!AF13</f>
        <v>192.94399999999999</v>
      </c>
      <c r="AG108" s="728">
        <f>+BS!AG13</f>
        <v>260.35199999999998</v>
      </c>
      <c r="AH108" s="728">
        <f>+BS!AH13</f>
        <v>260.35199999999998</v>
      </c>
      <c r="AJ108" s="728">
        <f>+BS!AJ13</f>
        <v>208.77600000000001</v>
      </c>
      <c r="AK108" s="728">
        <f>+BS!AK13</f>
        <v>377.36599999999999</v>
      </c>
      <c r="AL108" s="728">
        <f>+BS!AL13</f>
        <v>377.36599999999999</v>
      </c>
      <c r="AN108" s="728">
        <f>+BS!AN13</f>
        <v>210.892</v>
      </c>
      <c r="AO108" s="728">
        <f>+BS!AO13</f>
        <v>279.26600000000002</v>
      </c>
      <c r="AP108" s="728">
        <f>+BS!AP13</f>
        <v>279.26600000000002</v>
      </c>
      <c r="AR108" s="728">
        <f>+BS!AR13</f>
        <v>262.99965369959091</v>
      </c>
      <c r="AS108" s="728">
        <f>+BS!AS13</f>
        <v>449.58953350758975</v>
      </c>
      <c r="AT108" s="728">
        <f>+BS!AT13</f>
        <v>449.58953350758975</v>
      </c>
      <c r="AV108" s="728">
        <f>+BS!AV13</f>
        <v>368.07502975177863</v>
      </c>
      <c r="AW108" s="728">
        <f>+BS!AW13</f>
        <v>572.14484644381105</v>
      </c>
      <c r="AX108" s="728">
        <f>+BS!AX13</f>
        <v>572.14484644381105</v>
      </c>
      <c r="AZ108" s="728">
        <f>+BS!AZ13</f>
        <v>450.66038517882225</v>
      </c>
      <c r="BA108" s="728">
        <f>+BS!BA13</f>
        <v>656.60562467520867</v>
      </c>
      <c r="BB108" s="728">
        <f>+BS!BB13</f>
        <v>656.6056246752089</v>
      </c>
      <c r="BD108" s="728">
        <f>+BS!BD13</f>
        <v>534.54264116114837</v>
      </c>
      <c r="BE108" s="728">
        <f>+BS!BE13</f>
        <v>759.84157743402398</v>
      </c>
      <c r="BF108" s="728">
        <f>+BS!BF13</f>
        <v>759.84157743402398</v>
      </c>
      <c r="BH108" s="728">
        <f>+BS!BH13</f>
        <v>626.93929922521511</v>
      </c>
      <c r="BI108" s="728">
        <f>+BS!BI13</f>
        <v>862.8834270100383</v>
      </c>
      <c r="BJ108" s="728">
        <f>+BS!BJ13</f>
        <v>862.8834270100383</v>
      </c>
      <c r="BL108" s="728">
        <f>+BS!BL13</f>
        <v>723.668010716656</v>
      </c>
      <c r="BM108" s="728">
        <f>+BS!BM13</f>
        <v>970.61309488199686</v>
      </c>
      <c r="BN108" s="728">
        <f>+BS!BN13</f>
        <v>970.61309488199686</v>
      </c>
      <c r="BP108" s="728">
        <f>+BS!BP13</f>
        <v>848.84544993424879</v>
      </c>
      <c r="BQ108" s="728">
        <f>+BS!BQ13</f>
        <v>1099.133837573966</v>
      </c>
      <c r="BR108" s="728">
        <f>+BS!BR13</f>
        <v>1099.133837573966</v>
      </c>
      <c r="BT108" s="728">
        <f>+BS!BT13</f>
        <v>950.59170970274477</v>
      </c>
      <c r="BU108" s="728">
        <f>+BS!BU13</f>
        <v>1222.8560519348352</v>
      </c>
      <c r="BV108" s="728">
        <f>+BS!BV13</f>
        <v>1222.8560519348352</v>
      </c>
      <c r="BX108" s="728">
        <f>+BS!BX13</f>
        <v>1061.9214551297878</v>
      </c>
      <c r="BY108" s="728">
        <f>+BS!BY13</f>
        <v>1346.4385059647125</v>
      </c>
      <c r="BZ108" s="728">
        <f>+BS!BZ13</f>
        <v>1346.4385059647125</v>
      </c>
    </row>
    <row r="110" spans="1:78" ht="18">
      <c r="B110" s="414" t="s">
        <v>403</v>
      </c>
      <c r="C110" s="234"/>
      <c r="D110" s="234"/>
      <c r="E110" s="234"/>
      <c r="F110" s="234"/>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c r="AO110" s="234"/>
      <c r="AP110" s="234"/>
      <c r="AQ110" s="234"/>
      <c r="AR110" s="234"/>
      <c r="AS110" s="234"/>
      <c r="AT110" s="234"/>
      <c r="AU110" s="234"/>
      <c r="AV110" s="234"/>
      <c r="AW110" s="234"/>
      <c r="AX110" s="234"/>
      <c r="AY110" s="234"/>
      <c r="AZ110" s="234"/>
      <c r="BA110" s="234"/>
      <c r="BB110" s="234"/>
      <c r="BC110" s="234"/>
      <c r="BD110" s="234"/>
      <c r="BE110" s="234"/>
      <c r="BF110" s="234"/>
      <c r="BG110" s="234"/>
      <c r="BH110" s="234"/>
      <c r="BI110" s="234"/>
      <c r="BJ110" s="234"/>
      <c r="BK110" s="234"/>
      <c r="BL110" s="234"/>
      <c r="BM110" s="234"/>
      <c r="BN110" s="234"/>
      <c r="BO110" s="234"/>
      <c r="BP110" s="234"/>
      <c r="BQ110" s="234"/>
      <c r="BR110" s="234"/>
      <c r="BS110" s="234"/>
      <c r="BT110" s="234"/>
      <c r="BU110" s="234"/>
      <c r="BV110" s="234"/>
      <c r="BW110" s="234"/>
      <c r="BX110" s="234"/>
      <c r="BY110" s="234"/>
      <c r="BZ110" s="234"/>
    </row>
    <row r="111" spans="1:78">
      <c r="AG111" s="258"/>
      <c r="AH111" s="258"/>
      <c r="AI111" s="258"/>
      <c r="AJ111" s="258"/>
      <c r="AK111" s="258"/>
      <c r="AL111" s="258"/>
      <c r="AM111" s="258"/>
      <c r="AN111" s="258"/>
      <c r="AO111" s="258"/>
      <c r="AP111" s="258"/>
      <c r="AQ111" s="258"/>
      <c r="AR111" s="258"/>
      <c r="AS111" s="258"/>
      <c r="AT111" s="258"/>
      <c r="AU111" s="258"/>
      <c r="AV111" s="258"/>
      <c r="AW111" s="258"/>
      <c r="AX111" s="258"/>
      <c r="AY111" s="258"/>
      <c r="AZ111" s="258"/>
      <c r="BA111" s="258"/>
      <c r="BB111" s="258"/>
      <c r="BC111" s="258"/>
      <c r="BD111" s="258"/>
      <c r="BE111" s="258"/>
      <c r="BF111" s="258"/>
      <c r="BG111" s="258"/>
      <c r="BH111" s="258"/>
      <c r="BI111" s="258"/>
      <c r="BJ111" s="258"/>
      <c r="BK111" s="258"/>
      <c r="BL111" s="258"/>
      <c r="BM111" s="258"/>
      <c r="BN111" s="258"/>
      <c r="BO111" s="258"/>
      <c r="BP111" s="258"/>
      <c r="BQ111" s="258"/>
      <c r="BR111" s="258"/>
      <c r="BS111" s="258"/>
      <c r="BT111" s="258"/>
      <c r="BU111" s="258"/>
      <c r="BV111" s="258"/>
      <c r="BW111" s="258"/>
      <c r="BX111" s="258"/>
      <c r="BY111" s="258"/>
      <c r="BZ111" s="258"/>
    </row>
    <row r="112" spans="1:78" ht="15.6">
      <c r="B112" s="416" t="s">
        <v>404</v>
      </c>
      <c r="P112" s="417"/>
      <c r="Q112" s="417"/>
      <c r="R112" s="258"/>
      <c r="T112" s="417"/>
      <c r="U112" s="417"/>
      <c r="V112" s="258"/>
      <c r="X112" s="417"/>
      <c r="Y112" s="418"/>
      <c r="Z112" s="258"/>
      <c r="AB112" s="417"/>
      <c r="AC112" s="418"/>
      <c r="AD112" s="258"/>
      <c r="AF112" s="417"/>
      <c r="AG112" s="419"/>
      <c r="AH112" s="258"/>
      <c r="AK112" s="419"/>
      <c r="AL112" s="258"/>
      <c r="AO112" s="419"/>
      <c r="AP112" s="258"/>
    </row>
    <row r="113" spans="1:78">
      <c r="B113" s="148" t="s">
        <v>405</v>
      </c>
      <c r="C113" s="133" t="s">
        <v>406</v>
      </c>
      <c r="P113" s="136"/>
      <c r="Q113" s="136"/>
      <c r="R113" s="136"/>
      <c r="S113" s="136"/>
      <c r="T113" s="136"/>
      <c r="U113" s="136"/>
      <c r="V113" s="136"/>
      <c r="W113" s="136"/>
      <c r="X113" s="136"/>
      <c r="Y113" s="136"/>
      <c r="Z113" s="136"/>
      <c r="AA113" s="136"/>
      <c r="AB113" s="136"/>
      <c r="AC113" s="136"/>
      <c r="AD113" s="136"/>
      <c r="AE113" s="136"/>
      <c r="AF113" s="136"/>
      <c r="AG113" s="136"/>
      <c r="AH113" s="136"/>
      <c r="AI113" s="136"/>
      <c r="AJ113" s="136"/>
      <c r="AK113" s="136"/>
      <c r="AL113" s="136"/>
      <c r="AM113" s="136"/>
      <c r="AN113" s="136"/>
      <c r="AO113" s="136"/>
      <c r="AP113" s="136"/>
      <c r="AQ113" s="136"/>
      <c r="AR113" s="136">
        <f>AR$117*AR123</f>
        <v>-2.0833575</v>
      </c>
      <c r="AS113" s="136">
        <f>AS$117*AS123</f>
        <v>-2.0691850000000001</v>
      </c>
      <c r="AT113" s="136">
        <f t="shared" ref="AT113:AT116" si="360">+AR113+AS113</f>
        <v>-4.1525425</v>
      </c>
      <c r="AU113" s="136"/>
      <c r="AV113" s="136">
        <f>AV$117*AV123</f>
        <v>-2.1105687</v>
      </c>
      <c r="AW113" s="136">
        <f>AW$117*AW123</f>
        <v>-2.1105687</v>
      </c>
      <c r="AX113" s="136">
        <f t="shared" ref="AX113:AX116" si="361">+AV113+AW113</f>
        <v>-4.2211373999999999</v>
      </c>
      <c r="AY113" s="136"/>
      <c r="AZ113" s="136">
        <f>AZ$117*AZ123</f>
        <v>-4.3055601480000005</v>
      </c>
      <c r="BA113" s="136">
        <f>BA$117*BA123</f>
        <v>-4.3055601480000005</v>
      </c>
      <c r="BB113" s="136">
        <f t="shared" ref="BB113:BB116" si="362">+AZ113+BA113</f>
        <v>-8.6111202960000011</v>
      </c>
      <c r="BC113" s="136"/>
      <c r="BD113" s="136">
        <f>BD$117*BD123</f>
        <v>-4.3916713509600003</v>
      </c>
      <c r="BE113" s="136">
        <f>BE$117*BE123</f>
        <v>-4.3916713509600003</v>
      </c>
      <c r="BF113" s="136">
        <f t="shared" ref="BF113:BF116" si="363">+BD113+BE113</f>
        <v>-8.7833427019200006</v>
      </c>
      <c r="BG113" s="136"/>
      <c r="BH113" s="136">
        <f>BH$117*BH123</f>
        <v>-4.4795047779792005</v>
      </c>
      <c r="BI113" s="136">
        <f>BI$117*BI123</f>
        <v>-4.4795047779792005</v>
      </c>
      <c r="BJ113" s="136">
        <f t="shared" ref="BJ113:BJ116" si="364">+BH113+BI113</f>
        <v>-8.9590095559584011</v>
      </c>
      <c r="BK113" s="136"/>
      <c r="BL113" s="136">
        <f>BL$117*BL123</f>
        <v>-4.5690948735387842</v>
      </c>
      <c r="BM113" s="136">
        <f>BM$117*BM123</f>
        <v>-4.5690948735387842</v>
      </c>
      <c r="BN113" s="136">
        <f t="shared" ref="BN113:BN116" si="365">+BL113+BM113</f>
        <v>-9.1381897470775684</v>
      </c>
      <c r="BO113" s="136"/>
      <c r="BP113" s="136">
        <f>BP$117*BP123</f>
        <v>-4.6604767710095603</v>
      </c>
      <c r="BQ113" s="136">
        <f>BQ$117*BQ123</f>
        <v>-4.6604767710095603</v>
      </c>
      <c r="BR113" s="136">
        <f t="shared" ref="BR113:BR116" si="366">+BP113+BQ113</f>
        <v>-9.3209535420191205</v>
      </c>
      <c r="BS113" s="136"/>
      <c r="BT113" s="136">
        <f>BT$117*BT123</f>
        <v>-4.7536863064297519</v>
      </c>
      <c r="BU113" s="136">
        <f>BU$117*BU123</f>
        <v>-4.7536863064297519</v>
      </c>
      <c r="BV113" s="136">
        <f t="shared" ref="BV113:BV116" si="367">+BT113+BU113</f>
        <v>-9.5073726128595037</v>
      </c>
      <c r="BW113" s="136"/>
      <c r="BX113" s="136">
        <f>BX$117*BX123</f>
        <v>-4.8487600325583466</v>
      </c>
      <c r="BY113" s="136">
        <f>BY$117*BY123</f>
        <v>-4.8487600325583466</v>
      </c>
      <c r="BZ113" s="136">
        <f t="shared" ref="BZ113:BZ116" si="368">+BX113+BY113</f>
        <v>-9.6975200651166933</v>
      </c>
    </row>
    <row r="114" spans="1:78">
      <c r="B114" s="148" t="s">
        <v>407</v>
      </c>
      <c r="C114" s="133" t="s">
        <v>406</v>
      </c>
      <c r="P114" s="136"/>
      <c r="Q114" s="136"/>
      <c r="R114" s="136"/>
      <c r="T114" s="136"/>
      <c r="U114" s="136"/>
      <c r="V114" s="136"/>
      <c r="X114" s="136"/>
      <c r="Y114" s="136"/>
      <c r="Z114" s="136"/>
      <c r="AB114" s="136"/>
      <c r="AC114" s="136"/>
      <c r="AD114" s="136"/>
      <c r="AF114" s="136"/>
      <c r="AG114" s="313"/>
      <c r="AH114" s="136"/>
      <c r="AJ114" s="136"/>
      <c r="AK114" s="313"/>
      <c r="AL114" s="136"/>
      <c r="AN114" s="136"/>
      <c r="AO114" s="313"/>
      <c r="AP114" s="136"/>
      <c r="AR114" s="136">
        <f>AR$117*AR124</f>
        <v>-10.4167875</v>
      </c>
      <c r="AS114" s="136">
        <f>AS$117*AS124</f>
        <v>-10.345924999999999</v>
      </c>
      <c r="AT114" s="136">
        <f t="shared" si="360"/>
        <v>-20.762712499999999</v>
      </c>
      <c r="AV114" s="136">
        <f>AV$117*AV124</f>
        <v>-10.5528435</v>
      </c>
      <c r="AW114" s="136">
        <f>AW$117*AW124</f>
        <v>-10.5528435</v>
      </c>
      <c r="AX114" s="136">
        <f t="shared" si="361"/>
        <v>-21.105687</v>
      </c>
      <c r="AZ114" s="136">
        <f>AZ$117*AZ124</f>
        <v>-10.76390037</v>
      </c>
      <c r="BA114" s="136">
        <f>BA$117*BA124</f>
        <v>-10.76390037</v>
      </c>
      <c r="BB114" s="136">
        <f t="shared" si="362"/>
        <v>-21.52780074</v>
      </c>
      <c r="BD114" s="136">
        <f>BD$117*BD124</f>
        <v>-10.9791783774</v>
      </c>
      <c r="BE114" s="136">
        <f>BE$117*BE124</f>
        <v>-10.9791783774</v>
      </c>
      <c r="BF114" s="136">
        <f t="shared" si="363"/>
        <v>-21.9583567548</v>
      </c>
      <c r="BH114" s="136">
        <f>BH$117*BH124</f>
        <v>-11.198761944948</v>
      </c>
      <c r="BI114" s="136">
        <f>BI$117*BI124</f>
        <v>-11.198761944948</v>
      </c>
      <c r="BJ114" s="136">
        <f t="shared" si="364"/>
        <v>-22.397523889896</v>
      </c>
      <c r="BL114" s="136">
        <f>BL$117*BL124</f>
        <v>-11.42273718384696</v>
      </c>
      <c r="BM114" s="136">
        <f>BM$117*BM124</f>
        <v>-11.42273718384696</v>
      </c>
      <c r="BN114" s="136">
        <f t="shared" si="365"/>
        <v>-22.845474367693921</v>
      </c>
      <c r="BP114" s="136">
        <f>BP$117*BP124</f>
        <v>-11.6511919275239</v>
      </c>
      <c r="BQ114" s="136">
        <f>BQ$117*BQ124</f>
        <v>-11.6511919275239</v>
      </c>
      <c r="BR114" s="136">
        <f t="shared" si="366"/>
        <v>-23.3023838550478</v>
      </c>
      <c r="BT114" s="136">
        <f>BT$117*BT124</f>
        <v>-11.884215766074378</v>
      </c>
      <c r="BU114" s="136">
        <f>BU$117*BU124</f>
        <v>-11.884215766074378</v>
      </c>
      <c r="BV114" s="136">
        <f t="shared" si="367"/>
        <v>-23.768431532148757</v>
      </c>
      <c r="BX114" s="136">
        <f>BX$117*BX124</f>
        <v>-12.121900081395866</v>
      </c>
      <c r="BY114" s="136">
        <f>BY$117*BY124</f>
        <v>-12.121900081395866</v>
      </c>
      <c r="BZ114" s="136">
        <f t="shared" si="368"/>
        <v>-24.243800162791732</v>
      </c>
    </row>
    <row r="115" spans="1:78">
      <c r="B115" s="148" t="s">
        <v>408</v>
      </c>
      <c r="C115" s="133" t="s">
        <v>406</v>
      </c>
      <c r="P115" s="258"/>
      <c r="Q115" s="258"/>
      <c r="R115" s="258"/>
      <c r="T115" s="258"/>
      <c r="U115" s="258"/>
      <c r="V115" s="258"/>
      <c r="X115" s="258"/>
      <c r="Y115" s="258"/>
      <c r="Z115" s="258"/>
      <c r="AB115" s="258"/>
      <c r="AC115" s="258"/>
      <c r="AD115" s="258"/>
      <c r="AF115" s="313"/>
      <c r="AG115" s="313"/>
      <c r="AH115" s="136"/>
      <c r="AJ115" s="313"/>
      <c r="AK115" s="313"/>
      <c r="AL115" s="136"/>
      <c r="AN115" s="313"/>
      <c r="AO115" s="313"/>
      <c r="AP115" s="136"/>
      <c r="AR115" s="313">
        <v>0</v>
      </c>
      <c r="AS115" s="313">
        <v>0</v>
      </c>
      <c r="AT115" s="136">
        <f t="shared" si="360"/>
        <v>0</v>
      </c>
      <c r="AV115" s="313">
        <v>0</v>
      </c>
      <c r="AW115" s="313">
        <v>0</v>
      </c>
      <c r="AX115" s="136">
        <f t="shared" si="361"/>
        <v>0</v>
      </c>
      <c r="AZ115" s="313">
        <v>0</v>
      </c>
      <c r="BA115" s="313">
        <v>0</v>
      </c>
      <c r="BB115" s="136">
        <f t="shared" si="362"/>
        <v>0</v>
      </c>
      <c r="BD115" s="313">
        <v>0</v>
      </c>
      <c r="BE115" s="313">
        <v>0</v>
      </c>
      <c r="BF115" s="136">
        <f t="shared" si="363"/>
        <v>0</v>
      </c>
      <c r="BH115" s="313">
        <v>0</v>
      </c>
      <c r="BI115" s="313">
        <v>0</v>
      </c>
      <c r="BJ115" s="136">
        <f t="shared" si="364"/>
        <v>0</v>
      </c>
      <c r="BL115" s="313">
        <v>0</v>
      </c>
      <c r="BM115" s="313">
        <v>0</v>
      </c>
      <c r="BN115" s="136">
        <f t="shared" si="365"/>
        <v>0</v>
      </c>
      <c r="BP115" s="313">
        <v>0</v>
      </c>
      <c r="BQ115" s="313">
        <v>0</v>
      </c>
      <c r="BR115" s="136">
        <f t="shared" si="366"/>
        <v>0</v>
      </c>
      <c r="BT115" s="313">
        <v>0</v>
      </c>
      <c r="BU115" s="313">
        <v>0</v>
      </c>
      <c r="BV115" s="136">
        <f t="shared" si="367"/>
        <v>0</v>
      </c>
      <c r="BX115" s="313">
        <v>0</v>
      </c>
      <c r="BY115" s="313">
        <v>0</v>
      </c>
      <c r="BZ115" s="136">
        <f t="shared" si="368"/>
        <v>0</v>
      </c>
    </row>
    <row r="116" spans="1:78">
      <c r="B116" s="148" t="s">
        <v>483</v>
      </c>
      <c r="C116" s="133" t="s">
        <v>406</v>
      </c>
      <c r="P116" s="420"/>
      <c r="Q116" s="420"/>
      <c r="R116" s="420"/>
      <c r="S116" s="299"/>
      <c r="T116" s="420"/>
      <c r="U116" s="420"/>
      <c r="V116" s="420"/>
      <c r="W116" s="299"/>
      <c r="X116" s="420"/>
      <c r="Y116" s="420"/>
      <c r="Z116" s="420"/>
      <c r="AA116" s="299"/>
      <c r="AB116" s="420"/>
      <c r="AC116" s="420"/>
      <c r="AD116" s="420"/>
      <c r="AE116" s="299"/>
      <c r="AF116" s="232"/>
      <c r="AG116" s="232"/>
      <c r="AH116" s="232"/>
      <c r="AI116" s="299"/>
      <c r="AJ116" s="232"/>
      <c r="AK116" s="232"/>
      <c r="AL116" s="232"/>
      <c r="AM116" s="299"/>
      <c r="AN116" s="232"/>
      <c r="AO116" s="232"/>
      <c r="AP116" s="232"/>
      <c r="AQ116" s="299">
        <f>150+105+35</f>
        <v>290</v>
      </c>
      <c r="AR116" s="232">
        <f t="shared" ref="AR116:AS116" si="369">+AR117-AR115-AR113-AR114</f>
        <v>-8.3334299999999981</v>
      </c>
      <c r="AS116" s="232">
        <f t="shared" si="369"/>
        <v>-8.2767399999999984</v>
      </c>
      <c r="AT116" s="323">
        <f t="shared" si="360"/>
        <v>-16.610169999999997</v>
      </c>
      <c r="AU116" s="299"/>
      <c r="AV116" s="232">
        <f t="shared" ref="AV116:AW116" si="370">+AV117-AV115-AV113-AV114</f>
        <v>-8.4422748000000016</v>
      </c>
      <c r="AW116" s="232">
        <f t="shared" si="370"/>
        <v>-8.4422748000000016</v>
      </c>
      <c r="AX116" s="323">
        <f t="shared" si="361"/>
        <v>-16.884549600000003</v>
      </c>
      <c r="AY116" s="299"/>
      <c r="AZ116" s="232">
        <f t="shared" ref="AZ116:BA116" si="371">+AZ117-AZ115-AZ113-AZ114</f>
        <v>-6.4583402219999986</v>
      </c>
      <c r="BA116" s="232">
        <f t="shared" si="371"/>
        <v>-6.4583402219999986</v>
      </c>
      <c r="BB116" s="323">
        <f t="shared" si="362"/>
        <v>-12.916680443999997</v>
      </c>
      <c r="BC116" s="299"/>
      <c r="BD116" s="232">
        <f t="shared" ref="BD116:BE116" si="372">+BD117-BD115-BD113-BD114</f>
        <v>-6.5875070264400009</v>
      </c>
      <c r="BE116" s="232">
        <f t="shared" si="372"/>
        <v>-6.5875070264400009</v>
      </c>
      <c r="BF116" s="323">
        <f t="shared" si="363"/>
        <v>-13.175014052880002</v>
      </c>
      <c r="BG116" s="299"/>
      <c r="BH116" s="232">
        <f t="shared" ref="BH116:BI116" si="373">+BH117-BH115-BH113-BH114</f>
        <v>-6.7192571669687986</v>
      </c>
      <c r="BI116" s="232">
        <f t="shared" si="373"/>
        <v>-6.7192571669687986</v>
      </c>
      <c r="BJ116" s="323">
        <f t="shared" si="364"/>
        <v>-13.438514333937597</v>
      </c>
      <c r="BK116" s="299"/>
      <c r="BL116" s="232">
        <f t="shared" ref="BL116:BM116" si="374">+BL117-BL115-BL113-BL114</f>
        <v>-6.8536423103081763</v>
      </c>
      <c r="BM116" s="232">
        <f t="shared" si="374"/>
        <v>-6.8536423103081763</v>
      </c>
      <c r="BN116" s="323">
        <f t="shared" si="365"/>
        <v>-13.707284620616353</v>
      </c>
      <c r="BO116" s="299"/>
      <c r="BP116" s="232">
        <f t="shared" ref="BP116:BQ116" si="375">+BP117-BP115-BP113-BP114</f>
        <v>-6.9907151565143408</v>
      </c>
      <c r="BQ116" s="232">
        <f t="shared" si="375"/>
        <v>-6.9907151565143408</v>
      </c>
      <c r="BR116" s="323">
        <f t="shared" si="366"/>
        <v>-13.981430313028682</v>
      </c>
      <c r="BS116" s="299"/>
      <c r="BT116" s="232">
        <f t="shared" ref="BT116:BU116" si="376">+BT117-BT115-BT113-BT114</f>
        <v>-7.1305294596446256</v>
      </c>
      <c r="BU116" s="232">
        <f t="shared" si="376"/>
        <v>-7.1305294596446256</v>
      </c>
      <c r="BV116" s="323">
        <f t="shared" si="367"/>
        <v>-14.261058919289251</v>
      </c>
      <c r="BW116" s="299"/>
      <c r="BX116" s="232">
        <f t="shared" ref="BX116:BY116" si="377">+BX117-BX115-BX113-BX114</f>
        <v>-7.2731400488375204</v>
      </c>
      <c r="BY116" s="232">
        <f t="shared" si="377"/>
        <v>-7.2731400488375204</v>
      </c>
      <c r="BZ116" s="323">
        <f t="shared" si="368"/>
        <v>-14.546280097675041</v>
      </c>
    </row>
    <row r="117" spans="1:78">
      <c r="B117" s="888" t="s">
        <v>409</v>
      </c>
      <c r="C117" s="889" t="s">
        <v>406</v>
      </c>
      <c r="D117" s="889"/>
      <c r="E117" s="889"/>
      <c r="F117" s="889"/>
      <c r="G117" s="889"/>
      <c r="H117" s="889"/>
      <c r="I117" s="889"/>
      <c r="J117" s="889"/>
      <c r="K117" s="889"/>
      <c r="L117" s="889"/>
      <c r="M117" s="889"/>
      <c r="N117" s="889"/>
      <c r="O117" s="889"/>
      <c r="P117" s="890"/>
      <c r="Q117" s="890"/>
      <c r="R117" s="890"/>
      <c r="S117" s="889"/>
      <c r="T117" s="890"/>
      <c r="U117" s="890"/>
      <c r="V117" s="891">
        <v>17</v>
      </c>
      <c r="W117" s="889"/>
      <c r="X117" s="890"/>
      <c r="Y117" s="890"/>
      <c r="Z117" s="891">
        <v>87</v>
      </c>
      <c r="AA117" s="889"/>
      <c r="AB117" s="890"/>
      <c r="AC117" s="890"/>
      <c r="AD117" s="891">
        <v>78</v>
      </c>
      <c r="AE117" s="889"/>
      <c r="AF117" s="892">
        <v>90</v>
      </c>
      <c r="AG117" s="893">
        <v>60</v>
      </c>
      <c r="AH117" s="890">
        <f>+AG117+AF117</f>
        <v>150</v>
      </c>
      <c r="AI117" s="889"/>
      <c r="AJ117" s="892">
        <v>30.498000000000001</v>
      </c>
      <c r="AK117" s="892">
        <f>43.931-AJ117</f>
        <v>13.432999999999996</v>
      </c>
      <c r="AL117" s="890">
        <f>+AK117+AJ117</f>
        <v>43.930999999999997</v>
      </c>
      <c r="AM117" s="889"/>
      <c r="AN117" s="892">
        <v>179.41300000000001</v>
      </c>
      <c r="AO117" s="932">
        <f>151.068-AN117</f>
        <v>-28.344999999999999</v>
      </c>
      <c r="AP117" s="890">
        <f>+AO117+AN117</f>
        <v>151.06800000000001</v>
      </c>
      <c r="AQ117" s="889"/>
      <c r="AR117" s="890">
        <f t="shared" ref="AR117" si="378">+AO117*(1+AR118)</f>
        <v>-20.833575</v>
      </c>
      <c r="AS117" s="890">
        <f t="shared" ref="AS117" si="379">+AO117*(1+AS118)</f>
        <v>-20.691849999999999</v>
      </c>
      <c r="AT117" s="890">
        <f t="shared" ref="AT117" si="380">SUM(AT113:AT116)</f>
        <v>-41.525424999999998</v>
      </c>
      <c r="AU117" s="889"/>
      <c r="AV117" s="890">
        <f t="shared" ref="AV117" si="381">+AS117*(1+AV118)</f>
        <v>-21.105687</v>
      </c>
      <c r="AW117" s="890">
        <f t="shared" ref="AW117" si="382">+AS117*(1+AW118)</f>
        <v>-21.105687</v>
      </c>
      <c r="AX117" s="890">
        <f t="shared" ref="AX117" si="383">SUM(AX113:AX116)</f>
        <v>-42.211374000000006</v>
      </c>
      <c r="AY117" s="889"/>
      <c r="AZ117" s="890">
        <f t="shared" ref="AZ117" si="384">+AW117*(1+AZ118)</f>
        <v>-21.52780074</v>
      </c>
      <c r="BA117" s="890">
        <f t="shared" ref="BA117" si="385">+AW117*(1+BA118)</f>
        <v>-21.52780074</v>
      </c>
      <c r="BB117" s="890">
        <f t="shared" ref="BB117" si="386">SUM(BB113:BB116)</f>
        <v>-43.055601479999993</v>
      </c>
      <c r="BC117" s="889"/>
      <c r="BD117" s="890">
        <f t="shared" ref="BD117" si="387">+BA117*(1+BD118)</f>
        <v>-21.9583567548</v>
      </c>
      <c r="BE117" s="890">
        <f t="shared" ref="BE117" si="388">+BA117*(1+BE118)</f>
        <v>-21.9583567548</v>
      </c>
      <c r="BF117" s="890">
        <f t="shared" ref="BF117" si="389">SUM(BF113:BF116)</f>
        <v>-43.916713509600001</v>
      </c>
      <c r="BG117" s="889"/>
      <c r="BH117" s="890">
        <f t="shared" ref="BH117" si="390">+BE117*(1+BH118)</f>
        <v>-22.397523889896</v>
      </c>
      <c r="BI117" s="890">
        <f t="shared" ref="BI117" si="391">+BE117*(1+BI118)</f>
        <v>-22.397523889896</v>
      </c>
      <c r="BJ117" s="890">
        <f t="shared" ref="BJ117" si="392">SUM(BJ113:BJ116)</f>
        <v>-44.795047779792</v>
      </c>
      <c r="BK117" s="889"/>
      <c r="BL117" s="890">
        <f t="shared" ref="BL117" si="393">+BI117*(1+BL118)</f>
        <v>-22.845474367693921</v>
      </c>
      <c r="BM117" s="890">
        <f t="shared" ref="BM117" si="394">+BI117*(1+BM118)</f>
        <v>-22.845474367693921</v>
      </c>
      <c r="BN117" s="890">
        <f t="shared" ref="BN117" si="395">SUM(BN113:BN116)</f>
        <v>-45.690948735387842</v>
      </c>
      <c r="BO117" s="889"/>
      <c r="BP117" s="890">
        <f t="shared" ref="BP117" si="396">+BM117*(1+BP118)</f>
        <v>-23.3023838550478</v>
      </c>
      <c r="BQ117" s="890">
        <f t="shared" ref="BQ117" si="397">+BM117*(1+BQ118)</f>
        <v>-23.3023838550478</v>
      </c>
      <c r="BR117" s="890">
        <f t="shared" ref="BR117" si="398">SUM(BR113:BR116)</f>
        <v>-46.604767710095601</v>
      </c>
      <c r="BS117" s="889"/>
      <c r="BT117" s="890">
        <f t="shared" ref="BT117" si="399">+BQ117*(1+BT118)</f>
        <v>-23.768431532148757</v>
      </c>
      <c r="BU117" s="890">
        <f t="shared" ref="BU117" si="400">+BQ117*(1+BU118)</f>
        <v>-23.768431532148757</v>
      </c>
      <c r="BV117" s="890">
        <f t="shared" ref="BV117" si="401">SUM(BV113:BV116)</f>
        <v>-47.536863064297506</v>
      </c>
      <c r="BW117" s="889"/>
      <c r="BX117" s="890">
        <f t="shared" ref="BX117" si="402">+BU117*(1+BX118)</f>
        <v>-24.243800162791732</v>
      </c>
      <c r="BY117" s="890">
        <f t="shared" ref="BY117" si="403">+BU117*(1+BY118)</f>
        <v>-24.243800162791732</v>
      </c>
      <c r="BZ117" s="890">
        <f t="shared" ref="BZ117" si="404">SUM(BZ113:BZ116)</f>
        <v>-48.487600325583472</v>
      </c>
    </row>
    <row r="118" spans="1:78" s="220" customFormat="1">
      <c r="A118" s="660"/>
      <c r="B118" s="741" t="s">
        <v>410</v>
      </c>
      <c r="C118" s="742" t="s">
        <v>39</v>
      </c>
      <c r="P118" s="437"/>
      <c r="Q118" s="437"/>
      <c r="R118" s="437"/>
      <c r="S118" s="742"/>
      <c r="T118" s="437"/>
      <c r="U118" s="437"/>
      <c r="V118" s="437"/>
      <c r="W118" s="742"/>
      <c r="X118" s="437"/>
      <c r="Y118" s="437"/>
      <c r="Z118" s="437"/>
      <c r="AA118" s="742"/>
      <c r="AB118" s="437"/>
      <c r="AC118" s="437"/>
      <c r="AD118" s="437"/>
      <c r="AE118" s="742"/>
      <c r="AF118" s="437"/>
      <c r="AG118" s="437"/>
      <c r="AH118" s="437"/>
      <c r="AI118" s="742"/>
      <c r="AJ118" s="743"/>
      <c r="AK118" s="437"/>
      <c r="AL118" s="437"/>
      <c r="AM118" s="742"/>
      <c r="AN118" s="743"/>
      <c r="AO118" s="437"/>
      <c r="AP118" s="437"/>
      <c r="AQ118" s="742"/>
      <c r="AR118" s="743">
        <v>-0.26500000000000001</v>
      </c>
      <c r="AS118" s="743">
        <v>-0.27</v>
      </c>
      <c r="AT118" s="437">
        <f t="shared" ref="AT118" si="405">+AT117/AP117-1</f>
        <v>-1.2748790279873963</v>
      </c>
      <c r="AU118" s="742"/>
      <c r="AV118" s="743">
        <v>0.02</v>
      </c>
      <c r="AW118" s="743">
        <v>0.02</v>
      </c>
      <c r="AX118" s="437">
        <f t="shared" ref="AX118" si="406">+AX117/AT117-1</f>
        <v>1.6518771331058169E-2</v>
      </c>
      <c r="AY118" s="742"/>
      <c r="AZ118" s="743">
        <v>0.02</v>
      </c>
      <c r="BA118" s="743">
        <v>0.02</v>
      </c>
      <c r="BB118" s="437">
        <f t="shared" ref="BB118" si="407">+BB117/AX117-1</f>
        <v>1.9999999999999574E-2</v>
      </c>
      <c r="BC118" s="742"/>
      <c r="BD118" s="743">
        <v>0.02</v>
      </c>
      <c r="BE118" s="743">
        <v>0.02</v>
      </c>
      <c r="BF118" s="437">
        <v>0.02</v>
      </c>
      <c r="BG118" s="742"/>
      <c r="BH118" s="743">
        <v>0.02</v>
      </c>
      <c r="BI118" s="743">
        <v>0.02</v>
      </c>
      <c r="BJ118" s="437">
        <v>0.02</v>
      </c>
      <c r="BK118" s="742"/>
      <c r="BL118" s="743">
        <v>0.02</v>
      </c>
      <c r="BM118" s="743">
        <v>0.02</v>
      </c>
      <c r="BN118" s="437">
        <v>0.02</v>
      </c>
      <c r="BO118" s="742"/>
      <c r="BP118" s="743">
        <v>0.02</v>
      </c>
      <c r="BQ118" s="743">
        <v>0.02</v>
      </c>
      <c r="BR118" s="437">
        <v>0.02</v>
      </c>
      <c r="BS118" s="742"/>
      <c r="BT118" s="743">
        <v>0.02</v>
      </c>
      <c r="BU118" s="743">
        <v>0.02</v>
      </c>
      <c r="BV118" s="437">
        <v>0.02</v>
      </c>
      <c r="BW118" s="742"/>
      <c r="BX118" s="743">
        <v>0.02</v>
      </c>
      <c r="BY118" s="743">
        <v>0.02</v>
      </c>
      <c r="BZ118" s="437">
        <v>0.02</v>
      </c>
    </row>
    <row r="119" spans="1:78">
      <c r="P119" s="232"/>
      <c r="Q119" s="232"/>
      <c r="R119" s="232"/>
      <c r="T119" s="232"/>
      <c r="U119" s="232"/>
      <c r="V119" s="232"/>
      <c r="X119" s="232"/>
      <c r="Y119" s="232"/>
      <c r="Z119" s="232"/>
      <c r="AB119" s="232"/>
      <c r="AC119" s="232"/>
      <c r="AD119" s="232"/>
    </row>
    <row r="120" spans="1:78">
      <c r="B120" s="424" t="s">
        <v>429</v>
      </c>
      <c r="C120" s="425" t="s">
        <v>406</v>
      </c>
      <c r="D120" s="319"/>
      <c r="E120" s="319"/>
      <c r="F120" s="319"/>
      <c r="G120" s="319"/>
      <c r="H120" s="319"/>
      <c r="I120" s="319"/>
      <c r="J120" s="319"/>
      <c r="K120" s="319"/>
      <c r="L120" s="319"/>
      <c r="M120" s="319"/>
      <c r="N120" s="319"/>
      <c r="O120" s="319"/>
      <c r="P120" s="426"/>
      <c r="Q120" s="426"/>
      <c r="R120" s="427"/>
      <c r="S120" s="425"/>
      <c r="T120" s="426"/>
      <c r="U120" s="426"/>
      <c r="V120" s="427"/>
      <c r="W120" s="425"/>
      <c r="X120" s="426"/>
      <c r="Y120" s="426"/>
      <c r="Z120" s="426"/>
      <c r="AA120" s="428"/>
      <c r="AB120" s="426"/>
      <c r="AC120" s="426"/>
      <c r="AD120" s="426"/>
      <c r="AE120" s="425"/>
      <c r="AF120" s="427"/>
      <c r="AG120" s="427"/>
      <c r="AH120" s="427"/>
      <c r="AI120" s="425"/>
      <c r="AJ120" s="425"/>
      <c r="AK120" s="427"/>
      <c r="AL120" s="427"/>
      <c r="AM120" s="425"/>
      <c r="AN120" s="425"/>
      <c r="AO120" s="425"/>
      <c r="AP120" s="425"/>
      <c r="AQ120" s="425"/>
      <c r="AR120" s="425"/>
      <c r="AS120" s="425"/>
      <c r="AT120" s="425"/>
      <c r="AU120" s="425"/>
      <c r="AV120" s="425"/>
      <c r="AW120" s="425"/>
      <c r="AX120" s="425"/>
      <c r="AY120" s="425"/>
      <c r="AZ120" s="425"/>
      <c r="BA120" s="425"/>
      <c r="BB120" s="425"/>
      <c r="BC120" s="425"/>
      <c r="BD120" s="425"/>
      <c r="BE120" s="425"/>
      <c r="BF120" s="425"/>
      <c r="BG120" s="425"/>
      <c r="BH120" s="425"/>
      <c r="BI120" s="425"/>
      <c r="BJ120" s="425"/>
      <c r="BK120" s="425"/>
      <c r="BL120" s="425"/>
      <c r="BM120" s="425"/>
      <c r="BN120" s="425"/>
      <c r="BO120" s="425"/>
      <c r="BP120" s="425"/>
      <c r="BQ120" s="425"/>
      <c r="BR120" s="425"/>
      <c r="BS120" s="425"/>
      <c r="BT120" s="425"/>
      <c r="BU120" s="425"/>
      <c r="BV120" s="425"/>
      <c r="BW120" s="425"/>
      <c r="BX120" s="425"/>
      <c r="BY120" s="425"/>
      <c r="BZ120" s="425"/>
    </row>
    <row r="121" spans="1:78">
      <c r="B121" s="134"/>
      <c r="P121" s="429"/>
      <c r="Q121" s="429"/>
      <c r="R121" s="429"/>
      <c r="T121" s="429"/>
      <c r="U121" s="429"/>
      <c r="V121" s="429"/>
      <c r="X121" s="430"/>
      <c r="Y121" s="429"/>
      <c r="Z121" s="429"/>
      <c r="AB121" s="429"/>
      <c r="AC121" s="429"/>
      <c r="AD121" s="429"/>
      <c r="AF121" s="417"/>
      <c r="AH121" s="429"/>
      <c r="AL121" s="429"/>
    </row>
    <row r="122" spans="1:78">
      <c r="B122" s="142" t="s">
        <v>426</v>
      </c>
      <c r="AB122" s="422"/>
    </row>
    <row r="123" spans="1:78">
      <c r="B123" s="132" t="s">
        <v>427</v>
      </c>
      <c r="C123" s="390" t="s">
        <v>39</v>
      </c>
      <c r="P123" s="432"/>
      <c r="Q123" s="432"/>
      <c r="R123" s="432"/>
      <c r="S123" s="432"/>
      <c r="T123" s="432"/>
      <c r="U123" s="432"/>
      <c r="V123" s="432"/>
      <c r="W123" s="432"/>
      <c r="X123" s="432"/>
      <c r="Y123" s="432"/>
      <c r="Z123" s="432"/>
      <c r="AA123" s="432"/>
      <c r="AB123" s="432"/>
      <c r="AC123" s="432"/>
      <c r="AD123" s="432"/>
      <c r="AE123" s="432"/>
      <c r="AF123" s="433"/>
      <c r="AG123" s="433"/>
      <c r="AH123" s="422"/>
      <c r="AJ123" s="433"/>
      <c r="AK123" s="433"/>
      <c r="AL123" s="422"/>
      <c r="AN123" s="433"/>
      <c r="AO123" s="433"/>
      <c r="AP123" s="422"/>
      <c r="AR123" s="433">
        <v>0.1</v>
      </c>
      <c r="AS123" s="433">
        <v>0.1</v>
      </c>
      <c r="AT123" s="422">
        <f t="shared" ref="AT123" si="408">IFERROR(AT113/AT117,"na)")</f>
        <v>0.1</v>
      </c>
      <c r="AV123" s="433">
        <v>0.1</v>
      </c>
      <c r="AW123" s="433">
        <v>0.1</v>
      </c>
      <c r="AX123" s="422">
        <f t="shared" ref="AX123:BR123" si="409">IFERROR(AX113/AX117,"na)")</f>
        <v>9.9999999999999978E-2</v>
      </c>
      <c r="AZ123" s="433">
        <v>0.2</v>
      </c>
      <c r="BA123" s="433">
        <v>0.2</v>
      </c>
      <c r="BB123" s="422">
        <f t="shared" si="409"/>
        <v>0.20000000000000007</v>
      </c>
      <c r="BD123" s="433">
        <v>0.2</v>
      </c>
      <c r="BE123" s="433">
        <v>0.2</v>
      </c>
      <c r="BF123" s="422">
        <f t="shared" si="409"/>
        <v>0.2</v>
      </c>
      <c r="BH123" s="433">
        <v>0.2</v>
      </c>
      <c r="BI123" s="433">
        <v>0.2</v>
      </c>
      <c r="BJ123" s="422">
        <f t="shared" si="409"/>
        <v>0.2</v>
      </c>
      <c r="BL123" s="433">
        <v>0.2</v>
      </c>
      <c r="BM123" s="433">
        <v>0.2</v>
      </c>
      <c r="BN123" s="422">
        <f t="shared" si="409"/>
        <v>0.2</v>
      </c>
      <c r="BP123" s="433">
        <v>0.2</v>
      </c>
      <c r="BQ123" s="433">
        <v>0.2</v>
      </c>
      <c r="BR123" s="422">
        <f t="shared" si="409"/>
        <v>0.2</v>
      </c>
      <c r="BT123" s="433">
        <v>0.2</v>
      </c>
      <c r="BU123" s="433">
        <v>0.2</v>
      </c>
      <c r="BV123" s="422">
        <f t="shared" ref="BV123" si="410">IFERROR(BV113/BV117,"na)")</f>
        <v>0.20000000000000004</v>
      </c>
      <c r="BX123" s="433">
        <v>0.2</v>
      </c>
      <c r="BY123" s="433">
        <v>0.2</v>
      </c>
      <c r="BZ123" s="422">
        <f t="shared" ref="BZ123" si="411">IFERROR(BZ113/BZ117,"na)")</f>
        <v>0.19999999999999998</v>
      </c>
    </row>
    <row r="124" spans="1:78">
      <c r="B124" s="132" t="s">
        <v>15</v>
      </c>
      <c r="C124" s="390" t="s">
        <v>39</v>
      </c>
      <c r="P124" s="432"/>
      <c r="Q124" s="432"/>
      <c r="R124" s="432"/>
      <c r="S124" s="432"/>
      <c r="T124" s="432"/>
      <c r="U124" s="432"/>
      <c r="V124" s="432"/>
      <c r="W124" s="432"/>
      <c r="X124" s="432"/>
      <c r="Y124" s="432"/>
      <c r="Z124" s="432"/>
      <c r="AA124" s="432"/>
      <c r="AB124" s="432"/>
      <c r="AC124" s="432"/>
      <c r="AD124" s="432"/>
      <c r="AE124" s="432"/>
      <c r="AF124" s="433"/>
      <c r="AG124" s="433"/>
      <c r="AH124" s="422"/>
      <c r="AJ124" s="433"/>
      <c r="AK124" s="433"/>
      <c r="AL124" s="422"/>
      <c r="AN124" s="433"/>
      <c r="AO124" s="433"/>
      <c r="AP124" s="422"/>
      <c r="AR124" s="433">
        <v>0.5</v>
      </c>
      <c r="AS124" s="433">
        <v>0.5</v>
      </c>
      <c r="AT124" s="422">
        <f t="shared" ref="AT124" si="412">IFERROR(AT114/AT117,"na")</f>
        <v>0.5</v>
      </c>
      <c r="AV124" s="433">
        <v>0.5</v>
      </c>
      <c r="AW124" s="433">
        <v>0.5</v>
      </c>
      <c r="AX124" s="422">
        <f t="shared" ref="AX124:BR124" si="413">IFERROR(AX114/AX117,"na")</f>
        <v>0.49999999999999989</v>
      </c>
      <c r="AZ124" s="433">
        <v>0.5</v>
      </c>
      <c r="BA124" s="433">
        <v>0.5</v>
      </c>
      <c r="BB124" s="422">
        <f t="shared" si="413"/>
        <v>0.50000000000000011</v>
      </c>
      <c r="BD124" s="433">
        <v>0.5</v>
      </c>
      <c r="BE124" s="433">
        <v>0.5</v>
      </c>
      <c r="BF124" s="422">
        <f t="shared" si="413"/>
        <v>0.5</v>
      </c>
      <c r="BH124" s="433">
        <v>0.5</v>
      </c>
      <c r="BI124" s="433">
        <v>0.5</v>
      </c>
      <c r="BJ124" s="422">
        <f t="shared" si="413"/>
        <v>0.5</v>
      </c>
      <c r="BL124" s="433">
        <v>0.5</v>
      </c>
      <c r="BM124" s="433">
        <v>0.5</v>
      </c>
      <c r="BN124" s="422">
        <f t="shared" si="413"/>
        <v>0.5</v>
      </c>
      <c r="BP124" s="433">
        <v>0.5</v>
      </c>
      <c r="BQ124" s="433">
        <v>0.5</v>
      </c>
      <c r="BR124" s="422">
        <f t="shared" si="413"/>
        <v>0.5</v>
      </c>
      <c r="BT124" s="433">
        <v>0.5</v>
      </c>
      <c r="BU124" s="433">
        <v>0.5</v>
      </c>
      <c r="BV124" s="422">
        <f t="shared" ref="BV124" si="414">IFERROR(BV114/BV117,"na")</f>
        <v>0.50000000000000011</v>
      </c>
      <c r="BX124" s="433">
        <v>0.5</v>
      </c>
      <c r="BY124" s="433">
        <v>0.5</v>
      </c>
      <c r="BZ124" s="422">
        <f t="shared" ref="BZ124" si="415">IFERROR(BZ114/BZ117,"na")</f>
        <v>0.49999999999999994</v>
      </c>
    </row>
    <row r="125" spans="1:78">
      <c r="B125" s="132" t="s">
        <v>480</v>
      </c>
      <c r="C125" s="390" t="s">
        <v>39</v>
      </c>
      <c r="P125" s="429"/>
      <c r="Q125" s="429"/>
      <c r="R125" s="429"/>
      <c r="T125" s="429"/>
      <c r="U125" s="429"/>
      <c r="V125" s="429"/>
      <c r="X125" s="430"/>
      <c r="Y125" s="429"/>
      <c r="Z125" s="429"/>
      <c r="AB125" s="429"/>
      <c r="AC125" s="429"/>
      <c r="AD125" s="429"/>
      <c r="AF125" s="417"/>
      <c r="AG125" s="508"/>
      <c r="AH125" s="508"/>
      <c r="AJ125" s="508"/>
      <c r="AK125" s="508"/>
      <c r="AL125" s="508"/>
      <c r="AN125" s="508"/>
      <c r="AO125" s="508"/>
      <c r="AP125" s="508"/>
      <c r="AR125" s="508">
        <f t="shared" ref="AR125:AT125" si="416">1-AR124-AR123</f>
        <v>0.4</v>
      </c>
      <c r="AS125" s="508">
        <f t="shared" si="416"/>
        <v>0.4</v>
      </c>
      <c r="AT125" s="508">
        <f t="shared" si="416"/>
        <v>0.4</v>
      </c>
      <c r="AV125" s="508">
        <f t="shared" ref="AV125:AX125" si="417">1-AV124-AV123</f>
        <v>0.4</v>
      </c>
      <c r="AW125" s="508">
        <f t="shared" si="417"/>
        <v>0.4</v>
      </c>
      <c r="AX125" s="508">
        <f t="shared" si="417"/>
        <v>0.40000000000000013</v>
      </c>
      <c r="AZ125" s="508">
        <f t="shared" ref="AZ125:BB125" si="418">1-AZ124-AZ123</f>
        <v>0.3</v>
      </c>
      <c r="BA125" s="508">
        <f t="shared" si="418"/>
        <v>0.3</v>
      </c>
      <c r="BB125" s="508">
        <f t="shared" si="418"/>
        <v>0.29999999999999982</v>
      </c>
      <c r="BD125" s="508">
        <f t="shared" ref="BD125:BF125" si="419">1-BD124-BD123</f>
        <v>0.3</v>
      </c>
      <c r="BE125" s="508">
        <f t="shared" si="419"/>
        <v>0.3</v>
      </c>
      <c r="BF125" s="508">
        <f t="shared" si="419"/>
        <v>0.3</v>
      </c>
      <c r="BH125" s="508">
        <f t="shared" ref="BH125:BJ125" si="420">1-BH124-BH123</f>
        <v>0.3</v>
      </c>
      <c r="BI125" s="508">
        <f t="shared" si="420"/>
        <v>0.3</v>
      </c>
      <c r="BJ125" s="508">
        <f t="shared" si="420"/>
        <v>0.3</v>
      </c>
      <c r="BL125" s="508">
        <f t="shared" ref="BL125:BN125" si="421">1-BL124-BL123</f>
        <v>0.3</v>
      </c>
      <c r="BM125" s="508">
        <f t="shared" si="421"/>
        <v>0.3</v>
      </c>
      <c r="BN125" s="508">
        <f t="shared" si="421"/>
        <v>0.3</v>
      </c>
      <c r="BP125" s="508">
        <f t="shared" ref="BP125:BR125" si="422">1-BP124-BP123</f>
        <v>0.3</v>
      </c>
      <c r="BQ125" s="508">
        <f t="shared" si="422"/>
        <v>0.3</v>
      </c>
      <c r="BR125" s="508">
        <f t="shared" si="422"/>
        <v>0.3</v>
      </c>
      <c r="BT125" s="508">
        <f t="shared" ref="BT125:BV125" si="423">1-BT124-BT123</f>
        <v>0.3</v>
      </c>
      <c r="BU125" s="508">
        <f t="shared" si="423"/>
        <v>0.3</v>
      </c>
      <c r="BV125" s="508">
        <f t="shared" si="423"/>
        <v>0.29999999999999982</v>
      </c>
      <c r="BX125" s="508">
        <f t="shared" ref="BX125:BZ125" si="424">1-BX124-BX123</f>
        <v>0.3</v>
      </c>
      <c r="BY125" s="508">
        <f t="shared" si="424"/>
        <v>0.3</v>
      </c>
      <c r="BZ125" s="508">
        <f t="shared" si="424"/>
        <v>0.30000000000000004</v>
      </c>
    </row>
    <row r="126" spans="1:78">
      <c r="C126" s="390"/>
      <c r="P126" s="429"/>
      <c r="Q126" s="429"/>
      <c r="R126" s="429"/>
      <c r="T126" s="429"/>
      <c r="U126" s="429"/>
      <c r="V126" s="429"/>
      <c r="X126" s="430"/>
      <c r="Y126" s="429"/>
      <c r="Z126" s="429"/>
      <c r="AB126" s="429"/>
      <c r="AC126" s="429"/>
      <c r="AD126" s="429"/>
      <c r="AF126" s="417"/>
      <c r="AH126" s="429"/>
      <c r="AL126" s="429"/>
      <c r="AP126" s="429"/>
    </row>
    <row r="127" spans="1:78" s="731" customFormat="1" ht="14.4">
      <c r="A127" s="729"/>
      <c r="B127" s="730" t="s">
        <v>479</v>
      </c>
      <c r="P127" s="732"/>
      <c r="Q127" s="732"/>
      <c r="R127" s="732"/>
      <c r="T127" s="732"/>
      <c r="U127" s="732"/>
      <c r="V127" s="732"/>
      <c r="X127" s="732"/>
      <c r="Y127" s="732"/>
      <c r="Z127" s="732"/>
      <c r="AB127" s="733"/>
      <c r="AC127" s="733"/>
      <c r="AD127" s="732"/>
      <c r="AF127" s="733"/>
      <c r="AG127" s="733"/>
      <c r="AH127" s="734"/>
      <c r="AJ127" s="733"/>
      <c r="AK127" s="733"/>
      <c r="AL127" s="734"/>
      <c r="AN127" s="733"/>
      <c r="AO127" s="733"/>
      <c r="AP127" s="734"/>
      <c r="AR127" s="733">
        <f>'P&amp;L'!AR107+AR26+AR82+AR86</f>
        <v>-53.69415389305987</v>
      </c>
      <c r="AS127" s="733">
        <f>'P&amp;L'!AS107+AS26+AS82+AS86</f>
        <v>156.80200037664429</v>
      </c>
      <c r="AT127" s="734">
        <f t="shared" ref="AT127" si="425">+AS127+AR127</f>
        <v>103.10784648358441</v>
      </c>
      <c r="AV127" s="733">
        <f>'P&amp;L'!AV107+AV26+AV82+AV86</f>
        <v>-61.720594802748174</v>
      </c>
      <c r="AW127" s="733">
        <f>'P&amp;L'!AW107+AW26+AW82+AW86</f>
        <v>171.96078516205182</v>
      </c>
      <c r="AX127" s="734">
        <f t="shared" ref="AX127" si="426">+AW127+AV127</f>
        <v>110.24019035930365</v>
      </c>
      <c r="AZ127" s="733">
        <f>'P&amp;L'!AZ107+AZ26+AZ82+AZ86</f>
        <v>-98.266908835738192</v>
      </c>
      <c r="BA127" s="733">
        <f>'P&amp;L'!BA107+BA26+BA82+BA86</f>
        <v>175.87112598563704</v>
      </c>
      <c r="BB127" s="734">
        <f t="shared" ref="BB127" si="427">+BA127+AZ127</f>
        <v>77.604217149898844</v>
      </c>
      <c r="BD127" s="733">
        <f>'P&amp;L'!BD107+BD26+BD82+BD86</f>
        <v>-94.5355748057287</v>
      </c>
      <c r="BE127" s="733">
        <f>'P&amp;L'!BE107+BE26+BE82+BE86</f>
        <v>191.5439867576676</v>
      </c>
      <c r="BF127" s="734">
        <f t="shared" ref="BF127" si="428">+BE127+BD127</f>
        <v>97.008411951938896</v>
      </c>
      <c r="BH127" s="733">
        <f>'P&amp;L'!BH107+BH26+BH82+BH86</f>
        <v>-101.89111411691938</v>
      </c>
      <c r="BI127" s="733">
        <f>'P&amp;L'!BI107+BI26+BI82+BI86</f>
        <v>200.64774963080191</v>
      </c>
      <c r="BJ127" s="734">
        <f t="shared" ref="BJ127" si="429">+BI127+BH127</f>
        <v>98.756635513882529</v>
      </c>
      <c r="BL127" s="733">
        <f>'P&amp;L'!BL107+BL26+BL82+BL86</f>
        <v>-105.74561594527644</v>
      </c>
      <c r="BM127" s="733">
        <f>'P&amp;L'!BM107+BM26+BM82+BM86</f>
        <v>210.044883488957</v>
      </c>
      <c r="BN127" s="734">
        <f t="shared" ref="BN127" si="430">+BM127+BL127</f>
        <v>104.29926754368056</v>
      </c>
      <c r="BP127" s="733">
        <f>'P&amp;L'!BP107+BP26+BP82+BP86</f>
        <v>-86.907558906464459</v>
      </c>
      <c r="BQ127" s="733">
        <f>'P&amp;L'!BQ107+BQ26+BQ82+BQ86</f>
        <v>214.28497814061129</v>
      </c>
      <c r="BR127" s="734">
        <f t="shared" ref="BR127" si="431">+BQ127+BP127</f>
        <v>127.37741923414683</v>
      </c>
      <c r="BT127" s="733">
        <f>'P&amp;L'!BT107+BT26+BT82+BT86</f>
        <v>-111.08003224617087</v>
      </c>
      <c r="BU127" s="733">
        <f>'P&amp;L'!BU107+BU26+BU82+BU86</f>
        <v>231.95999329221345</v>
      </c>
      <c r="BV127" s="734">
        <f t="shared" ref="BV127:BV128" si="432">+BU127+BT127</f>
        <v>120.87996104604258</v>
      </c>
      <c r="BX127" s="733">
        <f>'P&amp;L'!BX107+BX26+BX82+BX86</f>
        <v>-119.21052627774318</v>
      </c>
      <c r="BY127" s="733">
        <f>'P&amp;L'!BY107+BY26+BY82+BY86</f>
        <v>242.40756310640145</v>
      </c>
      <c r="BZ127" s="734">
        <f t="shared" ref="BZ127:BZ128" si="433">+BY127+BX127</f>
        <v>123.19703682865827</v>
      </c>
    </row>
    <row r="128" spans="1:78" s="736" customFormat="1" ht="14.4">
      <c r="A128" s="735"/>
      <c r="B128" s="725" t="s">
        <v>481</v>
      </c>
      <c r="P128" s="737"/>
      <c r="Q128" s="737"/>
      <c r="R128" s="737"/>
      <c r="T128" s="737"/>
      <c r="U128" s="737"/>
      <c r="V128" s="737"/>
      <c r="X128" s="737"/>
      <c r="Y128" s="737"/>
      <c r="Z128" s="737"/>
      <c r="AB128" s="737"/>
      <c r="AC128" s="737"/>
      <c r="AD128" s="737"/>
      <c r="AF128" s="738"/>
      <c r="AG128" s="739"/>
      <c r="AH128" s="739"/>
      <c r="AJ128" s="739"/>
      <c r="AK128" s="739"/>
      <c r="AL128" s="739"/>
      <c r="AN128" s="739"/>
      <c r="AO128" s="739"/>
      <c r="AP128" s="739"/>
      <c r="AR128" s="739">
        <f t="shared" ref="AR128:AS128" si="434">+AR116</f>
        <v>-8.3334299999999981</v>
      </c>
      <c r="AS128" s="739">
        <f t="shared" si="434"/>
        <v>-8.2767399999999984</v>
      </c>
      <c r="AT128" s="739">
        <f t="shared" ref="AT128" si="435">+AS128+AR128</f>
        <v>-16.610169999999997</v>
      </c>
      <c r="AV128" s="739">
        <f t="shared" ref="AV128:AW128" si="436">+AV116</f>
        <v>-8.4422748000000016</v>
      </c>
      <c r="AW128" s="739">
        <f t="shared" si="436"/>
        <v>-8.4422748000000016</v>
      </c>
      <c r="AX128" s="739">
        <f t="shared" ref="AX128" si="437">+AW128+AV128</f>
        <v>-16.884549600000003</v>
      </c>
      <c r="AZ128" s="739">
        <f t="shared" ref="AZ128:BA128" si="438">+AZ116</f>
        <v>-6.4583402219999986</v>
      </c>
      <c r="BA128" s="739">
        <f t="shared" si="438"/>
        <v>-6.4583402219999986</v>
      </c>
      <c r="BB128" s="739">
        <f t="shared" ref="BB128" si="439">+BA128+AZ128</f>
        <v>-12.916680443999997</v>
      </c>
      <c r="BD128" s="739">
        <f t="shared" ref="BD128:BE128" si="440">+BD116</f>
        <v>-6.5875070264400009</v>
      </c>
      <c r="BE128" s="739">
        <f t="shared" si="440"/>
        <v>-6.5875070264400009</v>
      </c>
      <c r="BF128" s="739">
        <f t="shared" ref="BF128" si="441">+BE128+BD128</f>
        <v>-13.175014052880002</v>
      </c>
      <c r="BH128" s="739">
        <f t="shared" ref="BH128:BI128" si="442">+BH116</f>
        <v>-6.7192571669687986</v>
      </c>
      <c r="BI128" s="739">
        <f t="shared" si="442"/>
        <v>-6.7192571669687986</v>
      </c>
      <c r="BJ128" s="739">
        <f t="shared" ref="BJ128" si="443">+BI128+BH128</f>
        <v>-13.438514333937597</v>
      </c>
      <c r="BL128" s="739">
        <f t="shared" ref="BL128:BM128" si="444">+BL116</f>
        <v>-6.8536423103081763</v>
      </c>
      <c r="BM128" s="739">
        <f t="shared" si="444"/>
        <v>-6.8536423103081763</v>
      </c>
      <c r="BN128" s="739">
        <f t="shared" ref="BN128" si="445">+BM128+BL128</f>
        <v>-13.707284620616353</v>
      </c>
      <c r="BP128" s="739">
        <f t="shared" ref="BP128:BQ128" si="446">+BP116</f>
        <v>-6.9907151565143408</v>
      </c>
      <c r="BQ128" s="739">
        <f t="shared" si="446"/>
        <v>-6.9907151565143408</v>
      </c>
      <c r="BR128" s="739">
        <f t="shared" ref="BR128" si="447">+BQ128+BP128</f>
        <v>-13.981430313028682</v>
      </c>
      <c r="BT128" s="739">
        <f t="shared" ref="BT128:BU128" si="448">+BT116</f>
        <v>-7.1305294596446256</v>
      </c>
      <c r="BU128" s="739">
        <f t="shared" si="448"/>
        <v>-7.1305294596446256</v>
      </c>
      <c r="BV128" s="739">
        <f t="shared" si="432"/>
        <v>-14.261058919289251</v>
      </c>
      <c r="BX128" s="739">
        <f t="shared" ref="BX128:BY128" si="449">+BX116</f>
        <v>-7.2731400488375204</v>
      </c>
      <c r="BY128" s="739">
        <f t="shared" si="449"/>
        <v>-7.2731400488375204</v>
      </c>
      <c r="BZ128" s="739">
        <f t="shared" si="433"/>
        <v>-14.546280097675041</v>
      </c>
    </row>
    <row r="129" spans="1:78" s="736" customFormat="1" ht="14.4">
      <c r="A129" s="735"/>
      <c r="B129" s="725" t="s">
        <v>482</v>
      </c>
      <c r="P129" s="737"/>
      <c r="Q129" s="737"/>
      <c r="R129" s="737"/>
      <c r="T129" s="737"/>
      <c r="U129" s="737"/>
      <c r="V129" s="737"/>
      <c r="X129" s="737"/>
      <c r="Y129" s="737"/>
      <c r="Z129" s="737"/>
      <c r="AB129" s="737"/>
      <c r="AC129" s="737"/>
      <c r="AD129" s="737"/>
      <c r="AF129" s="738"/>
      <c r="AG129" s="740" t="str">
        <f>IF(AG127&gt;=AG128,"OK", "MoreCASH?")</f>
        <v>OK</v>
      </c>
      <c r="AH129" s="740" t="str">
        <f>IF(AH127&gt;=AH128,"OK", "MoreCASH?")</f>
        <v>OK</v>
      </c>
      <c r="AJ129" s="740" t="str">
        <f>IF(AJ127&gt;=AJ128,"OK", "MoreCASH?")</f>
        <v>OK</v>
      </c>
      <c r="AK129" s="740" t="str">
        <f>IF(AK127&gt;=AK128,"OK", "MoreCASH?")</f>
        <v>OK</v>
      </c>
      <c r="AL129" s="740" t="str">
        <f>IF(AL127&gt;=AL128,"OK", "MoreCASH?")</f>
        <v>OK</v>
      </c>
      <c r="AN129" s="740" t="str">
        <f>IF(AN127&gt;=AN128,"OK", "MoreCASH?")</f>
        <v>OK</v>
      </c>
      <c r="AO129" s="740" t="str">
        <f>IF(AO127&gt;=AO128,"OK", "MoreCASH?")</f>
        <v>OK</v>
      </c>
      <c r="AP129" s="740" t="str">
        <f>IF(AP127&gt;=AP128,"OK", "MoreCASH?")</f>
        <v>OK</v>
      </c>
      <c r="AR129" s="740" t="str">
        <f t="shared" ref="AR129:AT129" si="450">IF(AR127&gt;=AR128,"OK", "MoreCASH?")</f>
        <v>MoreCASH?</v>
      </c>
      <c r="AS129" s="740" t="str">
        <f t="shared" si="450"/>
        <v>OK</v>
      </c>
      <c r="AT129" s="740" t="str">
        <f t="shared" si="450"/>
        <v>OK</v>
      </c>
      <c r="AV129" s="740" t="str">
        <f>IF(AV127&gt;=AV128,"OK", "MoreCASH?")</f>
        <v>MoreCASH?</v>
      </c>
      <c r="AW129" s="740" t="str">
        <f t="shared" ref="AW129:AX129" si="451">IF(AW127&gt;=AW128,"OK", "MoreCASH?")</f>
        <v>OK</v>
      </c>
      <c r="AX129" s="740" t="str">
        <f t="shared" si="451"/>
        <v>OK</v>
      </c>
      <c r="AZ129" s="740" t="str">
        <f t="shared" ref="AZ129:BB129" si="452">IF(AZ127&gt;=AZ128,"OK", "MoreCASH?")</f>
        <v>MoreCASH?</v>
      </c>
      <c r="BA129" s="740" t="str">
        <f t="shared" si="452"/>
        <v>OK</v>
      </c>
      <c r="BB129" s="740" t="str">
        <f t="shared" si="452"/>
        <v>OK</v>
      </c>
      <c r="BD129" s="740" t="str">
        <f t="shared" ref="BD129:BF129" si="453">IF(BD127&gt;=BD128,"OK", "MoreCASH?")</f>
        <v>MoreCASH?</v>
      </c>
      <c r="BE129" s="740" t="str">
        <f t="shared" si="453"/>
        <v>OK</v>
      </c>
      <c r="BF129" s="740" t="str">
        <f t="shared" si="453"/>
        <v>OK</v>
      </c>
      <c r="BH129" s="740" t="str">
        <f t="shared" ref="BH129:BJ129" si="454">IF(BH127&gt;=BH128,"OK", "MoreCASH?")</f>
        <v>MoreCASH?</v>
      </c>
      <c r="BI129" s="740" t="str">
        <f t="shared" si="454"/>
        <v>OK</v>
      </c>
      <c r="BJ129" s="740" t="str">
        <f t="shared" si="454"/>
        <v>OK</v>
      </c>
      <c r="BL129" s="740" t="str">
        <f t="shared" ref="BL129:BN129" si="455">IF(BL127&gt;=BL128,"OK", "MoreCASH?")</f>
        <v>MoreCASH?</v>
      </c>
      <c r="BM129" s="740" t="str">
        <f t="shared" si="455"/>
        <v>OK</v>
      </c>
      <c r="BN129" s="740" t="str">
        <f t="shared" si="455"/>
        <v>OK</v>
      </c>
      <c r="BP129" s="740" t="str">
        <f t="shared" ref="BP129:BR129" si="456">IF(BP127&gt;=BP128,"OK", "MoreCASH?")</f>
        <v>MoreCASH?</v>
      </c>
      <c r="BQ129" s="740" t="str">
        <f t="shared" si="456"/>
        <v>OK</v>
      </c>
      <c r="BR129" s="740" t="str">
        <f t="shared" si="456"/>
        <v>OK</v>
      </c>
      <c r="BT129" s="740" t="str">
        <f t="shared" ref="BT129:BV129" si="457">IF(BT127&gt;=BT128,"OK", "MoreCASH?")</f>
        <v>MoreCASH?</v>
      </c>
      <c r="BU129" s="740" t="str">
        <f t="shared" si="457"/>
        <v>OK</v>
      </c>
      <c r="BV129" s="740" t="str">
        <f t="shared" si="457"/>
        <v>OK</v>
      </c>
      <c r="BX129" s="740" t="str">
        <f t="shared" ref="BX129:BZ129" si="458">IF(BX127&gt;=BX128,"OK", "MoreCASH?")</f>
        <v>MoreCASH?</v>
      </c>
      <c r="BY129" s="740" t="str">
        <f t="shared" si="458"/>
        <v>OK</v>
      </c>
      <c r="BZ129" s="740" t="str">
        <f t="shared" si="458"/>
        <v>OK</v>
      </c>
    </row>
    <row r="130" spans="1:78">
      <c r="B130" s="149"/>
      <c r="P130" s="429"/>
      <c r="Q130" s="429"/>
      <c r="R130" s="429"/>
      <c r="T130" s="429"/>
      <c r="U130" s="429"/>
      <c r="V130" s="429"/>
      <c r="X130" s="429"/>
      <c r="Y130" s="429"/>
      <c r="Z130" s="429"/>
      <c r="AB130" s="429"/>
      <c r="AC130" s="429"/>
      <c r="AD130" s="429"/>
      <c r="AF130" s="417"/>
      <c r="AG130" s="509"/>
      <c r="AH130" s="509"/>
      <c r="AJ130" s="509"/>
      <c r="AK130" s="509"/>
      <c r="AL130" s="509"/>
      <c r="AN130" s="509"/>
      <c r="AO130" s="509"/>
      <c r="AP130" s="509"/>
      <c r="AR130" s="509"/>
      <c r="AS130" s="509"/>
      <c r="AT130" s="509"/>
      <c r="AV130" s="509"/>
      <c r="AW130" s="509"/>
      <c r="AX130" s="509"/>
      <c r="AZ130" s="509"/>
      <c r="BA130" s="509"/>
      <c r="BB130" s="509"/>
      <c r="BD130" s="509"/>
      <c r="BE130" s="509"/>
      <c r="BF130" s="509"/>
      <c r="BH130" s="509"/>
      <c r="BI130" s="509"/>
      <c r="BJ130" s="509"/>
      <c r="BL130" s="509"/>
      <c r="BM130" s="509"/>
      <c r="BN130" s="509"/>
      <c r="BP130" s="509"/>
      <c r="BQ130" s="509"/>
      <c r="BR130" s="509"/>
      <c r="BT130" s="509"/>
      <c r="BU130" s="509"/>
      <c r="BV130" s="509"/>
      <c r="BX130" s="509"/>
      <c r="BY130" s="509"/>
      <c r="BZ130" s="509"/>
    </row>
    <row r="131" spans="1:78">
      <c r="B131" s="134" t="s">
        <v>604</v>
      </c>
      <c r="P131" s="429"/>
      <c r="Q131" s="429"/>
      <c r="R131" s="429"/>
      <c r="T131" s="666"/>
      <c r="U131" s="666"/>
      <c r="V131" s="666"/>
      <c r="W131" s="166"/>
      <c r="X131" s="666">
        <f>BS!X98</f>
        <v>2.2999999999999998</v>
      </c>
      <c r="Y131" s="666">
        <f>BS!Y98</f>
        <v>1.99</v>
      </c>
      <c r="Z131" s="666">
        <f>BS!Z98</f>
        <v>1.99</v>
      </c>
      <c r="AA131" s="166"/>
      <c r="AB131" s="666">
        <f>BS!AB98</f>
        <v>2.14</v>
      </c>
      <c r="AC131" s="666">
        <f>BS!AC98</f>
        <v>-0.67137645333969787</v>
      </c>
      <c r="AD131" s="666">
        <f>BS!AD98</f>
        <v>-0.67137645333969787</v>
      </c>
      <c r="AE131" s="166"/>
      <c r="AF131" s="666">
        <f>BS!AF98</f>
        <v>2.7410110797823757</v>
      </c>
      <c r="AG131" s="666">
        <f>BS!AG98</f>
        <v>1.7127178708324291</v>
      </c>
      <c r="AH131" s="666">
        <f>BS!AH98</f>
        <v>1.7127178708324291</v>
      </c>
      <c r="AI131" s="166"/>
      <c r="AJ131" s="666">
        <f>BS!AJ98</f>
        <v>2.0219284002165008</v>
      </c>
      <c r="AK131" s="666">
        <f>BS!AK98</f>
        <v>1.2832336132650051</v>
      </c>
      <c r="AL131" s="666">
        <f>BS!AL98</f>
        <v>1.2832336132650051</v>
      </c>
      <c r="AM131" s="166"/>
      <c r="AN131" s="666">
        <f>BS!AN98</f>
        <v>1.9031321768142611</v>
      </c>
      <c r="AO131" s="666">
        <f>BS!AO98</f>
        <v>1.9733128419032326</v>
      </c>
      <c r="AP131" s="666">
        <f>BS!AP98</f>
        <v>1.9733128419032326</v>
      </c>
      <c r="AQ131" s="166"/>
      <c r="AR131" s="666">
        <f>BS!AR98</f>
        <v>2.3042992737548049</v>
      </c>
      <c r="AS131" s="666">
        <f>BS!AS98</f>
        <v>2.0461230571562079</v>
      </c>
      <c r="AT131" s="666">
        <f>BS!AT98</f>
        <v>2.0461230571562079</v>
      </c>
      <c r="AU131" s="166"/>
      <c r="AV131" s="666">
        <f>BS!AV98</f>
        <v>2.0594939772430854</v>
      </c>
      <c r="AW131" s="666">
        <f>BS!AW98</f>
        <v>1.8011567971097746</v>
      </c>
      <c r="AX131" s="666">
        <f>BS!AX98</f>
        <v>1.8011567971097746</v>
      </c>
      <c r="AY131" s="166"/>
      <c r="AZ131" s="666">
        <f>BS!AZ98</f>
        <v>1.8372390176228968</v>
      </c>
      <c r="BA131" s="666">
        <f>BS!BA98</f>
        <v>1.5997690877957276</v>
      </c>
      <c r="BB131" s="666">
        <f>BS!BB98</f>
        <v>1.5997690877957276</v>
      </c>
      <c r="BC131" s="166"/>
      <c r="BD131" s="666">
        <f>BS!BD98</f>
        <v>1.6573349579454288</v>
      </c>
      <c r="BE131" s="666">
        <f>BS!BE98</f>
        <v>1.4408452430344068</v>
      </c>
      <c r="BF131" s="666">
        <f>BS!BF98</f>
        <v>1.4408452430344068</v>
      </c>
      <c r="BG131" s="166"/>
      <c r="BH131" s="666">
        <f>BS!BH98</f>
        <v>1.5054618955016155</v>
      </c>
      <c r="BI131" s="666">
        <f>BS!BI98</f>
        <v>1.2910354002720643</v>
      </c>
      <c r="BJ131" s="666">
        <f>BS!BJ98</f>
        <v>1.2910354002720643</v>
      </c>
      <c r="BK131" s="166"/>
      <c r="BL131" s="666">
        <f>BS!BL98</f>
        <v>1.3588600081864126</v>
      </c>
      <c r="BM131" s="666">
        <f>BS!BM98</f>
        <v>1.1465818351891983</v>
      </c>
      <c r="BN131" s="666">
        <f>BS!BN98</f>
        <v>1.1465818351891983</v>
      </c>
      <c r="BO131" s="166"/>
      <c r="BP131" s="666">
        <f>BS!BP98</f>
        <v>1.2010952566185416</v>
      </c>
      <c r="BQ131" s="666">
        <f>BS!BQ98</f>
        <v>0.99675630292073247</v>
      </c>
      <c r="BR131" s="666">
        <f>BS!BR98</f>
        <v>0.99675630292073247</v>
      </c>
      <c r="BS131" s="166"/>
      <c r="BT131" s="666">
        <f>BS!BT98</f>
        <v>1.0681667629116895</v>
      </c>
      <c r="BU131" s="666">
        <f>BS!BU98</f>
        <v>0.8592686760051218</v>
      </c>
      <c r="BV131" s="666">
        <f>BS!BV98</f>
        <v>0.8592686760051218</v>
      </c>
      <c r="BW131" s="166"/>
      <c r="BX131" s="666">
        <f>BS!BX98</f>
        <v>0.93707669613047306</v>
      </c>
      <c r="BY131" s="666">
        <f>BS!BY98</f>
        <v>0.7304850121771761</v>
      </c>
      <c r="BZ131" s="666">
        <f>BS!BZ98</f>
        <v>0.7304850121771761</v>
      </c>
    </row>
    <row r="132" spans="1:78">
      <c r="B132" s="134" t="s">
        <v>411</v>
      </c>
      <c r="C132" s="135" t="s">
        <v>406</v>
      </c>
      <c r="P132" s="232"/>
      <c r="Q132" s="232"/>
      <c r="R132" s="232"/>
      <c r="T132" s="232"/>
      <c r="U132" s="232"/>
      <c r="V132" s="232"/>
      <c r="X132" s="232"/>
      <c r="Y132" s="232"/>
      <c r="Z132" s="232"/>
      <c r="AB132" s="232"/>
      <c r="AC132" s="232"/>
      <c r="AD132" s="232"/>
      <c r="AF132" s="232">
        <f>BS!AF232</f>
        <v>645.827</v>
      </c>
      <c r="AG132" s="232">
        <f>BS!AG232</f>
        <v>-120.22699999999998</v>
      </c>
      <c r="AH132" s="232">
        <f>BS!AH232</f>
        <v>525.6</v>
      </c>
      <c r="AJ132" s="232">
        <f>BS!AJ232</f>
        <v>98.408000000000015</v>
      </c>
      <c r="AK132" s="323">
        <f>BS!AK232</f>
        <v>-22.98700000000008</v>
      </c>
      <c r="AL132" s="232">
        <f>BS!AL232</f>
        <v>75.420999999999935</v>
      </c>
      <c r="AN132" s="232">
        <f>BS!AN232</f>
        <v>126.077</v>
      </c>
      <c r="AO132" s="323">
        <f>BS!AO232</f>
        <v>99.57000000000005</v>
      </c>
      <c r="AP132" s="232">
        <f>BS!AP232</f>
        <v>225.64700000000005</v>
      </c>
      <c r="AR132" s="232">
        <f>BS!AR232</f>
        <v>-2.0833575</v>
      </c>
      <c r="AS132" s="232">
        <f>BS!AS232</f>
        <v>-2.0691850000000001</v>
      </c>
      <c r="AT132" s="232">
        <f>BS!AT232</f>
        <v>-4.1525424999999814</v>
      </c>
      <c r="AV132" s="232">
        <f>BS!AV232</f>
        <v>-2.1105687</v>
      </c>
      <c r="AW132" s="232">
        <f>BS!AW232</f>
        <v>-2.1105687</v>
      </c>
      <c r="AX132" s="232">
        <f>BS!AX232</f>
        <v>-4.2211374000000887</v>
      </c>
      <c r="AZ132" s="232">
        <f>BS!AZ232</f>
        <v>-4.3055601480000005</v>
      </c>
      <c r="BA132" s="232">
        <f>BS!BA232</f>
        <v>-4.3055601480000005</v>
      </c>
      <c r="BB132" s="232">
        <f>BS!BB232</f>
        <v>-8.611120296000081</v>
      </c>
      <c r="BD132" s="232">
        <f>BS!BD232</f>
        <v>-4.3916713509600003</v>
      </c>
      <c r="BE132" s="232">
        <f>BS!BE232</f>
        <v>-4.3916713509600003</v>
      </c>
      <c r="BF132" s="232">
        <f>BS!BF232</f>
        <v>-8.7833427019199917</v>
      </c>
      <c r="BH132" s="232">
        <f>BS!BH232</f>
        <v>-4.4795047779792005</v>
      </c>
      <c r="BI132" s="232">
        <f>BS!BI232</f>
        <v>-4.4795047779792005</v>
      </c>
      <c r="BJ132" s="232">
        <f>BS!BJ232</f>
        <v>-8.959009555958346</v>
      </c>
      <c r="BL132" s="232">
        <f>BS!BL232</f>
        <v>-4.5690948735387842</v>
      </c>
      <c r="BM132" s="232">
        <f>BS!BM232</f>
        <v>-4.5690948735387842</v>
      </c>
      <c r="BN132" s="232">
        <f>BS!BN232</f>
        <v>-9.1381897470776039</v>
      </c>
      <c r="BP132" s="232">
        <f>BS!BP232</f>
        <v>-4.6604767710095603</v>
      </c>
      <c r="BQ132" s="232">
        <f>BS!BQ232</f>
        <v>-4.6604767710095603</v>
      </c>
      <c r="BR132" s="232">
        <f>BS!BR232</f>
        <v>-9.3209535420191969</v>
      </c>
      <c r="BT132" s="232">
        <f>BS!BT232</f>
        <v>-4.7536863064297519</v>
      </c>
      <c r="BU132" s="232">
        <f>BS!BU232</f>
        <v>-4.7536863064297519</v>
      </c>
      <c r="BV132" s="232">
        <f>BS!BV232</f>
        <v>-9.5073726128593989</v>
      </c>
      <c r="BX132" s="232">
        <f>BS!BX232</f>
        <v>-4.8487600325583466</v>
      </c>
      <c r="BY132" s="232">
        <f>BS!BY232</f>
        <v>-4.8487600325583466</v>
      </c>
      <c r="BZ132" s="232">
        <f>BS!BZ232</f>
        <v>-9.6975200651168052</v>
      </c>
    </row>
    <row r="133" spans="1:78">
      <c r="B133" s="133"/>
      <c r="C133" s="390" t="s">
        <v>39</v>
      </c>
      <c r="P133" s="422"/>
      <c r="Q133" s="422"/>
      <c r="R133" s="422"/>
      <c r="T133" s="422"/>
      <c r="U133" s="422"/>
      <c r="V133" s="422"/>
      <c r="X133" s="422"/>
      <c r="Y133" s="422"/>
      <c r="Z133" s="422"/>
      <c r="AB133" s="422"/>
      <c r="AC133" s="422"/>
      <c r="AD133" s="422"/>
      <c r="AF133" s="422"/>
      <c r="AG133" s="422"/>
      <c r="AH133" s="422"/>
      <c r="AJ133" s="422"/>
      <c r="AK133" s="422"/>
      <c r="AL133" s="422"/>
      <c r="AN133" s="422"/>
      <c r="AO133" s="422"/>
      <c r="AP133" s="422"/>
      <c r="AR133" s="422">
        <f>+AR132/AR117</f>
        <v>0.1</v>
      </c>
      <c r="AS133" s="422">
        <f>+AS132/AS117</f>
        <v>0.1</v>
      </c>
      <c r="AT133" s="422">
        <f>+AT132/AT117</f>
        <v>9.9999999999999561E-2</v>
      </c>
      <c r="AV133" s="422">
        <f>+AV132/AV117</f>
        <v>0.1</v>
      </c>
      <c r="AW133" s="422">
        <f>+AW132/AW117</f>
        <v>0.1</v>
      </c>
      <c r="AX133" s="422">
        <f>+AX132/AX117</f>
        <v>0.10000000000000209</v>
      </c>
      <c r="AZ133" s="422">
        <f>+AZ132/AZ117</f>
        <v>0.2</v>
      </c>
      <c r="BA133" s="422">
        <f>+BA132/BA117</f>
        <v>0.2</v>
      </c>
      <c r="BB133" s="422">
        <f>+BB132/BB117</f>
        <v>0.20000000000000193</v>
      </c>
      <c r="BD133" s="422">
        <f>+BD132/BD117</f>
        <v>0.2</v>
      </c>
      <c r="BE133" s="422">
        <f>+BE132/BE117</f>
        <v>0.2</v>
      </c>
      <c r="BF133" s="422">
        <f>+BF132/BF117</f>
        <v>0.19999999999999982</v>
      </c>
      <c r="BH133" s="422">
        <f>+BH132/BH117</f>
        <v>0.2</v>
      </c>
      <c r="BI133" s="422">
        <f>+BI132/BI117</f>
        <v>0.2</v>
      </c>
      <c r="BJ133" s="422">
        <f>+BJ132/BJ117</f>
        <v>0.19999999999999879</v>
      </c>
      <c r="BL133" s="422">
        <f>+BL132/BL117</f>
        <v>0.2</v>
      </c>
      <c r="BM133" s="422">
        <f>+BM132/BM117</f>
        <v>0.2</v>
      </c>
      <c r="BN133" s="422">
        <f>+BN132/BN117</f>
        <v>0.20000000000000079</v>
      </c>
      <c r="BP133" s="422">
        <f>+BP132/BP117</f>
        <v>0.2</v>
      </c>
      <c r="BQ133" s="422">
        <f>+BQ132/BQ117</f>
        <v>0.2</v>
      </c>
      <c r="BR133" s="422">
        <f>+BR132/BR117</f>
        <v>0.20000000000000165</v>
      </c>
      <c r="BT133" s="422">
        <f>+BT132/BT117</f>
        <v>0.2</v>
      </c>
      <c r="BU133" s="422">
        <f>+BU132/BU117</f>
        <v>0.2</v>
      </c>
      <c r="BV133" s="422">
        <f>+BV132/BV117</f>
        <v>0.19999999999999785</v>
      </c>
      <c r="BX133" s="422">
        <f>+BX132/BX117</f>
        <v>0.2</v>
      </c>
      <c r="BY133" s="422">
        <f>+BY132/BY117</f>
        <v>0.2</v>
      </c>
      <c r="BZ133" s="422">
        <f>+BZ132/BZ117</f>
        <v>0.20000000000000229</v>
      </c>
    </row>
    <row r="134" spans="1:78" ht="15.6">
      <c r="B134" s="431" t="s">
        <v>412</v>
      </c>
      <c r="C134" s="390"/>
      <c r="P134" s="432"/>
      <c r="Q134" s="432"/>
      <c r="R134" s="432"/>
      <c r="S134" s="432"/>
      <c r="T134" s="432"/>
      <c r="U134" s="432"/>
      <c r="V134" s="432"/>
      <c r="W134" s="432"/>
      <c r="X134" s="432"/>
      <c r="Y134" s="432"/>
      <c r="Z134" s="432"/>
      <c r="AA134" s="432"/>
      <c r="AB134" s="432"/>
      <c r="AC134" s="432"/>
      <c r="AD134" s="432"/>
      <c r="AE134" s="432"/>
      <c r="AF134" s="433"/>
      <c r="AG134" s="433"/>
      <c r="AH134" s="422"/>
      <c r="AJ134" s="433"/>
      <c r="AK134" s="849"/>
      <c r="AL134" s="422"/>
      <c r="AN134" s="433"/>
      <c r="AO134" s="433"/>
      <c r="AP134" s="422"/>
      <c r="AR134" s="433"/>
      <c r="AS134" s="433"/>
      <c r="AT134" s="422"/>
      <c r="AV134" s="433"/>
      <c r="AW134" s="433"/>
      <c r="AX134" s="422"/>
      <c r="AZ134" s="433"/>
      <c r="BA134" s="433"/>
      <c r="BB134" s="422"/>
      <c r="BD134" s="433"/>
      <c r="BE134" s="433"/>
      <c r="BF134" s="422"/>
      <c r="BH134" s="433"/>
      <c r="BI134" s="433"/>
      <c r="BJ134" s="422"/>
      <c r="BL134" s="433"/>
      <c r="BM134" s="433"/>
      <c r="BN134" s="422"/>
      <c r="BP134" s="433"/>
      <c r="BQ134" s="433"/>
      <c r="BR134" s="422"/>
      <c r="BT134" s="433"/>
      <c r="BU134" s="433"/>
      <c r="BV134" s="422"/>
      <c r="BX134" s="433"/>
      <c r="BY134" s="433"/>
      <c r="BZ134" s="422"/>
    </row>
    <row r="135" spans="1:78" ht="16.2" thickBot="1">
      <c r="B135" s="431"/>
      <c r="C135" s="390"/>
      <c r="P135" s="432"/>
      <c r="Q135" s="432"/>
      <c r="R135" s="432"/>
      <c r="S135" s="432"/>
      <c r="T135" s="432"/>
      <c r="U135" s="432"/>
      <c r="V135" s="432"/>
      <c r="W135" s="432"/>
      <c r="X135" s="432"/>
      <c r="Y135" s="432"/>
      <c r="Z135" s="432"/>
      <c r="AA135" s="432"/>
      <c r="AB135" s="432"/>
      <c r="AC135" s="432"/>
      <c r="AD135" s="432"/>
      <c r="AE135" s="432"/>
      <c r="AF135" s="433"/>
      <c r="AG135" s="433"/>
      <c r="AH135" s="422"/>
      <c r="AJ135" s="433"/>
      <c r="AK135" s="849"/>
      <c r="AL135" s="422"/>
      <c r="AN135" s="433"/>
      <c r="AO135" s="849"/>
      <c r="AP135" s="422"/>
      <c r="AR135" s="433"/>
      <c r="AS135" s="433"/>
      <c r="AT135" s="422"/>
      <c r="AV135" s="433"/>
      <c r="AW135" s="433"/>
      <c r="AX135" s="422"/>
      <c r="AZ135" s="433"/>
      <c r="BA135" s="433"/>
      <c r="BB135" s="422"/>
      <c r="BD135" s="433"/>
      <c r="BE135" s="433"/>
      <c r="BF135" s="422"/>
      <c r="BH135" s="433"/>
      <c r="BI135" s="433"/>
      <c r="BJ135" s="422"/>
      <c r="BL135" s="433"/>
      <c r="BM135" s="433"/>
      <c r="BN135" s="422"/>
      <c r="BP135" s="433"/>
      <c r="BQ135" s="433"/>
      <c r="BR135" s="422"/>
      <c r="BT135" s="433"/>
      <c r="BU135" s="433"/>
      <c r="BV135" s="422"/>
      <c r="BX135" s="433"/>
      <c r="BY135" s="433"/>
      <c r="BZ135" s="422"/>
    </row>
    <row r="136" spans="1:78" ht="14.4" thickBot="1">
      <c r="A136" s="793">
        <v>10</v>
      </c>
      <c r="B136" s="134" t="s">
        <v>413</v>
      </c>
      <c r="C136" s="135" t="s">
        <v>40</v>
      </c>
      <c r="P136" s="135"/>
      <c r="Q136" s="135"/>
      <c r="R136" s="135"/>
      <c r="S136" s="135"/>
      <c r="T136" s="135"/>
      <c r="U136" s="135"/>
      <c r="V136" s="135"/>
      <c r="W136" s="135"/>
      <c r="X136" s="135"/>
      <c r="Y136" s="135"/>
      <c r="Z136" s="135"/>
      <c r="AA136" s="135"/>
      <c r="AB136" s="135"/>
      <c r="AC136" s="135"/>
      <c r="AD136" s="135"/>
      <c r="AE136" s="135"/>
      <c r="AF136" s="434"/>
      <c r="AG136" s="434"/>
      <c r="AH136" s="232"/>
      <c r="AI136" s="435"/>
      <c r="AJ136" s="434"/>
      <c r="AK136" s="434"/>
      <c r="AL136" s="232"/>
      <c r="AM136" s="135"/>
      <c r="AN136" s="434"/>
      <c r="AO136" s="434"/>
      <c r="AP136" s="232"/>
      <c r="AQ136" s="135"/>
      <c r="AR136" s="434">
        <f t="shared" ref="AR136:BQ136" si="459">+$A$136</f>
        <v>10</v>
      </c>
      <c r="AS136" s="434">
        <f t="shared" si="459"/>
        <v>10</v>
      </c>
      <c r="AT136" s="232">
        <f t="shared" ref="AT136" si="460">+AT117/AT137</f>
        <v>10</v>
      </c>
      <c r="AU136" s="135"/>
      <c r="AV136" s="434">
        <f t="shared" si="459"/>
        <v>10</v>
      </c>
      <c r="AW136" s="434">
        <f t="shared" si="459"/>
        <v>10</v>
      </c>
      <c r="AX136" s="232">
        <f t="shared" ref="AX136" si="461">+AX117/AX137</f>
        <v>10.000000000000002</v>
      </c>
      <c r="AY136" s="135"/>
      <c r="AZ136" s="434">
        <f t="shared" si="459"/>
        <v>10</v>
      </c>
      <c r="BA136" s="434">
        <f t="shared" si="459"/>
        <v>10</v>
      </c>
      <c r="BB136" s="232">
        <f t="shared" ref="BB136" si="462">+BB117/BB137</f>
        <v>10</v>
      </c>
      <c r="BC136" s="135"/>
      <c r="BD136" s="434">
        <f t="shared" si="459"/>
        <v>10</v>
      </c>
      <c r="BE136" s="434">
        <f t="shared" si="459"/>
        <v>10</v>
      </c>
      <c r="BF136" s="232">
        <f t="shared" ref="BF136" si="463">+BF117/BF137</f>
        <v>10</v>
      </c>
      <c r="BG136" s="135"/>
      <c r="BH136" s="434">
        <f t="shared" si="459"/>
        <v>10</v>
      </c>
      <c r="BI136" s="434">
        <f t="shared" si="459"/>
        <v>10</v>
      </c>
      <c r="BJ136" s="232">
        <f t="shared" ref="BJ136" si="464">+BJ117/BJ137</f>
        <v>10</v>
      </c>
      <c r="BK136" s="135"/>
      <c r="BL136" s="434">
        <f t="shared" si="459"/>
        <v>10</v>
      </c>
      <c r="BM136" s="434">
        <f t="shared" si="459"/>
        <v>10</v>
      </c>
      <c r="BN136" s="232">
        <f t="shared" ref="BN136" si="465">+BN117/BN137</f>
        <v>10</v>
      </c>
      <c r="BO136" s="135"/>
      <c r="BP136" s="434">
        <f t="shared" si="459"/>
        <v>10</v>
      </c>
      <c r="BQ136" s="434">
        <f t="shared" si="459"/>
        <v>10</v>
      </c>
      <c r="BR136" s="232">
        <f t="shared" ref="BR136" si="466">+BR117/BR137</f>
        <v>10</v>
      </c>
      <c r="BS136" s="135"/>
      <c r="BT136" s="434">
        <f t="shared" ref="BT136:BU136" si="467">+$A$136</f>
        <v>10</v>
      </c>
      <c r="BU136" s="434">
        <f t="shared" si="467"/>
        <v>10</v>
      </c>
      <c r="BV136" s="232">
        <f t="shared" ref="BV136" si="468">+BV117/BV137</f>
        <v>10</v>
      </c>
      <c r="BW136" s="135"/>
      <c r="BX136" s="434">
        <f t="shared" ref="BX136:BY136" si="469">+$A$136</f>
        <v>10</v>
      </c>
      <c r="BY136" s="434">
        <f t="shared" si="469"/>
        <v>10</v>
      </c>
      <c r="BZ136" s="232">
        <f t="shared" ref="BZ136" si="470">+BZ117/BZ137</f>
        <v>10.000000000000002</v>
      </c>
    </row>
    <row r="137" spans="1:78">
      <c r="B137" s="134" t="s">
        <v>690</v>
      </c>
      <c r="C137" s="135" t="s">
        <v>406</v>
      </c>
      <c r="P137" s="135"/>
      <c r="Q137" s="135"/>
      <c r="R137" s="135"/>
      <c r="S137" s="135"/>
      <c r="T137" s="135"/>
      <c r="U137" s="135"/>
      <c r="V137" s="135"/>
      <c r="W137" s="135"/>
      <c r="X137" s="135"/>
      <c r="Y137" s="135"/>
      <c r="Z137" s="135"/>
      <c r="AA137" s="135"/>
      <c r="AB137" s="135"/>
      <c r="AC137" s="135"/>
      <c r="AD137" s="135"/>
      <c r="AE137" s="135"/>
      <c r="AF137" s="232"/>
      <c r="AG137" s="232"/>
      <c r="AH137" s="232"/>
      <c r="AI137" s="135"/>
      <c r="AJ137" s="232"/>
      <c r="AK137" s="323"/>
      <c r="AL137" s="232"/>
      <c r="AM137" s="135"/>
      <c r="AN137" s="232"/>
      <c r="AO137" s="323"/>
      <c r="AP137" s="232"/>
      <c r="AQ137" s="135"/>
      <c r="AR137" s="232">
        <f>+AR117/AR136</f>
        <v>-2.0833575</v>
      </c>
      <c r="AS137" s="232">
        <f>+AS117/AS136</f>
        <v>-2.0691850000000001</v>
      </c>
      <c r="AT137" s="232">
        <f t="shared" ref="AT137" si="471">+AR137+AS137</f>
        <v>-4.1525425</v>
      </c>
      <c r="AU137" s="135"/>
      <c r="AV137" s="232">
        <f>+AV117/AV136</f>
        <v>-2.1105687</v>
      </c>
      <c r="AW137" s="232">
        <f>+AW117/AW136</f>
        <v>-2.1105687</v>
      </c>
      <c r="AX137" s="232">
        <f t="shared" ref="AX137" si="472">+AV137+AW137</f>
        <v>-4.2211373999999999</v>
      </c>
      <c r="AY137" s="135"/>
      <c r="AZ137" s="232">
        <f>+AZ117/AZ136</f>
        <v>-2.1527800739999998</v>
      </c>
      <c r="BA137" s="232">
        <f>+BA117/BA136</f>
        <v>-2.1527800739999998</v>
      </c>
      <c r="BB137" s="232">
        <f t="shared" ref="BB137" si="473">+AZ137+BA137</f>
        <v>-4.3055601479999996</v>
      </c>
      <c r="BC137" s="135"/>
      <c r="BD137" s="232">
        <f>+BD117/BD136</f>
        <v>-2.1958356754800001</v>
      </c>
      <c r="BE137" s="232">
        <f>+BE117/BE136</f>
        <v>-2.1958356754800001</v>
      </c>
      <c r="BF137" s="232">
        <f t="shared" ref="BF137" si="474">+BD137+BE137</f>
        <v>-4.3916713509600003</v>
      </c>
      <c r="BG137" s="135"/>
      <c r="BH137" s="232">
        <f>+BH117/BH136</f>
        <v>-2.2397523889895998</v>
      </c>
      <c r="BI137" s="232">
        <f>+BI117/BI136</f>
        <v>-2.2397523889895998</v>
      </c>
      <c r="BJ137" s="232">
        <f t="shared" ref="BJ137" si="475">+BH137+BI137</f>
        <v>-4.4795047779791997</v>
      </c>
      <c r="BK137" s="135"/>
      <c r="BL137" s="232">
        <f>+BL117/BL136</f>
        <v>-2.2845474367693921</v>
      </c>
      <c r="BM137" s="232">
        <f>+BM117/BM136</f>
        <v>-2.2845474367693921</v>
      </c>
      <c r="BN137" s="232">
        <f t="shared" ref="BN137" si="476">+BL137+BM137</f>
        <v>-4.5690948735387842</v>
      </c>
      <c r="BO137" s="135"/>
      <c r="BP137" s="232">
        <f>+BP117/BP136</f>
        <v>-2.3302383855047801</v>
      </c>
      <c r="BQ137" s="232">
        <f>+BQ117/BQ136</f>
        <v>-2.3302383855047801</v>
      </c>
      <c r="BR137" s="232">
        <f t="shared" ref="BR137" si="477">+BP137+BQ137</f>
        <v>-4.6604767710095603</v>
      </c>
      <c r="BS137" s="135"/>
      <c r="BT137" s="232">
        <f>+BT117/BT136</f>
        <v>-2.3768431532148755</v>
      </c>
      <c r="BU137" s="232">
        <f>+BU117/BU136</f>
        <v>-2.3768431532148755</v>
      </c>
      <c r="BV137" s="232">
        <f t="shared" ref="BV137" si="478">+BT137+BU137</f>
        <v>-4.753686306429751</v>
      </c>
      <c r="BW137" s="135"/>
      <c r="BX137" s="232">
        <f>+BX117/BX136</f>
        <v>-2.4243800162791733</v>
      </c>
      <c r="BY137" s="232">
        <f>+BY117/BY136</f>
        <v>-2.4243800162791733</v>
      </c>
      <c r="BZ137" s="232">
        <f t="shared" ref="BZ137" si="479">+BX137+BY137</f>
        <v>-4.8487600325583466</v>
      </c>
    </row>
    <row r="138" spans="1:78">
      <c r="AF138" s="136"/>
      <c r="AG138" s="136"/>
      <c r="AK138" s="262"/>
      <c r="AO138" s="262"/>
      <c r="AQ138" s="866"/>
    </row>
    <row r="139" spans="1:78">
      <c r="B139" s="142" t="s">
        <v>430</v>
      </c>
      <c r="AF139" s="136"/>
      <c r="AG139" s="136"/>
      <c r="AK139" s="262"/>
      <c r="AO139" s="262"/>
      <c r="AQ139" s="866"/>
    </row>
    <row r="140" spans="1:78">
      <c r="B140" s="132" t="s">
        <v>176</v>
      </c>
      <c r="C140" s="133" t="s">
        <v>39</v>
      </c>
      <c r="AF140" s="423"/>
      <c r="AG140" s="423"/>
      <c r="AH140" s="432"/>
      <c r="AJ140" s="423"/>
      <c r="AK140" s="850"/>
      <c r="AL140" s="432"/>
      <c r="AN140" s="423"/>
      <c r="AO140" s="850"/>
      <c r="AP140" s="432"/>
      <c r="AR140" s="423">
        <v>0.65</v>
      </c>
      <c r="AS140" s="423">
        <v>0.65</v>
      </c>
      <c r="AT140" s="432">
        <f t="shared" ref="AT140" si="480">AT144/AT$137</f>
        <v>0.65</v>
      </c>
      <c r="AV140" s="423">
        <v>0.65</v>
      </c>
      <c r="AW140" s="423">
        <v>0.65</v>
      </c>
      <c r="AX140" s="432">
        <f t="shared" ref="AX140" si="481">AX144/AX$137</f>
        <v>0.65</v>
      </c>
      <c r="AZ140" s="423">
        <v>0.65</v>
      </c>
      <c r="BA140" s="423">
        <v>0.65</v>
      </c>
      <c r="BB140" s="432">
        <f t="shared" ref="BB140" si="482">BB144/BB$137</f>
        <v>0.65</v>
      </c>
      <c r="BD140" s="423">
        <v>0.65</v>
      </c>
      <c r="BE140" s="423">
        <v>0.65</v>
      </c>
      <c r="BF140" s="432">
        <f t="shared" ref="BF140" si="483">BF144/BF$137</f>
        <v>0.65</v>
      </c>
      <c r="BH140" s="423">
        <v>0.65</v>
      </c>
      <c r="BI140" s="423">
        <v>0.65</v>
      </c>
      <c r="BJ140" s="432">
        <f t="shared" ref="BJ140" si="484">BJ144/BJ$137</f>
        <v>0.65</v>
      </c>
      <c r="BL140" s="423">
        <v>0.65</v>
      </c>
      <c r="BM140" s="423">
        <v>0.65</v>
      </c>
      <c r="BN140" s="432">
        <f t="shared" ref="BN140" si="485">BN144/BN$137</f>
        <v>0.65</v>
      </c>
      <c r="BP140" s="423">
        <v>0.65</v>
      </c>
      <c r="BQ140" s="423">
        <v>0.65</v>
      </c>
      <c r="BR140" s="432">
        <f t="shared" ref="BR140" si="486">BR144/BR$137</f>
        <v>0.65</v>
      </c>
      <c r="BT140" s="423">
        <v>0.65</v>
      </c>
      <c r="BU140" s="423">
        <v>0.65</v>
      </c>
      <c r="BV140" s="432">
        <f t="shared" ref="BV140:BV142" si="487">BV144/BV$137</f>
        <v>0.65</v>
      </c>
      <c r="BX140" s="423">
        <v>0.65</v>
      </c>
      <c r="BY140" s="423">
        <v>0.65</v>
      </c>
      <c r="BZ140" s="432">
        <f t="shared" ref="BZ140:BZ142" si="488">BZ144/BZ$137</f>
        <v>0.65</v>
      </c>
    </row>
    <row r="141" spans="1:78">
      <c r="B141" s="132" t="s">
        <v>187</v>
      </c>
      <c r="AF141" s="423"/>
      <c r="AG141" s="423"/>
      <c r="AH141" s="432"/>
      <c r="AJ141" s="423"/>
      <c r="AK141" s="850"/>
      <c r="AL141" s="432"/>
      <c r="AN141" s="423"/>
      <c r="AO141" s="850"/>
      <c r="AP141" s="432"/>
      <c r="AR141" s="423">
        <v>0.3</v>
      </c>
      <c r="AS141" s="423">
        <v>0.3</v>
      </c>
      <c r="AT141" s="432">
        <f t="shared" ref="AT141" si="489">AT145/AT$137</f>
        <v>0.3</v>
      </c>
      <c r="AV141" s="423">
        <v>0.3</v>
      </c>
      <c r="AW141" s="423">
        <v>0.3</v>
      </c>
      <c r="AX141" s="432">
        <f t="shared" ref="AX141" si="490">AX145/AX$137</f>
        <v>0.3</v>
      </c>
      <c r="AZ141" s="423">
        <v>0.3</v>
      </c>
      <c r="BA141" s="423">
        <v>0.3</v>
      </c>
      <c r="BB141" s="432">
        <f t="shared" ref="BB141" si="491">BB145/BB$137</f>
        <v>0.3</v>
      </c>
      <c r="BD141" s="423">
        <v>0.3</v>
      </c>
      <c r="BE141" s="423">
        <v>0.3</v>
      </c>
      <c r="BF141" s="432">
        <f t="shared" ref="BF141" si="492">BF145/BF$137</f>
        <v>0.3</v>
      </c>
      <c r="BH141" s="423">
        <v>0.3</v>
      </c>
      <c r="BI141" s="423">
        <v>0.3</v>
      </c>
      <c r="BJ141" s="432">
        <f t="shared" ref="BJ141" si="493">BJ145/BJ$137</f>
        <v>0.3</v>
      </c>
      <c r="BL141" s="423">
        <v>0.3</v>
      </c>
      <c r="BM141" s="423">
        <v>0.3</v>
      </c>
      <c r="BN141" s="432">
        <f t="shared" ref="BN141" si="494">BN145/BN$137</f>
        <v>0.3</v>
      </c>
      <c r="BP141" s="423">
        <v>0.3</v>
      </c>
      <c r="BQ141" s="423">
        <v>0.3</v>
      </c>
      <c r="BR141" s="432">
        <f t="shared" ref="BR141" si="495">BR145/BR$137</f>
        <v>0.3</v>
      </c>
      <c r="BT141" s="423">
        <v>0.3</v>
      </c>
      <c r="BU141" s="423">
        <v>0.3</v>
      </c>
      <c r="BV141" s="432">
        <f t="shared" si="487"/>
        <v>0.3</v>
      </c>
      <c r="BX141" s="423">
        <v>0.3</v>
      </c>
      <c r="BY141" s="423">
        <v>0.3</v>
      </c>
      <c r="BZ141" s="432">
        <f t="shared" si="488"/>
        <v>0.3</v>
      </c>
    </row>
    <row r="142" spans="1:78">
      <c r="B142" s="132" t="s">
        <v>188</v>
      </c>
      <c r="C142" s="133" t="s">
        <v>39</v>
      </c>
      <c r="AF142" s="436"/>
      <c r="AG142" s="436"/>
      <c r="AH142" s="432"/>
      <c r="AJ142" s="436"/>
      <c r="AK142" s="436"/>
      <c r="AL142" s="432"/>
      <c r="AN142" s="436"/>
      <c r="AO142" s="436"/>
      <c r="AP142" s="432"/>
      <c r="AR142" s="436">
        <f t="shared" ref="AR142:AS142" si="496">100%-AR140-AR141</f>
        <v>4.9999999999999989E-2</v>
      </c>
      <c r="AS142" s="436">
        <f t="shared" si="496"/>
        <v>4.9999999999999989E-2</v>
      </c>
      <c r="AT142" s="432">
        <f t="shared" ref="AT142" si="497">AT146/AT$137</f>
        <v>4.9999999999999989E-2</v>
      </c>
      <c r="AV142" s="436">
        <f t="shared" ref="AV142:AW142" si="498">100%-AV140-AV141</f>
        <v>4.9999999999999989E-2</v>
      </c>
      <c r="AW142" s="436">
        <f t="shared" si="498"/>
        <v>4.9999999999999989E-2</v>
      </c>
      <c r="AX142" s="432">
        <f t="shared" ref="AX142" si="499">AX146/AX$137</f>
        <v>4.9999999999999989E-2</v>
      </c>
      <c r="AZ142" s="436">
        <f t="shared" ref="AZ142:BA142" si="500">100%-AZ140-AZ141</f>
        <v>4.9999999999999989E-2</v>
      </c>
      <c r="BA142" s="436">
        <f t="shared" si="500"/>
        <v>4.9999999999999989E-2</v>
      </c>
      <c r="BB142" s="432">
        <f t="shared" ref="BB142" si="501">BB146/BB$137</f>
        <v>4.9999999999999989E-2</v>
      </c>
      <c r="BD142" s="436">
        <f t="shared" ref="BD142:BE142" si="502">100%-BD140-BD141</f>
        <v>4.9999999999999989E-2</v>
      </c>
      <c r="BE142" s="436">
        <f t="shared" si="502"/>
        <v>4.9999999999999989E-2</v>
      </c>
      <c r="BF142" s="432">
        <f t="shared" ref="BF142" si="503">BF146/BF$137</f>
        <v>4.9999999999999989E-2</v>
      </c>
      <c r="BH142" s="436">
        <f t="shared" ref="BH142:BI142" si="504">100%-BH140-BH141</f>
        <v>4.9999999999999989E-2</v>
      </c>
      <c r="BI142" s="436">
        <f t="shared" si="504"/>
        <v>4.9999999999999989E-2</v>
      </c>
      <c r="BJ142" s="432">
        <f t="shared" ref="BJ142" si="505">BJ146/BJ$137</f>
        <v>4.9999999999999989E-2</v>
      </c>
      <c r="BL142" s="436">
        <f t="shared" ref="BL142:BM142" si="506">100%-BL140-BL141</f>
        <v>4.9999999999999989E-2</v>
      </c>
      <c r="BM142" s="436">
        <f t="shared" si="506"/>
        <v>4.9999999999999989E-2</v>
      </c>
      <c r="BN142" s="432">
        <f t="shared" ref="BN142" si="507">BN146/BN$137</f>
        <v>4.9999999999999989E-2</v>
      </c>
      <c r="BP142" s="436">
        <f t="shared" ref="BP142:BQ142" si="508">100%-BP140-BP141</f>
        <v>4.9999999999999989E-2</v>
      </c>
      <c r="BQ142" s="436">
        <f t="shared" si="508"/>
        <v>4.9999999999999989E-2</v>
      </c>
      <c r="BR142" s="432">
        <f t="shared" ref="BR142" si="509">BR146/BR$137</f>
        <v>4.9999999999999989E-2</v>
      </c>
      <c r="BT142" s="436">
        <f t="shared" ref="BT142:BU142" si="510">100%-BT140-BT141</f>
        <v>4.9999999999999989E-2</v>
      </c>
      <c r="BU142" s="436">
        <f t="shared" si="510"/>
        <v>4.9999999999999989E-2</v>
      </c>
      <c r="BV142" s="432">
        <f t="shared" si="487"/>
        <v>4.9999999999999989E-2</v>
      </c>
      <c r="BX142" s="436">
        <f t="shared" ref="BX142:BY142" si="511">100%-BX140-BX141</f>
        <v>4.9999999999999989E-2</v>
      </c>
      <c r="BY142" s="436">
        <f t="shared" si="511"/>
        <v>4.9999999999999989E-2</v>
      </c>
      <c r="BZ142" s="432">
        <f t="shared" si="488"/>
        <v>4.9999999999999989E-2</v>
      </c>
    </row>
    <row r="143" spans="1:78">
      <c r="AF143" s="433"/>
      <c r="AG143" s="433"/>
      <c r="AK143" s="849"/>
      <c r="AO143" s="849"/>
    </row>
    <row r="144" spans="1:78">
      <c r="B144" s="134" t="s">
        <v>431</v>
      </c>
      <c r="C144" s="135" t="s">
        <v>406</v>
      </c>
      <c r="P144" s="135"/>
      <c r="Q144" s="135"/>
      <c r="R144" s="135"/>
      <c r="S144" s="135"/>
      <c r="T144" s="135"/>
      <c r="U144" s="135"/>
      <c r="V144" s="135"/>
      <c r="W144" s="135"/>
      <c r="X144" s="135"/>
      <c r="Y144" s="135"/>
      <c r="Z144" s="135"/>
      <c r="AA144" s="135"/>
      <c r="AB144" s="135"/>
      <c r="AC144" s="135"/>
      <c r="AD144" s="135"/>
      <c r="AE144" s="135"/>
      <c r="AF144" s="232"/>
      <c r="AG144" s="232"/>
      <c r="AH144" s="232"/>
      <c r="AI144" s="135"/>
      <c r="AJ144" s="232"/>
      <c r="AK144" s="323"/>
      <c r="AL144" s="232"/>
      <c r="AM144" s="135"/>
      <c r="AN144" s="232"/>
      <c r="AO144" s="323"/>
      <c r="AP144" s="232"/>
      <c r="AQ144" s="313"/>
      <c r="AR144" s="232">
        <f t="shared" ref="AR144:AS144" si="512">+AR140*AR$137</f>
        <v>-1.3541823749999999</v>
      </c>
      <c r="AS144" s="232">
        <f t="shared" si="512"/>
        <v>-1.34497025</v>
      </c>
      <c r="AT144" s="232">
        <f t="shared" ref="AT144:AT146" si="513">+AR144+AS144</f>
        <v>-2.699152625</v>
      </c>
      <c r="AU144" s="135"/>
      <c r="AV144" s="232">
        <f t="shared" ref="AV144:AW144" si="514">+AV140*AV$137</f>
        <v>-1.371869655</v>
      </c>
      <c r="AW144" s="232">
        <f t="shared" si="514"/>
        <v>-1.371869655</v>
      </c>
      <c r="AX144" s="232">
        <f t="shared" ref="AX144:AX146" si="515">+AV144+AW144</f>
        <v>-2.74373931</v>
      </c>
      <c r="AY144" s="135"/>
      <c r="AZ144" s="232">
        <f t="shared" ref="AZ144:BA144" si="516">+AZ140*AZ$137</f>
        <v>-1.3993070480999998</v>
      </c>
      <c r="BA144" s="232">
        <f t="shared" si="516"/>
        <v>-1.3993070480999998</v>
      </c>
      <c r="BB144" s="232">
        <f t="shared" ref="BB144:BB146" si="517">+AZ144+BA144</f>
        <v>-2.7986140961999997</v>
      </c>
      <c r="BC144" s="135"/>
      <c r="BD144" s="232">
        <f t="shared" ref="BD144:BE144" si="518">+BD140*BD$137</f>
        <v>-1.4272931890620002</v>
      </c>
      <c r="BE144" s="232">
        <f t="shared" si="518"/>
        <v>-1.4272931890620002</v>
      </c>
      <c r="BF144" s="232">
        <f t="shared" ref="BF144:BF146" si="519">+BD144+BE144</f>
        <v>-2.8545863781240004</v>
      </c>
      <c r="BG144" s="135"/>
      <c r="BH144" s="232">
        <f t="shared" ref="BH144:BI144" si="520">+BH140*BH$137</f>
        <v>-1.4558390528432399</v>
      </c>
      <c r="BI144" s="232">
        <f t="shared" si="520"/>
        <v>-1.4558390528432399</v>
      </c>
      <c r="BJ144" s="232">
        <f t="shared" ref="BJ144:BJ146" si="521">+BH144+BI144</f>
        <v>-2.9116781056864798</v>
      </c>
      <c r="BK144" s="135"/>
      <c r="BL144" s="232">
        <f t="shared" ref="BL144:BM144" si="522">+BL140*BL$137</f>
        <v>-1.484955833900105</v>
      </c>
      <c r="BM144" s="232">
        <f t="shared" si="522"/>
        <v>-1.484955833900105</v>
      </c>
      <c r="BN144" s="232">
        <f t="shared" ref="BN144:BN146" si="523">+BL144+BM144</f>
        <v>-2.96991166780021</v>
      </c>
      <c r="BO144" s="135"/>
      <c r="BP144" s="232">
        <f t="shared" ref="BP144:BQ144" si="524">+BP140*BP$137</f>
        <v>-1.5146549505781071</v>
      </c>
      <c r="BQ144" s="232">
        <f t="shared" si="524"/>
        <v>-1.5146549505781071</v>
      </c>
      <c r="BR144" s="232">
        <f t="shared" ref="BR144:BR146" si="525">+BP144+BQ144</f>
        <v>-3.0293099011562141</v>
      </c>
      <c r="BS144" s="135"/>
      <c r="BT144" s="232">
        <f t="shared" ref="BT144:BU144" si="526">+BT140*BT$137</f>
        <v>-1.544948049589669</v>
      </c>
      <c r="BU144" s="232">
        <f t="shared" si="526"/>
        <v>-1.544948049589669</v>
      </c>
      <c r="BV144" s="232">
        <f t="shared" ref="BV144:BV146" si="527">+BT144+BU144</f>
        <v>-3.0898960991793381</v>
      </c>
      <c r="BW144" s="135"/>
      <c r="BX144" s="232">
        <f t="shared" ref="BX144:BY144" si="528">+BX140*BX$137</f>
        <v>-1.5758470105814628</v>
      </c>
      <c r="BY144" s="232">
        <f t="shared" si="528"/>
        <v>-1.5758470105814628</v>
      </c>
      <c r="BZ144" s="232">
        <f t="shared" ref="BZ144:BZ146" si="529">+BX144+BY144</f>
        <v>-3.1516940211629256</v>
      </c>
    </row>
    <row r="145" spans="1:78">
      <c r="B145" s="134" t="s">
        <v>432</v>
      </c>
      <c r="C145" s="135"/>
      <c r="P145" s="135"/>
      <c r="Q145" s="135"/>
      <c r="R145" s="135"/>
      <c r="S145" s="135"/>
      <c r="T145" s="135"/>
      <c r="U145" s="135"/>
      <c r="V145" s="135"/>
      <c r="W145" s="135"/>
      <c r="X145" s="135"/>
      <c r="Y145" s="135"/>
      <c r="Z145" s="135"/>
      <c r="AA145" s="135"/>
      <c r="AB145" s="135"/>
      <c r="AC145" s="135"/>
      <c r="AD145" s="135"/>
      <c r="AE145" s="135"/>
      <c r="AF145" s="232"/>
      <c r="AG145" s="232"/>
      <c r="AH145" s="232"/>
      <c r="AI145" s="135"/>
      <c r="AJ145" s="232"/>
      <c r="AK145" s="232"/>
      <c r="AL145" s="232"/>
      <c r="AM145" s="135"/>
      <c r="AN145" s="232"/>
      <c r="AO145" s="232"/>
      <c r="AP145" s="232"/>
      <c r="AQ145" s="313"/>
      <c r="AR145" s="232">
        <f t="shared" ref="AR145:AS145" si="530">+AR141*AR$137</f>
        <v>-0.62500725000000001</v>
      </c>
      <c r="AS145" s="232">
        <f t="shared" si="530"/>
        <v>-0.62075550000000002</v>
      </c>
      <c r="AT145" s="232">
        <f t="shared" si="513"/>
        <v>-1.2457627499999999</v>
      </c>
      <c r="AU145" s="135"/>
      <c r="AV145" s="232">
        <f t="shared" ref="AV145:AW145" si="531">+AV141*AV$137</f>
        <v>-0.63317060999999997</v>
      </c>
      <c r="AW145" s="232">
        <f t="shared" si="531"/>
        <v>-0.63317060999999997</v>
      </c>
      <c r="AX145" s="232">
        <f t="shared" si="515"/>
        <v>-1.2663412199999999</v>
      </c>
      <c r="AY145" s="135"/>
      <c r="AZ145" s="232">
        <f t="shared" ref="AZ145:BA145" si="532">+AZ141*AZ$137</f>
        <v>-0.64583402219999997</v>
      </c>
      <c r="BA145" s="232">
        <f t="shared" si="532"/>
        <v>-0.64583402219999997</v>
      </c>
      <c r="BB145" s="232">
        <f t="shared" si="517"/>
        <v>-1.2916680443999999</v>
      </c>
      <c r="BC145" s="135"/>
      <c r="BD145" s="232">
        <f t="shared" ref="BD145:BE145" si="533">+BD141*BD$137</f>
        <v>-0.65875070264400004</v>
      </c>
      <c r="BE145" s="232">
        <f t="shared" si="533"/>
        <v>-0.65875070264400004</v>
      </c>
      <c r="BF145" s="232">
        <f t="shared" si="519"/>
        <v>-1.3175014052880001</v>
      </c>
      <c r="BG145" s="135"/>
      <c r="BH145" s="232">
        <f t="shared" ref="BH145:BI145" si="534">+BH141*BH$137</f>
        <v>-0.67192571669687995</v>
      </c>
      <c r="BI145" s="232">
        <f t="shared" si="534"/>
        <v>-0.67192571669687995</v>
      </c>
      <c r="BJ145" s="232">
        <f t="shared" si="521"/>
        <v>-1.3438514333937599</v>
      </c>
      <c r="BK145" s="135"/>
      <c r="BL145" s="232">
        <f t="shared" ref="BL145:BM145" si="535">+BL141*BL$137</f>
        <v>-0.68536423103081756</v>
      </c>
      <c r="BM145" s="232">
        <f t="shared" si="535"/>
        <v>-0.68536423103081756</v>
      </c>
      <c r="BN145" s="232">
        <f t="shared" si="523"/>
        <v>-1.3707284620616351</v>
      </c>
      <c r="BO145" s="135"/>
      <c r="BP145" s="232">
        <f t="shared" ref="BP145:BQ145" si="536">+BP141*BP$137</f>
        <v>-0.69907151565143399</v>
      </c>
      <c r="BQ145" s="232">
        <f t="shared" si="536"/>
        <v>-0.69907151565143399</v>
      </c>
      <c r="BR145" s="232">
        <f t="shared" si="525"/>
        <v>-1.398143031302868</v>
      </c>
      <c r="BS145" s="135"/>
      <c r="BT145" s="232">
        <f t="shared" ref="BT145:BU145" si="537">+BT141*BT$137</f>
        <v>-0.71305294596446267</v>
      </c>
      <c r="BU145" s="232">
        <f t="shared" si="537"/>
        <v>-0.71305294596446267</v>
      </c>
      <c r="BV145" s="232">
        <f t="shared" si="527"/>
        <v>-1.4261058919289253</v>
      </c>
      <c r="BW145" s="135"/>
      <c r="BX145" s="232">
        <f t="shared" ref="BX145:BY145" si="538">+BX141*BX$137</f>
        <v>-0.72731400488375197</v>
      </c>
      <c r="BY145" s="232">
        <f t="shared" si="538"/>
        <v>-0.72731400488375197</v>
      </c>
      <c r="BZ145" s="232">
        <f t="shared" si="529"/>
        <v>-1.4546280097675039</v>
      </c>
    </row>
    <row r="146" spans="1:78">
      <c r="B146" s="134" t="s">
        <v>433</v>
      </c>
      <c r="C146" s="135" t="s">
        <v>406</v>
      </c>
      <c r="P146" s="135"/>
      <c r="Q146" s="135"/>
      <c r="R146" s="135"/>
      <c r="S146" s="135"/>
      <c r="T146" s="135"/>
      <c r="U146" s="135"/>
      <c r="V146" s="135"/>
      <c r="W146" s="135"/>
      <c r="X146" s="135"/>
      <c r="Y146" s="135"/>
      <c r="Z146" s="135"/>
      <c r="AA146" s="135"/>
      <c r="AB146" s="135"/>
      <c r="AC146" s="135"/>
      <c r="AD146" s="135"/>
      <c r="AE146" s="135"/>
      <c r="AF146" s="232"/>
      <c r="AG146" s="232"/>
      <c r="AH146" s="232"/>
      <c r="AI146" s="135"/>
      <c r="AJ146" s="232"/>
      <c r="AK146" s="232"/>
      <c r="AL146" s="232"/>
      <c r="AM146" s="135"/>
      <c r="AN146" s="232"/>
      <c r="AO146" s="232"/>
      <c r="AP146" s="232"/>
      <c r="AQ146" s="313"/>
      <c r="AR146" s="232">
        <f t="shared" ref="AR146:AS146" si="539">+AR142*AR$137</f>
        <v>-0.10416787499999998</v>
      </c>
      <c r="AS146" s="232">
        <f t="shared" si="539"/>
        <v>-0.10345924999999997</v>
      </c>
      <c r="AT146" s="232">
        <f t="shared" si="513"/>
        <v>-0.20762712499999997</v>
      </c>
      <c r="AU146" s="135"/>
      <c r="AV146" s="232">
        <f t="shared" ref="AV146:AW146" si="540">+AV142*AV$137</f>
        <v>-0.10552843499999998</v>
      </c>
      <c r="AW146" s="232">
        <f t="shared" si="540"/>
        <v>-0.10552843499999998</v>
      </c>
      <c r="AX146" s="232">
        <f t="shared" si="515"/>
        <v>-0.21105686999999995</v>
      </c>
      <c r="AY146" s="135"/>
      <c r="AZ146" s="232">
        <f t="shared" ref="AZ146:BA146" si="541">+AZ142*AZ$137</f>
        <v>-0.10763900369999997</v>
      </c>
      <c r="BA146" s="232">
        <f t="shared" si="541"/>
        <v>-0.10763900369999997</v>
      </c>
      <c r="BB146" s="232">
        <f t="shared" si="517"/>
        <v>-0.21527800739999994</v>
      </c>
      <c r="BC146" s="135"/>
      <c r="BD146" s="232">
        <f t="shared" ref="BD146:BE146" si="542">+BD142*BD$137</f>
        <v>-0.10979178377399998</v>
      </c>
      <c r="BE146" s="232">
        <f t="shared" si="542"/>
        <v>-0.10979178377399998</v>
      </c>
      <c r="BF146" s="232">
        <f t="shared" si="519"/>
        <v>-0.21958356754799996</v>
      </c>
      <c r="BG146" s="135"/>
      <c r="BH146" s="232">
        <f t="shared" ref="BH146:BI146" si="543">+BH142*BH$137</f>
        <v>-0.11198761944947996</v>
      </c>
      <c r="BI146" s="232">
        <f t="shared" si="543"/>
        <v>-0.11198761944947996</v>
      </c>
      <c r="BJ146" s="232">
        <f t="shared" si="521"/>
        <v>-0.22397523889895993</v>
      </c>
      <c r="BK146" s="135"/>
      <c r="BL146" s="232">
        <f t="shared" ref="BL146:BM146" si="544">+BL142*BL$137</f>
        <v>-0.11422737183846958</v>
      </c>
      <c r="BM146" s="232">
        <f t="shared" si="544"/>
        <v>-0.11422737183846958</v>
      </c>
      <c r="BN146" s="232">
        <f t="shared" si="523"/>
        <v>-0.22845474367693916</v>
      </c>
      <c r="BO146" s="135"/>
      <c r="BP146" s="232">
        <f t="shared" ref="BP146:BQ146" si="545">+BP142*BP$137</f>
        <v>-0.11651191927523898</v>
      </c>
      <c r="BQ146" s="232">
        <f t="shared" si="545"/>
        <v>-0.11651191927523898</v>
      </c>
      <c r="BR146" s="232">
        <f t="shared" si="525"/>
        <v>-0.23302383855047795</v>
      </c>
      <c r="BS146" s="135"/>
      <c r="BT146" s="232">
        <f t="shared" ref="BT146:BU146" si="546">+BT142*BT$137</f>
        <v>-0.11884215766074374</v>
      </c>
      <c r="BU146" s="232">
        <f t="shared" si="546"/>
        <v>-0.11884215766074374</v>
      </c>
      <c r="BV146" s="232">
        <f t="shared" si="527"/>
        <v>-0.23768431532148748</v>
      </c>
      <c r="BW146" s="135"/>
      <c r="BX146" s="232">
        <f t="shared" ref="BX146:BY146" si="547">+BX142*BX$137</f>
        <v>-0.12121900081395864</v>
      </c>
      <c r="BY146" s="232">
        <f t="shared" si="547"/>
        <v>-0.12121900081395864</v>
      </c>
      <c r="BZ146" s="232">
        <f t="shared" si="529"/>
        <v>-0.24243800162791729</v>
      </c>
    </row>
    <row r="147" spans="1:78">
      <c r="A147" s="133"/>
    </row>
    <row r="148" spans="1:78">
      <c r="A148" s="133"/>
      <c r="B148" s="284" t="s">
        <v>493</v>
      </c>
      <c r="C148" s="139" t="s">
        <v>39</v>
      </c>
      <c r="P148" s="437"/>
      <c r="Q148" s="437"/>
      <c r="R148" s="437"/>
      <c r="S148" s="139"/>
      <c r="T148" s="437"/>
      <c r="U148" s="437"/>
      <c r="V148" s="437"/>
      <c r="W148" s="139"/>
      <c r="X148" s="437"/>
      <c r="Y148" s="437"/>
      <c r="Z148" s="437"/>
      <c r="AA148" s="139"/>
      <c r="AB148" s="437"/>
      <c r="AC148" s="437"/>
      <c r="AD148" s="437"/>
      <c r="AE148" s="139"/>
      <c r="AF148" s="437"/>
      <c r="AG148" s="442"/>
      <c r="AH148" s="442"/>
      <c r="AI148" s="139"/>
      <c r="AJ148" s="442"/>
      <c r="AK148" s="442"/>
      <c r="AL148" s="442"/>
      <c r="AM148" s="139"/>
      <c r="AN148" s="442"/>
      <c r="AO148" s="442"/>
      <c r="AP148" s="442"/>
      <c r="AQ148" s="139"/>
      <c r="AR148" s="442">
        <f>Scenarios!AF12</f>
        <v>0.375</v>
      </c>
      <c r="AS148" s="442">
        <f>Scenarios!AG12</f>
        <v>0.38750000000000001</v>
      </c>
      <c r="AT148" s="442">
        <f>Scenarios!AH12</f>
        <v>0.38129093395301228</v>
      </c>
      <c r="AU148" s="139"/>
      <c r="AV148" s="442">
        <f>Scenarios!AJ12</f>
        <v>0.38</v>
      </c>
      <c r="AW148" s="442">
        <f>Scenarios!AK12</f>
        <v>0.39250000000000002</v>
      </c>
      <c r="AX148" s="442">
        <f>Scenarios!AL12</f>
        <v>0.38629646375820403</v>
      </c>
      <c r="AY148" s="139"/>
      <c r="AZ148" s="442">
        <f>Scenarios!AN12</f>
        <v>0.38500000000000001</v>
      </c>
      <c r="BA148" s="442">
        <f>Scenarios!AO12</f>
        <v>0.39800000000000002</v>
      </c>
      <c r="BB148" s="442">
        <f>Scenarios!AP12</f>
        <v>0.3915540251452343</v>
      </c>
      <c r="BC148" s="139"/>
      <c r="BD148" s="442">
        <f>Scenarios!AR12</f>
        <v>0.38500000000000001</v>
      </c>
      <c r="BE148" s="442">
        <f>Scenarios!AS12</f>
        <v>0.39800000000000002</v>
      </c>
      <c r="BF148" s="442">
        <f>Scenarios!AT12</f>
        <v>0.39155967004683495</v>
      </c>
      <c r="BG148" s="139"/>
      <c r="BH148" s="442">
        <f>Scenarios!AV12</f>
        <v>0.38500000000000001</v>
      </c>
      <c r="BI148" s="442">
        <f>Scenarios!AW12</f>
        <v>0.39800000000000002</v>
      </c>
      <c r="BJ148" s="442">
        <f>Scenarios!AX12</f>
        <v>0.39156525507111195</v>
      </c>
      <c r="BK148" s="139"/>
      <c r="BL148" s="442">
        <f>Scenarios!AZ12</f>
        <v>0.38500000000000001</v>
      </c>
      <c r="BM148" s="442">
        <f>Scenarios!BA12</f>
        <v>0.39800000000000002</v>
      </c>
      <c r="BN148" s="442">
        <f>Scenarios!BB12</f>
        <v>0.39157077836787596</v>
      </c>
      <c r="BO148" s="139"/>
      <c r="BP148" s="442">
        <f>Scenarios!BD12</f>
        <v>0.38500000000000001</v>
      </c>
      <c r="BQ148" s="442">
        <f>Scenarios!BE12</f>
        <v>0.39800000000000002</v>
      </c>
      <c r="BR148" s="442">
        <f>Scenarios!BF12</f>
        <v>0.39157623818138182</v>
      </c>
      <c r="BS148" s="139"/>
      <c r="BT148" s="442">
        <f>Scenarios!BH12</f>
        <v>0.38500000000000001</v>
      </c>
      <c r="BU148" s="442">
        <f>Scenarios!BI12</f>
        <v>0.39800000000000002</v>
      </c>
      <c r="BV148" s="442">
        <f>Scenarios!BJ12</f>
        <v>0.39158163285238873</v>
      </c>
      <c r="BW148" s="139"/>
      <c r="BX148" s="442">
        <f>Scenarios!BL12</f>
        <v>0.38500000000000001</v>
      </c>
      <c r="BY148" s="442">
        <f>Scenarios!BM12</f>
        <v>0.39800000000000002</v>
      </c>
      <c r="BZ148" s="442">
        <f>Scenarios!BN12</f>
        <v>0.39158696081987099</v>
      </c>
    </row>
    <row r="149" spans="1:78">
      <c r="A149" s="133"/>
      <c r="B149" s="284" t="s">
        <v>494</v>
      </c>
      <c r="C149" s="139" t="s">
        <v>39</v>
      </c>
      <c r="P149" s="437"/>
      <c r="Q149" s="437"/>
      <c r="R149" s="437"/>
      <c r="S149" s="139"/>
      <c r="T149" s="437"/>
      <c r="U149" s="437"/>
      <c r="V149" s="437"/>
      <c r="W149" s="139"/>
      <c r="X149" s="437"/>
      <c r="Y149" s="437"/>
      <c r="Z149" s="437"/>
      <c r="AA149" s="139"/>
      <c r="AB149" s="437"/>
      <c r="AC149" s="437"/>
      <c r="AD149" s="437"/>
      <c r="AE149" s="139"/>
      <c r="AF149" s="437"/>
      <c r="AG149" s="442"/>
      <c r="AH149" s="442"/>
      <c r="AI149" s="139"/>
      <c r="AJ149" s="442"/>
      <c r="AK149" s="442"/>
      <c r="AL149" s="442"/>
      <c r="AM149" s="139"/>
      <c r="AN149" s="442"/>
      <c r="AO149" s="442"/>
      <c r="AP149" s="442"/>
      <c r="AQ149" s="139"/>
      <c r="AR149" s="442">
        <f>Scenarios!AF22</f>
        <v>0.41199999999999998</v>
      </c>
      <c r="AS149" s="442">
        <f>Scenarios!AG22</f>
        <v>0.47499999999999998</v>
      </c>
      <c r="AT149" s="442">
        <f>Scenarios!AH22</f>
        <v>0.44451263581774647</v>
      </c>
      <c r="AU149" s="139"/>
      <c r="AV149" s="442">
        <f>Scenarios!AJ22</f>
        <v>0.41499999999999998</v>
      </c>
      <c r="AW149" s="442">
        <f>Scenarios!AK22</f>
        <v>0.47499999999999998</v>
      </c>
      <c r="AX149" s="442">
        <f>Scenarios!AL22</f>
        <v>0.44604242759934165</v>
      </c>
      <c r="AY149" s="139"/>
      <c r="AZ149" s="442">
        <f>Scenarios!AN22</f>
        <v>0.42</v>
      </c>
      <c r="BA149" s="442">
        <f>Scenarios!AO22</f>
        <v>0.48</v>
      </c>
      <c r="BB149" s="442">
        <f>Scenarios!AP22</f>
        <v>0.45110815620043987</v>
      </c>
      <c r="BC149" s="139"/>
      <c r="BD149" s="442">
        <f>Scenarios!AR22</f>
        <v>0.42</v>
      </c>
      <c r="BE149" s="442">
        <f>Scenarios!AS22</f>
        <v>0.48</v>
      </c>
      <c r="BF149" s="442">
        <f>Scenarios!AT22</f>
        <v>0.45116353191349823</v>
      </c>
      <c r="BG149" s="139"/>
      <c r="BH149" s="442">
        <f>Scenarios!AV22</f>
        <v>0.42</v>
      </c>
      <c r="BI149" s="442">
        <f>Scenarios!AW22</f>
        <v>0.48</v>
      </c>
      <c r="BJ149" s="442">
        <f>Scenarios!AX22</f>
        <v>0.45121906593964806</v>
      </c>
      <c r="BK149" s="139"/>
      <c r="BL149" s="442">
        <f>Scenarios!AZ22</f>
        <v>0.42</v>
      </c>
      <c r="BM149" s="442">
        <f>Scenarios!BA22</f>
        <v>0.48</v>
      </c>
      <c r="BN149" s="442">
        <f>Scenarios!BB22</f>
        <v>0.45127474941149454</v>
      </c>
      <c r="BO149" s="139"/>
      <c r="BP149" s="442">
        <f>Scenarios!BD22</f>
        <v>0.42</v>
      </c>
      <c r="BQ149" s="442">
        <f>Scenarios!BE22</f>
        <v>0.48</v>
      </c>
      <c r="BR149" s="442">
        <f>Scenarios!BF22</f>
        <v>0.45133057334202181</v>
      </c>
      <c r="BS149" s="139"/>
      <c r="BT149" s="442">
        <f>Scenarios!BH22</f>
        <v>0.42</v>
      </c>
      <c r="BU149" s="442">
        <f>Scenarios!BI22</f>
        <v>0.48</v>
      </c>
      <c r="BV149" s="442">
        <f>Scenarios!BJ22</f>
        <v>0.45138652863015105</v>
      </c>
      <c r="BW149" s="139"/>
      <c r="BX149" s="442">
        <f>Scenarios!BL22</f>
        <v>0.42</v>
      </c>
      <c r="BY149" s="442">
        <f>Scenarios!BM22</f>
        <v>0.48</v>
      </c>
      <c r="BZ149" s="442">
        <f>Scenarios!BN22</f>
        <v>0.45144260606648756</v>
      </c>
    </row>
    <row r="150" spans="1:78">
      <c r="A150" s="133"/>
      <c r="B150" s="284" t="s">
        <v>495</v>
      </c>
      <c r="C150" s="139" t="s">
        <v>39</v>
      </c>
      <c r="P150" s="437"/>
      <c r="Q150" s="437"/>
      <c r="R150" s="437"/>
      <c r="S150" s="139"/>
      <c r="T150" s="437"/>
      <c r="U150" s="437"/>
      <c r="V150" s="437"/>
      <c r="W150" s="139"/>
      <c r="X150" s="437"/>
      <c r="Y150" s="437"/>
      <c r="Z150" s="437"/>
      <c r="AA150" s="139"/>
      <c r="AB150" s="437"/>
      <c r="AC150" s="437"/>
      <c r="AD150" s="437"/>
      <c r="AE150" s="139"/>
      <c r="AF150" s="437"/>
      <c r="AG150" s="442"/>
      <c r="AH150" s="442"/>
      <c r="AI150" s="139"/>
      <c r="AJ150" s="442"/>
      <c r="AK150" s="442"/>
      <c r="AL150" s="442"/>
      <c r="AM150" s="139"/>
      <c r="AN150" s="442"/>
      <c r="AO150" s="442"/>
      <c r="AP150" s="442"/>
      <c r="AQ150" s="139"/>
      <c r="AR150" s="442">
        <f>Scenarios!AF27</f>
        <v>0.34</v>
      </c>
      <c r="AS150" s="442">
        <f>Scenarios!AG27</f>
        <v>0.35</v>
      </c>
      <c r="AT150" s="442">
        <f>Scenarios!AH27</f>
        <v>0.34498036653306202</v>
      </c>
      <c r="AU150" s="139"/>
      <c r="AV150" s="442">
        <f>Scenarios!AJ27</f>
        <v>0.35</v>
      </c>
      <c r="AW150" s="442">
        <f>Scenarios!AK27</f>
        <v>0.36</v>
      </c>
      <c r="AX150" s="442">
        <f>Scenarios!AL27</f>
        <v>0.35498444404952634</v>
      </c>
      <c r="AY150" s="139"/>
      <c r="AZ150" s="442">
        <f>Scenarios!AN27</f>
        <v>0.35499999999999998</v>
      </c>
      <c r="BA150" s="442">
        <f>Scenarios!AO27</f>
        <v>0.36499999999999999</v>
      </c>
      <c r="BB150" s="442">
        <f>Scenarios!AP27</f>
        <v>0.35998839743454242</v>
      </c>
      <c r="BC150" s="139"/>
      <c r="BD150" s="442">
        <f>Scenarios!AR27</f>
        <v>0.35499999999999998</v>
      </c>
      <c r="BE150" s="442">
        <f>Scenarios!AS27</f>
        <v>0.36499999999999999</v>
      </c>
      <c r="BF150" s="442">
        <f>Scenarios!AT27</f>
        <v>0.35999223738073588</v>
      </c>
      <c r="BG150" s="139"/>
      <c r="BH150" s="442">
        <f>Scenarios!AV27</f>
        <v>0.35499999999999998</v>
      </c>
      <c r="BI150" s="442">
        <f>Scenarios!AW27</f>
        <v>0.36499999999999999</v>
      </c>
      <c r="BJ150" s="442">
        <f>Scenarios!AX27</f>
        <v>0.35999596567433018</v>
      </c>
      <c r="BK150" s="139"/>
      <c r="BL150" s="442">
        <f>Scenarios!AZ27</f>
        <v>0.35499999999999998</v>
      </c>
      <c r="BM150" s="442">
        <f>Scenarios!BA27</f>
        <v>0.36499999999999999</v>
      </c>
      <c r="BN150" s="442">
        <f>Scenarios!BB27</f>
        <v>0.35999958417581007</v>
      </c>
      <c r="BO150" s="139"/>
      <c r="BP150" s="442">
        <f>Scenarios!BD27</f>
        <v>0.35499999999999998</v>
      </c>
      <c r="BQ150" s="442">
        <f>Scenarios!BE27</f>
        <v>0.36499999999999999</v>
      </c>
      <c r="BR150" s="442">
        <f>Scenarios!BF27</f>
        <v>0.36000309481188797</v>
      </c>
      <c r="BS150" s="139"/>
      <c r="BT150" s="442">
        <f>Scenarios!BH27</f>
        <v>0.35499999999999998</v>
      </c>
      <c r="BU150" s="442">
        <f>Scenarios!BI27</f>
        <v>0.36499999999999999</v>
      </c>
      <c r="BV150" s="442">
        <f>Scenarios!BJ27</f>
        <v>0.36000649956770825</v>
      </c>
      <c r="BW150" s="139"/>
      <c r="BX150" s="442">
        <f>Scenarios!BL27</f>
        <v>0.35499999999999998</v>
      </c>
      <c r="BY150" s="442">
        <f>Scenarios!BM27</f>
        <v>0.36499999999999999</v>
      </c>
      <c r="BZ150" s="442">
        <f>Scenarios!BN27</f>
        <v>0.36000980047931541</v>
      </c>
    </row>
    <row r="151" spans="1:78">
      <c r="A151" s="133"/>
    </row>
    <row r="152" spans="1:78">
      <c r="A152" s="133"/>
      <c r="B152" s="134" t="s">
        <v>496</v>
      </c>
      <c r="C152" s="135" t="s">
        <v>406</v>
      </c>
      <c r="P152" s="415"/>
      <c r="Q152" s="415"/>
      <c r="R152" s="415"/>
      <c r="S152" s="135"/>
      <c r="T152" s="415"/>
      <c r="U152" s="415"/>
      <c r="V152" s="415"/>
      <c r="W152" s="135"/>
      <c r="X152" s="415"/>
      <c r="Y152" s="415"/>
      <c r="Z152" s="415"/>
      <c r="AA152" s="135"/>
      <c r="AB152" s="415"/>
      <c r="AC152" s="415"/>
      <c r="AD152" s="415"/>
      <c r="AE152" s="135"/>
      <c r="AF152" s="415"/>
      <c r="AG152" s="415"/>
      <c r="AH152" s="415"/>
      <c r="AI152" s="135"/>
      <c r="AJ152" s="415"/>
      <c r="AK152" s="415"/>
      <c r="AL152" s="415"/>
      <c r="AM152" s="135"/>
      <c r="AN152" s="415"/>
      <c r="AO152" s="415"/>
      <c r="AP152" s="415"/>
      <c r="AQ152" s="135"/>
      <c r="AR152" s="415">
        <f t="shared" ref="AR152:AT152" si="548">+AR144/AR148</f>
        <v>-3.6111529999999998</v>
      </c>
      <c r="AS152" s="415">
        <f t="shared" si="548"/>
        <v>-3.4708909677419353</v>
      </c>
      <c r="AT152" s="415">
        <f t="shared" si="548"/>
        <v>-7.0789845355531726</v>
      </c>
      <c r="AU152" s="135"/>
      <c r="AV152" s="415">
        <f t="shared" ref="AV152:AX152" si="549">+AV144/AV148</f>
        <v>-3.610183302631579</v>
      </c>
      <c r="AW152" s="415">
        <f t="shared" si="549"/>
        <v>-3.4952093121019105</v>
      </c>
      <c r="AX152" s="415">
        <f t="shared" si="549"/>
        <v>-7.1026777809630657</v>
      </c>
      <c r="AY152" s="135"/>
      <c r="AZ152" s="415">
        <f t="shared" ref="AZ152:BB152" si="550">+AZ144/AZ148</f>
        <v>-3.634563761298701</v>
      </c>
      <c r="BA152" s="415">
        <f t="shared" si="550"/>
        <v>-3.5158468545226125</v>
      </c>
      <c r="BB152" s="415">
        <f t="shared" si="550"/>
        <v>-7.1474532669200483</v>
      </c>
      <c r="BC152" s="135"/>
      <c r="BD152" s="415">
        <f t="shared" ref="BD152:BF152" si="551">+BD144/BD148</f>
        <v>-3.7072550365246757</v>
      </c>
      <c r="BE152" s="415">
        <f t="shared" si="551"/>
        <v>-3.5861637916130658</v>
      </c>
      <c r="BF152" s="415">
        <f t="shared" si="551"/>
        <v>-7.2902972305154909</v>
      </c>
      <c r="BG152" s="135"/>
      <c r="BH152" s="415">
        <f t="shared" ref="BH152:BJ152" si="552">+BH144/BH148</f>
        <v>-3.7814001372551687</v>
      </c>
      <c r="BI152" s="415">
        <f t="shared" si="552"/>
        <v>-3.6578870674453263</v>
      </c>
      <c r="BJ152" s="415">
        <f t="shared" si="552"/>
        <v>-7.4359971115355767</v>
      </c>
      <c r="BK152" s="135"/>
      <c r="BL152" s="415">
        <f t="shared" ref="BL152:BN152" si="553">+BL144/BL148</f>
        <v>-3.8570281400002728</v>
      </c>
      <c r="BM152" s="415">
        <f t="shared" si="553"/>
        <v>-3.7310448087942336</v>
      </c>
      <c r="BN152" s="415">
        <f t="shared" si="553"/>
        <v>-7.5846100676338368</v>
      </c>
      <c r="BO152" s="135"/>
      <c r="BP152" s="415">
        <f t="shared" ref="BP152:BR152" si="554">+BP144/BP148</f>
        <v>-3.9341687028002781</v>
      </c>
      <c r="BQ152" s="415">
        <f t="shared" si="554"/>
        <v>-3.8056657049701181</v>
      </c>
      <c r="BR152" s="415">
        <f t="shared" si="554"/>
        <v>-7.7361944004196932</v>
      </c>
      <c r="BS152" s="135"/>
      <c r="BT152" s="415">
        <f t="shared" ref="BT152:BV152" si="555">+BT144/BT148</f>
        <v>-4.0128520768562828</v>
      </c>
      <c r="BU152" s="415">
        <f t="shared" si="555"/>
        <v>-3.8817790190695201</v>
      </c>
      <c r="BV152" s="415">
        <f t="shared" si="555"/>
        <v>-7.8908095782523855</v>
      </c>
      <c r="BW152" s="135"/>
      <c r="BX152" s="415">
        <f t="shared" ref="BX152:BZ152" si="556">+BX144/BX148</f>
        <v>-4.0931091183934099</v>
      </c>
      <c r="BY152" s="415">
        <f t="shared" si="556"/>
        <v>-3.9594145994509113</v>
      </c>
      <c r="BZ152" s="415">
        <f t="shared" si="556"/>
        <v>-8.0485162594897961</v>
      </c>
    </row>
    <row r="153" spans="1:78">
      <c r="A153" s="133"/>
      <c r="B153" s="438" t="s">
        <v>414</v>
      </c>
      <c r="C153" s="133" t="s">
        <v>39</v>
      </c>
      <c r="P153" s="527"/>
      <c r="Q153" s="527"/>
      <c r="R153" s="527"/>
      <c r="T153" s="527"/>
      <c r="U153" s="527"/>
      <c r="V153" s="527"/>
      <c r="X153" s="527"/>
      <c r="Y153" s="527"/>
      <c r="Z153" s="527"/>
      <c r="AB153" s="527"/>
      <c r="AC153" s="527"/>
      <c r="AD153" s="527"/>
      <c r="AF153" s="527"/>
      <c r="AG153" s="527"/>
      <c r="AH153" s="527"/>
      <c r="AJ153" s="527"/>
      <c r="AK153" s="527"/>
      <c r="AL153" s="527"/>
      <c r="AN153" s="527"/>
      <c r="AO153" s="527"/>
      <c r="AP153" s="527"/>
      <c r="AR153" s="527">
        <f>'P&amp;L'!AR220</f>
        <v>-1.1705520259319284E-2</v>
      </c>
      <c r="AS153" s="527">
        <f>'P&amp;L'!AS220</f>
        <v>-1.0912212151077847E-2</v>
      </c>
      <c r="AT153" s="527">
        <f>'P&amp;L'!AT220</f>
        <v>-1.1589009929212787E-2</v>
      </c>
      <c r="AV153" s="527">
        <f>'P&amp;L'!AV220</f>
        <v>-1.1208964551141263E-2</v>
      </c>
      <c r="AW153" s="527">
        <f>'P&amp;L'!AW220</f>
        <v>-1.0657718456740829E-2</v>
      </c>
      <c r="AX153" s="527">
        <f>'P&amp;L'!AX220</f>
        <v>-1.1099505142096257E-2</v>
      </c>
      <c r="AZ153" s="527">
        <f>'P&amp;L'!AZ220</f>
        <v>-1.0924626216653754E-2</v>
      </c>
      <c r="BA153" s="527">
        <f>'P&amp;L'!BA220</f>
        <v>-1.0391987690030696E-2</v>
      </c>
      <c r="BB153" s="527">
        <f>'P&amp;L'!BB220</f>
        <v>-1.0823369012817708E-2</v>
      </c>
      <c r="BD153" s="527">
        <f>'P&amp;L'!BD220</f>
        <v>-1.0782724247574788E-2</v>
      </c>
      <c r="BE153" s="527">
        <f>'P&amp;L'!BE220</f>
        <v>-1.0270017601767474E-2</v>
      </c>
      <c r="BF153" s="527">
        <f>'P&amp;L'!BF220</f>
        <v>-1.0692012041852196E-2</v>
      </c>
      <c r="BH153" s="527">
        <f>'P&amp;L'!BH220</f>
        <v>-1.0637795479248435E-2</v>
      </c>
      <c r="BI153" s="527">
        <f>'P&amp;L'!BI220</f>
        <v>-1.0146156962625441E-2</v>
      </c>
      <c r="BJ153" s="527">
        <f>'P&amp;L'!BJ220</f>
        <v>-1.0557330363878138E-2</v>
      </c>
      <c r="BL153" s="527">
        <f>'P&amp;L'!BL220</f>
        <v>-1.0491564884529417E-2</v>
      </c>
      <c r="BM153" s="527">
        <f>'P&amp;L'!BM220</f>
        <v>-1.0020532688886981E-2</v>
      </c>
      <c r="BN153" s="527">
        <f>'P&amp;L'!BN220</f>
        <v>-1.04210183210788E-2</v>
      </c>
      <c r="BP153" s="527">
        <f>'P&amp;L'!BP220</f>
        <v>-1.034417045875077E-2</v>
      </c>
      <c r="BQ153" s="527">
        <f>'P&amp;L'!BQ220</f>
        <v>-9.8932723413089878E-3</v>
      </c>
      <c r="BR153" s="527">
        <f>'P&amp;L'!BR220</f>
        <v>-1.0283210732635039E-2</v>
      </c>
      <c r="BT153" s="527">
        <f>'P&amp;L'!BT220</f>
        <v>-1.0195749191649523E-2</v>
      </c>
      <c r="BU153" s="527">
        <f>'P&amp;L'!BU220</f>
        <v>-9.7645038172745075E-3</v>
      </c>
      <c r="BV153" s="527">
        <f>'P&amp;L'!BV220</f>
        <v>-1.0144042243076612E-2</v>
      </c>
      <c r="BX153" s="527">
        <f>'P&amp;L'!BX220</f>
        <v>-1.0046436781149687E-2</v>
      </c>
      <c r="BY153" s="527">
        <f>'P&amp;L'!BY220</f>
        <v>-9.6343550478579995E-3</v>
      </c>
      <c r="BZ153" s="527">
        <f>'P&amp;L'!BZ220</f>
        <v>-1.0003647017001249E-2</v>
      </c>
    </row>
    <row r="154" spans="1:78">
      <c r="A154" s="133"/>
      <c r="B154" s="134" t="s">
        <v>497</v>
      </c>
      <c r="C154" s="135" t="s">
        <v>406</v>
      </c>
      <c r="P154" s="415"/>
      <c r="Q154" s="415"/>
      <c r="R154" s="415"/>
      <c r="S154" s="135"/>
      <c r="T154" s="415"/>
      <c r="U154" s="415"/>
      <c r="V154" s="415"/>
      <c r="W154" s="135"/>
      <c r="X154" s="415"/>
      <c r="Y154" s="415"/>
      <c r="Z154" s="415"/>
      <c r="AA154" s="135"/>
      <c r="AB154" s="415"/>
      <c r="AC154" s="415"/>
      <c r="AD154" s="415"/>
      <c r="AE154" s="135"/>
      <c r="AF154" s="415"/>
      <c r="AG154" s="415"/>
      <c r="AH154" s="415"/>
      <c r="AI154" s="135"/>
      <c r="AJ154" s="415"/>
      <c r="AK154" s="415"/>
      <c r="AL154" s="415"/>
      <c r="AM154" s="135"/>
      <c r="AN154" s="415"/>
      <c r="AO154" s="415"/>
      <c r="AP154" s="415"/>
      <c r="AQ154" s="135"/>
      <c r="AR154" s="415">
        <f t="shared" ref="AR154:AT154" si="557">+AR145/AR149</f>
        <v>-1.5170078883495146</v>
      </c>
      <c r="AS154" s="415">
        <f t="shared" si="557"/>
        <v>-1.3068536842105265</v>
      </c>
      <c r="AT154" s="415">
        <f t="shared" si="557"/>
        <v>-2.8025361927186521</v>
      </c>
      <c r="AU154" s="135"/>
      <c r="AV154" s="415">
        <f t="shared" ref="AV154:AX154" si="558">+AV145/AV149</f>
        <v>-1.5257123132530119</v>
      </c>
      <c r="AW154" s="415">
        <f t="shared" si="558"/>
        <v>-1.3329907578947369</v>
      </c>
      <c r="AX154" s="415">
        <f t="shared" si="558"/>
        <v>-2.8390600123302465</v>
      </c>
      <c r="AY154" s="135"/>
      <c r="AZ154" s="415">
        <f t="shared" ref="AZ154:BB154" si="559">+AZ145/AZ149</f>
        <v>-1.5377000528571427</v>
      </c>
      <c r="BA154" s="415">
        <f t="shared" si="559"/>
        <v>-1.34548754625</v>
      </c>
      <c r="BB154" s="415">
        <f t="shared" si="559"/>
        <v>-2.8633223023040975</v>
      </c>
      <c r="BC154" s="135"/>
      <c r="BD154" s="415">
        <f t="shared" ref="BD154:BF154" si="560">+BD145/BD149</f>
        <v>-1.5684540539142859</v>
      </c>
      <c r="BE154" s="415">
        <f t="shared" si="560"/>
        <v>-1.372397297175</v>
      </c>
      <c r="BF154" s="415">
        <f t="shared" si="560"/>
        <v>-2.9202302759271004</v>
      </c>
      <c r="BG154" s="135"/>
      <c r="BH154" s="415">
        <f t="shared" ref="BH154:BJ154" si="561">+BH145/BH149</f>
        <v>-1.5998231349925713</v>
      </c>
      <c r="BI154" s="415">
        <f t="shared" si="561"/>
        <v>-1.3998452431185</v>
      </c>
      <c r="BJ154" s="415">
        <f t="shared" si="561"/>
        <v>-2.9782682843758739</v>
      </c>
      <c r="BK154" s="135"/>
      <c r="BL154" s="415">
        <f t="shared" ref="BL154:BN154" si="562">+BL145/BL149</f>
        <v>-1.6318195976924228</v>
      </c>
      <c r="BM154" s="415">
        <f t="shared" si="562"/>
        <v>-1.4278421479808701</v>
      </c>
      <c r="BN154" s="415">
        <f t="shared" si="562"/>
        <v>-3.0374588071882953</v>
      </c>
      <c r="BO154" s="135"/>
      <c r="BP154" s="415">
        <f t="shared" ref="BP154:BR154" si="563">+BP145/BP149</f>
        <v>-1.6644559896462714</v>
      </c>
      <c r="BQ154" s="415">
        <f t="shared" si="563"/>
        <v>-1.4563989909404875</v>
      </c>
      <c r="BR154" s="415">
        <f t="shared" si="563"/>
        <v>-3.0978247738677882</v>
      </c>
      <c r="BS154" s="135"/>
      <c r="BT154" s="415">
        <f t="shared" ref="BT154:BV154" si="564">+BT145/BT149</f>
        <v>-1.6977451094391969</v>
      </c>
      <c r="BU154" s="415">
        <f t="shared" si="564"/>
        <v>-1.4855269707592973</v>
      </c>
      <c r="BV154" s="415">
        <f t="shared" si="564"/>
        <v>-3.1593895729604777</v>
      </c>
      <c r="BW154" s="135"/>
      <c r="BX154" s="415">
        <f t="shared" ref="BX154:BZ154" si="565">+BX145/BX149</f>
        <v>-1.731700011627981</v>
      </c>
      <c r="BY154" s="415">
        <f t="shared" si="565"/>
        <v>-1.5152375101744833</v>
      </c>
      <c r="BZ154" s="415">
        <f t="shared" si="565"/>
        <v>-3.2221770613145657</v>
      </c>
    </row>
    <row r="155" spans="1:78">
      <c r="A155" s="133"/>
      <c r="B155" s="438" t="s">
        <v>415</v>
      </c>
      <c r="C155" s="133" t="s">
        <v>39</v>
      </c>
      <c r="P155" s="422"/>
      <c r="Q155" s="422"/>
      <c r="R155" s="422"/>
      <c r="T155" s="422"/>
      <c r="U155" s="422"/>
      <c r="V155" s="422"/>
      <c r="X155" s="422"/>
      <c r="Y155" s="422"/>
      <c r="Z155" s="422"/>
      <c r="AB155" s="422"/>
      <c r="AC155" s="422"/>
      <c r="AD155" s="422"/>
      <c r="AF155" s="422"/>
      <c r="AG155" s="527"/>
      <c r="AH155" s="527"/>
      <c r="AJ155" s="527"/>
      <c r="AK155" s="527"/>
      <c r="AL155" s="527"/>
      <c r="AN155" s="527"/>
      <c r="AO155" s="527"/>
      <c r="AP155" s="527"/>
      <c r="AR155" s="527">
        <f>'P&amp;L'!AR301</f>
        <v>-1.3318769871374141E-2</v>
      </c>
      <c r="AS155" s="527">
        <f>'P&amp;L'!AS301</f>
        <v>-1.1292263753655288E-2</v>
      </c>
      <c r="AT155" s="527">
        <f>'P&amp;L'!AT301</f>
        <v>-1.2806628446984313E-2</v>
      </c>
      <c r="AV155" s="527">
        <f>'P&amp;L'!AV301</f>
        <v>-1.2393383911987228E-2</v>
      </c>
      <c r="AW155" s="527">
        <f>'P&amp;L'!AW301</f>
        <v>-1.0914878193734446E-2</v>
      </c>
      <c r="AX155" s="527">
        <f>'P&amp;L'!AX301</f>
        <v>-1.1969263854209142E-2</v>
      </c>
      <c r="AZ155" s="527">
        <f>'P&amp;L'!AZ301</f>
        <v>-1.1772663322475745E-2</v>
      </c>
      <c r="BA155" s="527">
        <f>'P&amp;L'!BA301</f>
        <v>-1.0601206760881965E-2</v>
      </c>
      <c r="BB155" s="527">
        <f>'P&amp;L'!BB301</f>
        <v>-1.1407622940959327E-2</v>
      </c>
      <c r="BD155" s="527">
        <f>'P&amp;L'!BD301</f>
        <v>-1.1503639649738001E-2</v>
      </c>
      <c r="BE155" s="527">
        <f>'P&amp;L'!BE301</f>
        <v>-1.0574483275839201E-2</v>
      </c>
      <c r="BF155" s="527">
        <f>'P&amp;L'!BF301</f>
        <v>-1.1170794929237976E-2</v>
      </c>
      <c r="BH155" s="527">
        <f>'P&amp;L'!BH301</f>
        <v>-1.1432647435762926E-2</v>
      </c>
      <c r="BI155" s="527">
        <f>'P&amp;L'!BI301</f>
        <v>-1.0546401527380901E-2</v>
      </c>
      <c r="BJ155" s="527">
        <f>'P&amp;L'!BJ301</f>
        <v>-1.1121478863269384E-2</v>
      </c>
      <c r="BL155" s="527">
        <f>'P&amp;L'!BL301</f>
        <v>-1.1360425747252942E-2</v>
      </c>
      <c r="BM155" s="527">
        <f>'P&amp;L'!BM301</f>
        <v>-1.0516974057600624E-2</v>
      </c>
      <c r="BN155" s="527">
        <f>'P&amp;L'!BN301</f>
        <v>-1.1070780028734123E-2</v>
      </c>
      <c r="BP155" s="527">
        <f>'P&amp;L'!BP301</f>
        <v>-1.1287011085978706E-2</v>
      </c>
      <c r="BQ155" s="527">
        <f>'P&amp;L'!BQ301</f>
        <v>-1.0486213959676445E-2</v>
      </c>
      <c r="BR155" s="527">
        <f>'P&amp;L'!BR301</f>
        <v>-1.1018723549655789E-2</v>
      </c>
      <c r="BT155" s="527">
        <f>'P&amp;L'!BT301</f>
        <v>-1.121244024356133E-2</v>
      </c>
      <c r="BU155" s="527">
        <f>'P&amp;L'!BU301</f>
        <v>-1.0454134869301702E-2</v>
      </c>
      <c r="BV155" s="527">
        <f>'P&amp;L'!BV301</f>
        <v>-1.0965335084040366E-2</v>
      </c>
      <c r="BX155" s="527">
        <f>'P&amp;L'!BX301</f>
        <v>-1.1136750267900787E-2</v>
      </c>
      <c r="BY155" s="527">
        <f>'P&amp;L'!BY301</f>
        <v>-1.0420750955763221E-2</v>
      </c>
      <c r="BZ155" s="527">
        <f>'P&amp;L'!BZ301</f>
        <v>-1.0910640801725964E-2</v>
      </c>
    </row>
    <row r="156" spans="1:78">
      <c r="A156" s="133"/>
      <c r="B156" s="134" t="s">
        <v>498</v>
      </c>
      <c r="C156" s="135" t="s">
        <v>406</v>
      </c>
      <c r="P156" s="415"/>
      <c r="Q156" s="415"/>
      <c r="R156" s="415"/>
      <c r="S156" s="135"/>
      <c r="T156" s="415"/>
      <c r="U156" s="415"/>
      <c r="V156" s="415"/>
      <c r="W156" s="135"/>
      <c r="X156" s="415"/>
      <c r="Y156" s="415"/>
      <c r="Z156" s="415"/>
      <c r="AA156" s="135"/>
      <c r="AB156" s="415"/>
      <c r="AC156" s="415"/>
      <c r="AD156" s="415"/>
      <c r="AE156" s="135"/>
      <c r="AF156" s="415"/>
      <c r="AG156" s="415"/>
      <c r="AH156" s="415"/>
      <c r="AI156" s="135"/>
      <c r="AJ156" s="415"/>
      <c r="AK156" s="415"/>
      <c r="AL156" s="415"/>
      <c r="AM156" s="135"/>
      <c r="AN156" s="415"/>
      <c r="AO156" s="415"/>
      <c r="AP156" s="415"/>
      <c r="AQ156" s="135"/>
      <c r="AR156" s="415">
        <f t="shared" ref="AR156:AT156" si="566">+AR146/AR150</f>
        <v>-0.3063761029411764</v>
      </c>
      <c r="AS156" s="415">
        <f t="shared" si="566"/>
        <v>-0.29559785714285708</v>
      </c>
      <c r="AT156" s="415">
        <f t="shared" si="566"/>
        <v>-0.60185200417804507</v>
      </c>
      <c r="AU156" s="135"/>
      <c r="AV156" s="415">
        <f t="shared" ref="AV156:AX156" si="567">+AV146/AV150</f>
        <v>-0.30150981428571422</v>
      </c>
      <c r="AW156" s="415">
        <f t="shared" si="567"/>
        <v>-0.29313454166666664</v>
      </c>
      <c r="AX156" s="415">
        <f t="shared" si="567"/>
        <v>-0.59455244740401625</v>
      </c>
      <c r="AY156" s="135"/>
      <c r="AZ156" s="415">
        <f t="shared" ref="AZ156:BB156" si="568">+AZ146/AZ150</f>
        <v>-0.30320846112676048</v>
      </c>
      <c r="BA156" s="415">
        <f t="shared" si="568"/>
        <v>-0.29490137999999994</v>
      </c>
      <c r="BB156" s="415">
        <f t="shared" si="568"/>
        <v>-0.59801373859318474</v>
      </c>
      <c r="BC156" s="135"/>
      <c r="BD156" s="415">
        <f t="shared" ref="BD156:BF156" si="569">+BD146/BD150</f>
        <v>-0.30927263034929575</v>
      </c>
      <c r="BE156" s="415">
        <f t="shared" si="569"/>
        <v>-0.30079940759999996</v>
      </c>
      <c r="BF156" s="415">
        <f t="shared" si="569"/>
        <v>-0.60996750692644364</v>
      </c>
      <c r="BG156" s="135"/>
      <c r="BH156" s="415">
        <f t="shared" ref="BH156:BJ156" si="570">+BH146/BH150</f>
        <v>-0.31545808295628158</v>
      </c>
      <c r="BI156" s="415">
        <f t="shared" si="570"/>
        <v>-0.3068153957519999</v>
      </c>
      <c r="BJ156" s="415">
        <f t="shared" si="570"/>
        <v>-0.6221604136019091</v>
      </c>
      <c r="BK156" s="135"/>
      <c r="BL156" s="415">
        <f t="shared" ref="BL156:BN156" si="571">+BL146/BL150</f>
        <v>-0.32176724461540729</v>
      </c>
      <c r="BM156" s="415">
        <f t="shared" si="571"/>
        <v>-0.31295170366703995</v>
      </c>
      <c r="BN156" s="415">
        <f t="shared" si="571"/>
        <v>-0.63459724321617705</v>
      </c>
      <c r="BO156" s="135"/>
      <c r="BP156" s="415">
        <f t="shared" ref="BP156:BR156" si="572">+BP146/BP150</f>
        <v>-0.32820258950771541</v>
      </c>
      <c r="BQ156" s="415">
        <f t="shared" si="572"/>
        <v>-0.31921073774038078</v>
      </c>
      <c r="BR156" s="415">
        <f t="shared" si="572"/>
        <v>-0.64728287592149636</v>
      </c>
      <c r="BS156" s="135"/>
      <c r="BT156" s="415">
        <f t="shared" ref="BT156:BV156" si="573">+BT146/BT150</f>
        <v>-0.3347666412978697</v>
      </c>
      <c r="BU156" s="415">
        <f t="shared" si="573"/>
        <v>-0.32559495249518833</v>
      </c>
      <c r="BV156" s="415">
        <f t="shared" si="573"/>
        <v>-0.66022228933893179</v>
      </c>
      <c r="BW156" s="135"/>
      <c r="BX156" s="415">
        <f t="shared" ref="BX156:BZ156" si="574">+BX146/BX150</f>
        <v>-0.34146197412382717</v>
      </c>
      <c r="BY156" s="415">
        <f t="shared" si="574"/>
        <v>-0.33210685154509217</v>
      </c>
      <c r="BZ156" s="415">
        <f t="shared" si="574"/>
        <v>-0.67342056051012067</v>
      </c>
    </row>
    <row r="157" spans="1:78">
      <c r="A157" s="133"/>
      <c r="B157" s="438" t="s">
        <v>416</v>
      </c>
      <c r="C157" s="133" t="s">
        <v>39</v>
      </c>
      <c r="P157" s="422"/>
      <c r="Q157" s="422"/>
      <c r="R157" s="422"/>
      <c r="T157" s="422"/>
      <c r="U157" s="422"/>
      <c r="V157" s="422"/>
      <c r="X157" s="422"/>
      <c r="Y157" s="422"/>
      <c r="Z157" s="422"/>
      <c r="AB157" s="422"/>
      <c r="AC157" s="422"/>
      <c r="AD157" s="422"/>
      <c r="AF157" s="422"/>
      <c r="AG157" s="527"/>
      <c r="AH157" s="527"/>
      <c r="AJ157" s="527"/>
      <c r="AK157" s="527"/>
      <c r="AL157" s="527"/>
      <c r="AN157" s="527"/>
      <c r="AO157" s="527"/>
      <c r="AP157" s="527"/>
      <c r="AR157" s="527">
        <f>'P&amp;L'!AR355</f>
        <v>-6.201945403667539E-3</v>
      </c>
      <c r="AS157" s="527">
        <f>'P&amp;L'!AS355</f>
        <v>-5.5636713183297021E-3</v>
      </c>
      <c r="AT157" s="527">
        <f>'P&amp;L'!AT355</f>
        <v>-6.1488657822679621E-3</v>
      </c>
      <c r="AV157" s="527">
        <f>'P&amp;L'!AV355</f>
        <v>-5.7205975464978218E-3</v>
      </c>
      <c r="AW157" s="527">
        <f>'P&amp;L'!AW355</f>
        <v>-5.310908176567191E-3</v>
      </c>
      <c r="AX157" s="527">
        <f>'P&amp;L'!AX355</f>
        <v>-5.6185452582522095E-3</v>
      </c>
      <c r="AZ157" s="527">
        <f>'P&amp;L'!AZ355</f>
        <v>-5.528368357900308E-3</v>
      </c>
      <c r="BA157" s="527">
        <f>'P&amp;L'!BA355</f>
        <v>-5.1405240797586377E-3</v>
      </c>
      <c r="BB157" s="527">
        <f>'P&amp;L'!BB355</f>
        <v>-5.4353497616237163E-3</v>
      </c>
      <c r="BD157" s="527">
        <f>'P&amp;L'!BD355</f>
        <v>-5.4167670878698185E-3</v>
      </c>
      <c r="BE157" s="527">
        <f>'P&amp;L'!BE355</f>
        <v>-5.0429094398498839E-3</v>
      </c>
      <c r="BF157" s="527">
        <f>'P&amp;L'!BF355</f>
        <v>-5.3298443565049751E-3</v>
      </c>
      <c r="BH157" s="527">
        <f>'P&amp;L'!BH355</f>
        <v>-5.3057800717965925E-3</v>
      </c>
      <c r="BI157" s="527">
        <f>'P&amp;L'!BI355</f>
        <v>-4.9457913974009157E-3</v>
      </c>
      <c r="BJ157" s="527">
        <f>'P&amp;L'!BJ355</f>
        <v>-5.2246429674027419E-3</v>
      </c>
      <c r="BL157" s="527">
        <f>'P&amp;L'!BL355</f>
        <v>-5.1958709042605918E-3</v>
      </c>
      <c r="BM157" s="527">
        <f>'P&amp;L'!BM355</f>
        <v>-4.8492425078810967E-3</v>
      </c>
      <c r="BN157" s="527">
        <f>'P&amp;L'!BN355</f>
        <v>-5.120223117032848E-3</v>
      </c>
      <c r="BP157" s="527">
        <f>'P&amp;L'!BP355</f>
        <v>-5.0870944410792004E-3</v>
      </c>
      <c r="BQ157" s="527">
        <f>'P&amp;L'!BQ355</f>
        <v>-4.7533316054431743E-3</v>
      </c>
      <c r="BR157" s="527">
        <f>'P&amp;L'!BR355</f>
        <v>-5.0166502594936446E-3</v>
      </c>
      <c r="BT157" s="527">
        <f>'P&amp;L'!BT355</f>
        <v>-4.9795016530388503E-3</v>
      </c>
      <c r="BU157" s="527">
        <f>'P&amp;L'!BU355</f>
        <v>-4.6581238005429281E-3</v>
      </c>
      <c r="BV157" s="527">
        <f>'P&amp;L'!BV355</f>
        <v>-4.9139859376975811E-3</v>
      </c>
      <c r="BX157" s="527">
        <f>'P&amp;L'!BX355</f>
        <v>-4.8731397000421886E-3</v>
      </c>
      <c r="BY157" s="527">
        <f>'P&amp;L'!BY355</f>
        <v>-4.5636804916243095E-3</v>
      </c>
      <c r="BZ157" s="527">
        <f>'P&amp;L'!BZ355</f>
        <v>-4.8122878217660486E-3</v>
      </c>
    </row>
    <row r="158" spans="1:78">
      <c r="A158" s="133"/>
      <c r="B158" s="142"/>
      <c r="AB158" s="422"/>
    </row>
    <row r="159" spans="1:78" ht="15.6">
      <c r="A159" s="133"/>
      <c r="B159" s="431" t="s">
        <v>417</v>
      </c>
    </row>
    <row r="160" spans="1:78">
      <c r="A160" s="133"/>
      <c r="B160" s="439" t="s">
        <v>418</v>
      </c>
    </row>
    <row r="161" spans="1:78">
      <c r="A161" s="133"/>
      <c r="B161" s="132" t="s">
        <v>419</v>
      </c>
      <c r="C161" s="133" t="s">
        <v>406</v>
      </c>
    </row>
    <row r="162" spans="1:78">
      <c r="A162" s="133"/>
      <c r="B162" s="440" t="s">
        <v>420</v>
      </c>
      <c r="C162" s="133" t="s">
        <v>39</v>
      </c>
      <c r="P162" s="436"/>
      <c r="Q162" s="436"/>
      <c r="R162" s="436"/>
      <c r="T162" s="436"/>
      <c r="U162" s="436"/>
      <c r="V162" s="436"/>
      <c r="X162" s="436"/>
      <c r="Y162" s="436"/>
      <c r="Z162" s="436"/>
      <c r="AB162" s="436"/>
      <c r="AC162" s="436"/>
      <c r="AD162" s="436"/>
      <c r="AF162" s="423"/>
      <c r="AG162" s="423"/>
      <c r="AH162" s="436"/>
      <c r="AJ162" s="423"/>
      <c r="AL162" s="436"/>
      <c r="AN162" s="423"/>
      <c r="AP162" s="436"/>
      <c r="AR162" s="423">
        <v>0.5</v>
      </c>
      <c r="AS162" s="423">
        <v>0.5</v>
      </c>
      <c r="AT162" s="436">
        <f>+AT163/AT117</f>
        <v>0.5</v>
      </c>
      <c r="AV162" s="423">
        <v>0.5</v>
      </c>
      <c r="AW162" s="423">
        <v>0.5</v>
      </c>
      <c r="AX162" s="436">
        <f>+AX163/AX117</f>
        <v>0.49999999999999989</v>
      </c>
      <c r="AZ162" s="423">
        <v>0.5</v>
      </c>
      <c r="BA162" s="423">
        <v>0.5</v>
      </c>
      <c r="BB162" s="436">
        <f>+BB163/BB117</f>
        <v>0.50000000000000011</v>
      </c>
      <c r="BD162" s="423">
        <v>0.5</v>
      </c>
      <c r="BE162" s="423">
        <v>0.5</v>
      </c>
      <c r="BF162" s="436">
        <f>+BF163/BF117</f>
        <v>0.5</v>
      </c>
      <c r="BH162" s="423">
        <v>0.5</v>
      </c>
      <c r="BI162" s="423">
        <v>0.5</v>
      </c>
      <c r="BJ162" s="436">
        <f>+BJ163/BJ117</f>
        <v>0.5</v>
      </c>
      <c r="BL162" s="423">
        <v>0.5</v>
      </c>
      <c r="BM162" s="423">
        <v>0.5</v>
      </c>
      <c r="BN162" s="436">
        <f>+BN163/BN117</f>
        <v>0.5</v>
      </c>
      <c r="BP162" s="423">
        <v>0.5</v>
      </c>
      <c r="BQ162" s="423">
        <v>0.5</v>
      </c>
      <c r="BR162" s="436">
        <f>+BR163/BR117</f>
        <v>0.5</v>
      </c>
      <c r="BT162" s="423">
        <v>0.5</v>
      </c>
      <c r="BU162" s="423">
        <v>0.5</v>
      </c>
      <c r="BV162" s="436">
        <f>+BV163/BV117</f>
        <v>0.50000000000000011</v>
      </c>
      <c r="BX162" s="423">
        <v>0.5</v>
      </c>
      <c r="BY162" s="423">
        <v>0.5</v>
      </c>
      <c r="BZ162" s="436">
        <f>+BZ163/BZ117</f>
        <v>0.49999999999999994</v>
      </c>
    </row>
    <row r="163" spans="1:78">
      <c r="B163" s="134" t="s">
        <v>421</v>
      </c>
      <c r="C163" s="135" t="s">
        <v>406</v>
      </c>
      <c r="P163" s="135"/>
      <c r="Q163" s="135"/>
      <c r="R163" s="135"/>
      <c r="S163" s="135"/>
      <c r="T163" s="135"/>
      <c r="U163" s="135"/>
      <c r="V163" s="135"/>
      <c r="W163" s="135"/>
      <c r="X163" s="135"/>
      <c r="Y163" s="135"/>
      <c r="Z163" s="135"/>
      <c r="AA163" s="135"/>
      <c r="AB163" s="135"/>
      <c r="AC163" s="135"/>
      <c r="AD163" s="135"/>
      <c r="AE163" s="135"/>
      <c r="AF163" s="232"/>
      <c r="AG163" s="232"/>
      <c r="AH163" s="232"/>
      <c r="AI163" s="135"/>
      <c r="AJ163" s="232"/>
      <c r="AL163" s="232"/>
      <c r="AM163" s="135"/>
      <c r="AN163" s="232"/>
      <c r="AP163" s="232"/>
      <c r="AQ163" s="135"/>
      <c r="AR163" s="232">
        <f>+AR162*AR117</f>
        <v>-10.4167875</v>
      </c>
      <c r="AS163" s="232">
        <f>+AS162*AS117</f>
        <v>-10.345924999999999</v>
      </c>
      <c r="AT163" s="232">
        <f t="shared" ref="AT163" si="575">+AR163+AS163</f>
        <v>-20.762712499999999</v>
      </c>
      <c r="AU163" s="135"/>
      <c r="AV163" s="232">
        <f>+AV162*AV117</f>
        <v>-10.5528435</v>
      </c>
      <c r="AW163" s="232">
        <f>+AW162*AW117</f>
        <v>-10.5528435</v>
      </c>
      <c r="AX163" s="232">
        <f t="shared" ref="AX163" si="576">+AV163+AW163</f>
        <v>-21.105687</v>
      </c>
      <c r="AY163" s="135"/>
      <c r="AZ163" s="232">
        <f>+AZ162*AZ117</f>
        <v>-10.76390037</v>
      </c>
      <c r="BA163" s="232">
        <f>+BA162*BA117</f>
        <v>-10.76390037</v>
      </c>
      <c r="BB163" s="232">
        <f t="shared" ref="BB163" si="577">+AZ163+BA163</f>
        <v>-21.52780074</v>
      </c>
      <c r="BC163" s="135"/>
      <c r="BD163" s="232">
        <f>+BD162*BD117</f>
        <v>-10.9791783774</v>
      </c>
      <c r="BE163" s="232">
        <f>+BE162*BE117</f>
        <v>-10.9791783774</v>
      </c>
      <c r="BF163" s="232">
        <f t="shared" ref="BF163" si="578">+BD163+BE163</f>
        <v>-21.9583567548</v>
      </c>
      <c r="BG163" s="135"/>
      <c r="BH163" s="232">
        <f>+BH162*BH117</f>
        <v>-11.198761944948</v>
      </c>
      <c r="BI163" s="232">
        <f>+BI162*BI117</f>
        <v>-11.198761944948</v>
      </c>
      <c r="BJ163" s="232">
        <f t="shared" ref="BJ163" si="579">+BH163+BI163</f>
        <v>-22.397523889896</v>
      </c>
      <c r="BK163" s="135"/>
      <c r="BL163" s="232">
        <f>+BL162*BL117</f>
        <v>-11.42273718384696</v>
      </c>
      <c r="BM163" s="232">
        <f>+BM162*BM117</f>
        <v>-11.42273718384696</v>
      </c>
      <c r="BN163" s="232">
        <f t="shared" ref="BN163" si="580">+BL163+BM163</f>
        <v>-22.845474367693921</v>
      </c>
      <c r="BO163" s="135"/>
      <c r="BP163" s="232">
        <f>+BP162*BP117</f>
        <v>-11.6511919275239</v>
      </c>
      <c r="BQ163" s="232">
        <f>+BQ162*BQ117</f>
        <v>-11.6511919275239</v>
      </c>
      <c r="BR163" s="232">
        <f t="shared" ref="BR163" si="581">+BP163+BQ163</f>
        <v>-23.3023838550478</v>
      </c>
      <c r="BS163" s="135"/>
      <c r="BT163" s="232">
        <f>+BT162*BT117</f>
        <v>-11.884215766074378</v>
      </c>
      <c r="BU163" s="232">
        <f>+BU162*BU117</f>
        <v>-11.884215766074378</v>
      </c>
      <c r="BV163" s="232">
        <f t="shared" ref="BV163" si="582">+BT163+BU163</f>
        <v>-23.768431532148757</v>
      </c>
      <c r="BW163" s="135"/>
      <c r="BX163" s="232">
        <f>+BX162*BX117</f>
        <v>-12.121900081395866</v>
      </c>
      <c r="BY163" s="232">
        <f>+BY162*BY117</f>
        <v>-12.121900081395866</v>
      </c>
      <c r="BZ163" s="232">
        <f t="shared" ref="BZ163" si="583">+BX163+BY163</f>
        <v>-24.243800162791732</v>
      </c>
    </row>
    <row r="164" spans="1:78">
      <c r="AF164" s="136"/>
      <c r="AG164" s="136"/>
      <c r="AH164" s="136"/>
      <c r="AJ164" s="136"/>
      <c r="AL164" s="136"/>
      <c r="AN164" s="136"/>
      <c r="AP164" s="136"/>
      <c r="AR164" s="136"/>
      <c r="AS164" s="136"/>
      <c r="AT164" s="136"/>
      <c r="AV164" s="136"/>
      <c r="AW164" s="136"/>
      <c r="AX164" s="136"/>
      <c r="AZ164" s="136"/>
      <c r="BA164" s="136"/>
      <c r="BB164" s="136"/>
      <c r="BD164" s="136"/>
      <c r="BE164" s="136"/>
      <c r="BF164" s="136"/>
      <c r="BH164" s="136"/>
      <c r="BI164" s="136"/>
      <c r="BJ164" s="136"/>
      <c r="BL164" s="136"/>
      <c r="BM164" s="136"/>
      <c r="BN164" s="136"/>
      <c r="BP164" s="136"/>
      <c r="BQ164" s="136"/>
      <c r="BR164" s="136"/>
      <c r="BT164" s="136"/>
      <c r="BU164" s="136"/>
      <c r="BV164" s="136"/>
      <c r="BX164" s="136"/>
      <c r="BY164" s="136"/>
      <c r="BZ164" s="136"/>
    </row>
    <row r="165" spans="1:78">
      <c r="B165" s="134" t="s">
        <v>422</v>
      </c>
      <c r="C165" s="135" t="s">
        <v>406</v>
      </c>
      <c r="P165" s="232"/>
      <c r="Q165" s="232"/>
      <c r="R165" s="232"/>
      <c r="S165" s="135"/>
      <c r="T165" s="232"/>
      <c r="U165" s="232"/>
      <c r="V165" s="232"/>
      <c r="W165" s="135"/>
      <c r="X165" s="232"/>
      <c r="Y165" s="232"/>
      <c r="Z165" s="232"/>
      <c r="AA165" s="135"/>
      <c r="AB165" s="232"/>
      <c r="AC165" s="232"/>
      <c r="AD165" s="232"/>
      <c r="AE165" s="135"/>
      <c r="AF165" s="232"/>
      <c r="AG165" s="232"/>
      <c r="AH165" s="232"/>
      <c r="AI165" s="135"/>
      <c r="AJ165" s="232"/>
      <c r="AL165" s="232"/>
      <c r="AM165" s="135"/>
      <c r="AN165" s="232"/>
      <c r="AP165" s="232"/>
      <c r="AQ165" s="135"/>
      <c r="AR165" s="232">
        <f>+AR117-AR163</f>
        <v>-10.4167875</v>
      </c>
      <c r="AS165" s="232">
        <f>+AS117-AS163</f>
        <v>-10.345924999999999</v>
      </c>
      <c r="AT165" s="232">
        <f>+AT117-AT163</f>
        <v>-20.762712499999999</v>
      </c>
      <c r="AU165" s="135"/>
      <c r="AV165" s="232">
        <f>+AV117-AV163</f>
        <v>-10.5528435</v>
      </c>
      <c r="AW165" s="232">
        <f>+AW117-AW163</f>
        <v>-10.5528435</v>
      </c>
      <c r="AX165" s="232">
        <f>+AX117-AX163</f>
        <v>-21.105687000000007</v>
      </c>
      <c r="AY165" s="135"/>
      <c r="AZ165" s="232">
        <f>+AZ117-AZ163</f>
        <v>-10.76390037</v>
      </c>
      <c r="BA165" s="232">
        <f>+BA117-BA163</f>
        <v>-10.76390037</v>
      </c>
      <c r="BB165" s="232">
        <f>+BB117-BB163</f>
        <v>-21.527800739999993</v>
      </c>
      <c r="BC165" s="135"/>
      <c r="BD165" s="232">
        <f>+BD117-BD163</f>
        <v>-10.9791783774</v>
      </c>
      <c r="BE165" s="232">
        <f>+BE117-BE163</f>
        <v>-10.9791783774</v>
      </c>
      <c r="BF165" s="232">
        <f>+BF117-BF163</f>
        <v>-21.9583567548</v>
      </c>
      <c r="BG165" s="135"/>
      <c r="BH165" s="232">
        <f>+BH117-BH163</f>
        <v>-11.198761944948</v>
      </c>
      <c r="BI165" s="232">
        <f>+BI117-BI163</f>
        <v>-11.198761944948</v>
      </c>
      <c r="BJ165" s="232">
        <f>+BJ117-BJ163</f>
        <v>-22.397523889896</v>
      </c>
      <c r="BK165" s="135"/>
      <c r="BL165" s="232">
        <f>+BL117-BL163</f>
        <v>-11.42273718384696</v>
      </c>
      <c r="BM165" s="232">
        <f>+BM117-BM163</f>
        <v>-11.42273718384696</v>
      </c>
      <c r="BN165" s="232">
        <f>+BN117-BN163</f>
        <v>-22.845474367693921</v>
      </c>
      <c r="BO165" s="135"/>
      <c r="BP165" s="232">
        <f>+BP117-BP163</f>
        <v>-11.6511919275239</v>
      </c>
      <c r="BQ165" s="232">
        <f>+BQ117-BQ163</f>
        <v>-11.6511919275239</v>
      </c>
      <c r="BR165" s="232">
        <f>+BR117-BR163</f>
        <v>-23.3023838550478</v>
      </c>
      <c r="BS165" s="135"/>
      <c r="BT165" s="232">
        <f>+BT117-BT163</f>
        <v>-11.884215766074378</v>
      </c>
      <c r="BU165" s="232">
        <f>+BU117-BU163</f>
        <v>-11.884215766074378</v>
      </c>
      <c r="BV165" s="232">
        <f>+BV117-BV163</f>
        <v>-23.76843153214875</v>
      </c>
      <c r="BW165" s="135"/>
      <c r="BX165" s="232">
        <f>+BX117-BX163</f>
        <v>-12.121900081395866</v>
      </c>
      <c r="BY165" s="232">
        <f>+BY117-BY163</f>
        <v>-12.121900081395866</v>
      </c>
      <c r="BZ165" s="232">
        <f>+BZ117-BZ163</f>
        <v>-24.243800162791739</v>
      </c>
    </row>
    <row r="166" spans="1:78" s="390" customFormat="1">
      <c r="A166" s="187"/>
      <c r="B166" s="421" t="s">
        <v>423</v>
      </c>
      <c r="C166" s="390" t="s">
        <v>39</v>
      </c>
      <c r="P166" s="139"/>
      <c r="Q166" s="139"/>
      <c r="R166" s="139"/>
      <c r="S166" s="139"/>
      <c r="T166" s="139"/>
      <c r="U166" s="139"/>
      <c r="V166" s="139"/>
      <c r="W166" s="139"/>
      <c r="X166" s="139"/>
      <c r="Y166" s="139"/>
      <c r="Z166" s="139"/>
      <c r="AA166" s="139"/>
      <c r="AB166" s="139"/>
      <c r="AC166" s="139"/>
      <c r="AD166" s="139"/>
      <c r="AE166" s="139"/>
      <c r="AF166" s="484"/>
      <c r="AG166" s="484"/>
      <c r="AH166" s="484"/>
      <c r="AI166" s="484"/>
      <c r="AJ166" s="484"/>
      <c r="AK166" s="133"/>
      <c r="AL166" s="484"/>
      <c r="AM166" s="139"/>
      <c r="AN166" s="484"/>
      <c r="AO166" s="133"/>
      <c r="AP166" s="484"/>
      <c r="AQ166" s="139"/>
      <c r="AR166" s="484">
        <v>0.2</v>
      </c>
      <c r="AS166" s="484">
        <v>0.2</v>
      </c>
      <c r="AT166" s="485"/>
      <c r="AU166" s="139"/>
      <c r="AV166" s="484">
        <v>0.1</v>
      </c>
      <c r="AW166" s="484">
        <v>0.1</v>
      </c>
      <c r="AX166" s="485"/>
      <c r="AY166" s="139"/>
      <c r="AZ166" s="484">
        <v>0.1</v>
      </c>
      <c r="BA166" s="484">
        <v>0.1</v>
      </c>
      <c r="BB166" s="485"/>
      <c r="BC166" s="139"/>
      <c r="BD166" s="484">
        <v>0.1</v>
      </c>
      <c r="BE166" s="484">
        <v>0.1</v>
      </c>
      <c r="BF166" s="485"/>
      <c r="BG166" s="139"/>
      <c r="BH166" s="484">
        <v>0.1</v>
      </c>
      <c r="BI166" s="484">
        <v>0.1</v>
      </c>
      <c r="BJ166" s="485"/>
      <c r="BK166" s="139"/>
      <c r="BL166" s="484">
        <v>0.1</v>
      </c>
      <c r="BM166" s="484">
        <v>0.1</v>
      </c>
      <c r="BN166" s="485"/>
      <c r="BO166" s="139"/>
      <c r="BP166" s="484">
        <v>0.1</v>
      </c>
      <c r="BQ166" s="484">
        <v>0.1</v>
      </c>
      <c r="BR166" s="485"/>
      <c r="BS166" s="139"/>
      <c r="BT166" s="484">
        <v>0.1</v>
      </c>
      <c r="BU166" s="484">
        <v>0.1</v>
      </c>
      <c r="BV166" s="485"/>
      <c r="BW166" s="139"/>
      <c r="BX166" s="484">
        <v>0.1</v>
      </c>
      <c r="BY166" s="484">
        <v>0.1</v>
      </c>
      <c r="BZ166" s="485"/>
    </row>
    <row r="167" spans="1:78" s="390" customFormat="1">
      <c r="A167" s="187"/>
      <c r="B167" s="421" t="s">
        <v>424</v>
      </c>
      <c r="C167" s="390" t="s">
        <v>39</v>
      </c>
      <c r="P167" s="139"/>
      <c r="Q167" s="139"/>
      <c r="R167" s="139"/>
      <c r="S167" s="139"/>
      <c r="T167" s="139"/>
      <c r="U167" s="139"/>
      <c r="V167" s="139"/>
      <c r="W167" s="139"/>
      <c r="X167" s="139"/>
      <c r="Y167" s="139"/>
      <c r="Z167" s="139"/>
      <c r="AA167" s="139"/>
      <c r="AB167" s="139"/>
      <c r="AC167" s="139"/>
      <c r="AD167" s="139"/>
      <c r="AE167" s="139"/>
      <c r="AF167" s="484"/>
      <c r="AG167" s="484"/>
      <c r="AH167" s="485"/>
      <c r="AI167" s="139"/>
      <c r="AJ167" s="484"/>
      <c r="AK167" s="133"/>
      <c r="AL167" s="485"/>
      <c r="AM167" s="139"/>
      <c r="AN167" s="484"/>
      <c r="AO167" s="133"/>
      <c r="AP167" s="485"/>
      <c r="AQ167" s="139"/>
      <c r="AR167" s="484">
        <v>0.2</v>
      </c>
      <c r="AS167" s="484">
        <v>0.2</v>
      </c>
      <c r="AT167" s="485"/>
      <c r="AU167" s="139"/>
      <c r="AV167" s="484">
        <v>0.2</v>
      </c>
      <c r="AW167" s="484">
        <v>0.2</v>
      </c>
      <c r="AX167" s="485"/>
      <c r="AY167" s="139"/>
      <c r="AZ167" s="484">
        <v>0.2</v>
      </c>
      <c r="BA167" s="484">
        <v>0.2</v>
      </c>
      <c r="BB167" s="485"/>
      <c r="BC167" s="139"/>
      <c r="BD167" s="484">
        <v>0.2</v>
      </c>
      <c r="BE167" s="484">
        <v>0.2</v>
      </c>
      <c r="BF167" s="485"/>
      <c r="BG167" s="139"/>
      <c r="BH167" s="484">
        <v>0.2</v>
      </c>
      <c r="BI167" s="484">
        <v>0.2</v>
      </c>
      <c r="BJ167" s="485"/>
      <c r="BK167" s="139"/>
      <c r="BL167" s="484">
        <v>0.2</v>
      </c>
      <c r="BM167" s="484">
        <v>0.2</v>
      </c>
      <c r="BN167" s="485"/>
      <c r="BO167" s="139"/>
      <c r="BP167" s="484">
        <v>0.2</v>
      </c>
      <c r="BQ167" s="484">
        <v>0.2</v>
      </c>
      <c r="BR167" s="485"/>
      <c r="BS167" s="139"/>
      <c r="BT167" s="484">
        <v>0.2</v>
      </c>
      <c r="BU167" s="484">
        <v>0.2</v>
      </c>
      <c r="BV167" s="485"/>
      <c r="BW167" s="139"/>
      <c r="BX167" s="484">
        <v>0.2</v>
      </c>
      <c r="BY167" s="484">
        <v>0.2</v>
      </c>
      <c r="BZ167" s="485"/>
    </row>
    <row r="168" spans="1:78" s="390" customFormat="1">
      <c r="A168" s="187"/>
      <c r="B168" s="421" t="s">
        <v>425</v>
      </c>
      <c r="C168" s="390" t="s">
        <v>39</v>
      </c>
      <c r="AF168" s="432"/>
      <c r="AG168" s="432"/>
      <c r="AJ168" s="432"/>
      <c r="AK168" s="432"/>
      <c r="AN168" s="432"/>
      <c r="AO168" s="432"/>
      <c r="AR168" s="432">
        <f t="shared" ref="AR168:AS168" si="584">100%-AR166-AR167</f>
        <v>0.60000000000000009</v>
      </c>
      <c r="AS168" s="432">
        <f t="shared" si="584"/>
        <v>0.60000000000000009</v>
      </c>
      <c r="AV168" s="432">
        <f t="shared" ref="AV168:AW168" si="585">100%-AV166-AV167</f>
        <v>0.7</v>
      </c>
      <c r="AW168" s="432">
        <f t="shared" si="585"/>
        <v>0.7</v>
      </c>
      <c r="AZ168" s="432">
        <f t="shared" ref="AZ168:BA168" si="586">100%-AZ166-AZ167</f>
        <v>0.7</v>
      </c>
      <c r="BA168" s="432">
        <f t="shared" si="586"/>
        <v>0.7</v>
      </c>
      <c r="BD168" s="432">
        <f t="shared" ref="BD168:BE168" si="587">100%-BD166-BD167</f>
        <v>0.7</v>
      </c>
      <c r="BE168" s="432">
        <f t="shared" si="587"/>
        <v>0.7</v>
      </c>
      <c r="BH168" s="432">
        <f t="shared" ref="BH168:BI168" si="588">100%-BH166-BH167</f>
        <v>0.7</v>
      </c>
      <c r="BI168" s="432">
        <f t="shared" si="588"/>
        <v>0.7</v>
      </c>
      <c r="BL168" s="432">
        <f t="shared" ref="BL168:BM168" si="589">100%-BL166-BL167</f>
        <v>0.7</v>
      </c>
      <c r="BM168" s="432">
        <f t="shared" si="589"/>
        <v>0.7</v>
      </c>
      <c r="BP168" s="432">
        <f t="shared" ref="BP168:BQ168" si="590">100%-BP166-BP167</f>
        <v>0.7</v>
      </c>
      <c r="BQ168" s="432">
        <f t="shared" si="590"/>
        <v>0.7</v>
      </c>
      <c r="BT168" s="432">
        <f t="shared" ref="BT168:BU168" si="591">100%-BT166-BT167</f>
        <v>0.7</v>
      </c>
      <c r="BU168" s="432">
        <f t="shared" si="591"/>
        <v>0.7</v>
      </c>
      <c r="BX168" s="432">
        <f t="shared" ref="BX168:BY168" si="592">100%-BX166-BX167</f>
        <v>0.7</v>
      </c>
      <c r="BY168" s="432">
        <f t="shared" si="592"/>
        <v>0.7</v>
      </c>
    </row>
    <row r="169" spans="1:78">
      <c r="B169" s="440" t="s">
        <v>423</v>
      </c>
      <c r="C169" s="133" t="s">
        <v>406</v>
      </c>
      <c r="AF169" s="436"/>
      <c r="AG169" s="486"/>
      <c r="AJ169" s="486"/>
      <c r="AK169" s="486"/>
      <c r="AN169" s="486"/>
      <c r="AO169" s="486"/>
      <c r="AR169" s="486">
        <f t="shared" ref="AR169:AS169" si="593">+AR$165*AR166</f>
        <v>-2.0833575</v>
      </c>
      <c r="AS169" s="486">
        <f t="shared" si="593"/>
        <v>-2.0691850000000001</v>
      </c>
      <c r="AV169" s="486">
        <f t="shared" ref="AV169:AW169" si="594">+AV$165*AV166</f>
        <v>-1.05528435</v>
      </c>
      <c r="AW169" s="486">
        <f t="shared" si="594"/>
        <v>-1.05528435</v>
      </c>
      <c r="AZ169" s="486">
        <f t="shared" ref="AZ169:BA169" si="595">+AZ$165*AZ166</f>
        <v>-1.0763900370000001</v>
      </c>
      <c r="BA169" s="486">
        <f t="shared" si="595"/>
        <v>-1.0763900370000001</v>
      </c>
      <c r="BD169" s="486">
        <f t="shared" ref="BD169:BE169" si="596">+BD$165*BD166</f>
        <v>-1.0979178377400001</v>
      </c>
      <c r="BE169" s="486">
        <f t="shared" si="596"/>
        <v>-1.0979178377400001</v>
      </c>
      <c r="BH169" s="486">
        <f t="shared" ref="BH169:BI169" si="597">+BH$165*BH166</f>
        <v>-1.1198761944948001</v>
      </c>
      <c r="BI169" s="486">
        <f t="shared" si="597"/>
        <v>-1.1198761944948001</v>
      </c>
      <c r="BL169" s="486">
        <f t="shared" ref="BL169:BM169" si="598">+BL$165*BL166</f>
        <v>-1.142273718384696</v>
      </c>
      <c r="BM169" s="486">
        <f t="shared" si="598"/>
        <v>-1.142273718384696</v>
      </c>
      <c r="BP169" s="486">
        <f t="shared" ref="BP169:BQ169" si="599">+BP$165*BP166</f>
        <v>-1.1651191927523901</v>
      </c>
      <c r="BQ169" s="486">
        <f t="shared" si="599"/>
        <v>-1.1651191927523901</v>
      </c>
      <c r="BT169" s="486">
        <f t="shared" ref="BT169:BU169" si="600">+BT$165*BT166</f>
        <v>-1.188421576607438</v>
      </c>
      <c r="BU169" s="486">
        <f t="shared" si="600"/>
        <v>-1.188421576607438</v>
      </c>
      <c r="BX169" s="486">
        <f t="shared" ref="BX169:BY169" si="601">+BX$165*BX166</f>
        <v>-1.2121900081395867</v>
      </c>
      <c r="BY169" s="486">
        <f t="shared" si="601"/>
        <v>-1.2121900081395867</v>
      </c>
    </row>
    <row r="170" spans="1:78">
      <c r="B170" s="440" t="s">
        <v>424</v>
      </c>
      <c r="C170" s="133" t="s">
        <v>406</v>
      </c>
      <c r="AF170" s="436"/>
      <c r="AG170" s="486"/>
      <c r="AJ170" s="486"/>
      <c r="AK170" s="486"/>
      <c r="AN170" s="486"/>
      <c r="AO170" s="486"/>
      <c r="AR170" s="486">
        <f t="shared" ref="AR170:AS170" si="602">+AR$165*AR167</f>
        <v>-2.0833575</v>
      </c>
      <c r="AS170" s="486">
        <f t="shared" si="602"/>
        <v>-2.0691850000000001</v>
      </c>
      <c r="AV170" s="486">
        <f t="shared" ref="AV170:AW170" si="603">+AV$165*AV167</f>
        <v>-2.1105687</v>
      </c>
      <c r="AW170" s="486">
        <f t="shared" si="603"/>
        <v>-2.1105687</v>
      </c>
      <c r="AZ170" s="486">
        <f t="shared" ref="AZ170:BA170" si="604">+AZ$165*AZ167</f>
        <v>-2.1527800740000003</v>
      </c>
      <c r="BA170" s="486">
        <f t="shared" si="604"/>
        <v>-2.1527800740000003</v>
      </c>
      <c r="BD170" s="486">
        <f t="shared" ref="BD170:BE170" si="605">+BD$165*BD167</f>
        <v>-2.1958356754800001</v>
      </c>
      <c r="BE170" s="486">
        <f t="shared" si="605"/>
        <v>-2.1958356754800001</v>
      </c>
      <c r="BH170" s="486">
        <f t="shared" ref="BH170:BI170" si="606">+BH$165*BH167</f>
        <v>-2.2397523889896003</v>
      </c>
      <c r="BI170" s="486">
        <f t="shared" si="606"/>
        <v>-2.2397523889896003</v>
      </c>
      <c r="BL170" s="486">
        <f t="shared" ref="BL170:BM170" si="607">+BL$165*BL167</f>
        <v>-2.2845474367693921</v>
      </c>
      <c r="BM170" s="486">
        <f t="shared" si="607"/>
        <v>-2.2845474367693921</v>
      </c>
      <c r="BP170" s="486">
        <f t="shared" ref="BP170:BQ170" si="608">+BP$165*BP167</f>
        <v>-2.3302383855047801</v>
      </c>
      <c r="BQ170" s="486">
        <f t="shared" si="608"/>
        <v>-2.3302383855047801</v>
      </c>
      <c r="BT170" s="486">
        <f t="shared" ref="BT170:BU170" si="609">+BT$165*BT167</f>
        <v>-2.3768431532148759</v>
      </c>
      <c r="BU170" s="486">
        <f t="shared" si="609"/>
        <v>-2.3768431532148759</v>
      </c>
      <c r="BX170" s="486">
        <f t="shared" ref="BX170:BY170" si="610">+BX$165*BX167</f>
        <v>-2.4243800162791733</v>
      </c>
      <c r="BY170" s="486">
        <f t="shared" si="610"/>
        <v>-2.4243800162791733</v>
      </c>
    </row>
    <row r="171" spans="1:78">
      <c r="B171" s="440" t="s">
        <v>425</v>
      </c>
      <c r="C171" s="133" t="s">
        <v>406</v>
      </c>
      <c r="AF171" s="436"/>
      <c r="AG171" s="486"/>
      <c r="AJ171" s="486"/>
      <c r="AK171" s="486"/>
      <c r="AN171" s="486"/>
      <c r="AO171" s="486"/>
      <c r="AR171" s="863">
        <f>+AR$165*AR168+AR173</f>
        <v>-6.2500725000000008</v>
      </c>
      <c r="AS171" s="863">
        <f>+AS$165*AS168+AS173</f>
        <v>-6.2075550000000002</v>
      </c>
      <c r="AV171" s="863">
        <f t="shared" ref="AV171:AW171" si="611">+AV$165*AV168+AV173</f>
        <v>-7.386990449999999</v>
      </c>
      <c r="AW171" s="863">
        <f t="shared" si="611"/>
        <v>-7.386990449999999</v>
      </c>
      <c r="AZ171" s="863">
        <f t="shared" ref="AZ171:BA171" si="612">+AZ$165*AZ168+AZ173</f>
        <v>-7.5347302589999998</v>
      </c>
      <c r="BA171" s="863">
        <f t="shared" si="612"/>
        <v>-7.5347302589999998</v>
      </c>
      <c r="BD171" s="863">
        <f t="shared" ref="BD171:BE171" si="613">+BD$165*BD168+BD173</f>
        <v>-7.6854248641799998</v>
      </c>
      <c r="BE171" s="863">
        <f t="shared" si="613"/>
        <v>-7.6854248641799998</v>
      </c>
      <c r="BH171" s="863">
        <f t="shared" ref="BH171:BI171" si="614">+BH$165*BH168+BH173</f>
        <v>-7.8391333614635998</v>
      </c>
      <c r="BI171" s="863">
        <f t="shared" si="614"/>
        <v>-7.8391333614635998</v>
      </c>
      <c r="BL171" s="863">
        <f t="shared" ref="BL171:BM171" si="615">+BL$165*BL168+BL173</f>
        <v>-7.9959160286928714</v>
      </c>
      <c r="BM171" s="863">
        <f t="shared" si="615"/>
        <v>-7.9959160286928714</v>
      </c>
      <c r="BP171" s="863">
        <f t="shared" ref="BP171:BQ171" si="616">+BP$165*BP168+BP173</f>
        <v>-8.1558343492667298</v>
      </c>
      <c r="BQ171" s="863">
        <f t="shared" si="616"/>
        <v>-8.1558343492667298</v>
      </c>
      <c r="BT171" s="863">
        <f t="shared" ref="BT171:BU171" si="617">+BT$165*BT168+BT173</f>
        <v>-8.3189510362520647</v>
      </c>
      <c r="BU171" s="863">
        <f t="shared" si="617"/>
        <v>-8.3189510362520647</v>
      </c>
      <c r="BX171" s="863">
        <f t="shared" ref="BX171:BY171" si="618">+BX$165*BX168+BX173</f>
        <v>-8.4853300569771051</v>
      </c>
      <c r="BY171" s="863">
        <f t="shared" si="618"/>
        <v>-8.4853300569771051</v>
      </c>
    </row>
    <row r="172" spans="1:78">
      <c r="B172" s="440"/>
      <c r="AF172" s="436"/>
      <c r="AG172" s="436"/>
      <c r="AJ172" s="436"/>
      <c r="AK172" s="436"/>
      <c r="AN172" s="436"/>
      <c r="AO172" s="436"/>
      <c r="AR172" s="436"/>
      <c r="AS172" s="436"/>
      <c r="AV172" s="436"/>
      <c r="AW172" s="436"/>
      <c r="AZ172" s="436"/>
      <c r="BA172" s="436"/>
      <c r="BD172" s="436"/>
      <c r="BE172" s="436"/>
      <c r="BH172" s="436"/>
      <c r="BI172" s="436"/>
      <c r="BL172" s="436"/>
      <c r="BM172" s="436"/>
      <c r="BP172" s="436"/>
      <c r="BQ172" s="436"/>
      <c r="BT172" s="436"/>
      <c r="BU172" s="436"/>
      <c r="BX172" s="436"/>
      <c r="BY172" s="436"/>
    </row>
    <row r="173" spans="1:78">
      <c r="B173" s="134" t="s">
        <v>707</v>
      </c>
      <c r="C173" s="135" t="s">
        <v>406</v>
      </c>
      <c r="AF173" s="436"/>
      <c r="AG173" s="436"/>
      <c r="AJ173" s="436"/>
      <c r="AK173" s="436"/>
      <c r="AN173" s="436"/>
      <c r="AO173" s="436"/>
      <c r="AR173" s="313">
        <v>0</v>
      </c>
      <c r="AS173" s="313">
        <v>0</v>
      </c>
      <c r="AT173" s="232">
        <f t="shared" ref="AT173" si="619">+AR173+AS173</f>
        <v>0</v>
      </c>
      <c r="AV173" s="313">
        <v>0</v>
      </c>
      <c r="AW173" s="313">
        <v>0</v>
      </c>
      <c r="AX173" s="232">
        <f t="shared" ref="AX173" si="620">+AV173+AW173</f>
        <v>0</v>
      </c>
      <c r="AZ173" s="313">
        <v>0</v>
      </c>
      <c r="BA173" s="313">
        <v>0</v>
      </c>
      <c r="BB173" s="232">
        <f t="shared" ref="BB173" si="621">+AZ173+BA173</f>
        <v>0</v>
      </c>
      <c r="BD173" s="313">
        <v>0</v>
      </c>
      <c r="BE173" s="313">
        <v>0</v>
      </c>
      <c r="BF173" s="232">
        <f t="shared" ref="BF173" si="622">+BD173+BE173</f>
        <v>0</v>
      </c>
      <c r="BH173" s="313">
        <v>0</v>
      </c>
      <c r="BI173" s="313">
        <v>0</v>
      </c>
      <c r="BJ173" s="232">
        <f t="shared" ref="BJ173" si="623">+BH173+BI173</f>
        <v>0</v>
      </c>
      <c r="BL173" s="313">
        <v>0</v>
      </c>
      <c r="BM173" s="313">
        <v>0</v>
      </c>
      <c r="BN173" s="232">
        <f t="shared" ref="BN173" si="624">+BL173+BM173</f>
        <v>0</v>
      </c>
      <c r="BP173" s="313">
        <v>0</v>
      </c>
      <c r="BQ173" s="313">
        <v>0</v>
      </c>
      <c r="BR173" s="232">
        <f t="shared" ref="BR173" si="625">+BP173+BQ173</f>
        <v>0</v>
      </c>
      <c r="BT173" s="313">
        <v>0</v>
      </c>
      <c r="BU173" s="313">
        <v>0</v>
      </c>
      <c r="BV173" s="232">
        <f t="shared" ref="BV173" si="626">+BT173+BU173</f>
        <v>0</v>
      </c>
      <c r="BX173" s="313">
        <v>0</v>
      </c>
      <c r="BY173" s="313">
        <v>0</v>
      </c>
      <c r="BZ173" s="232">
        <f t="shared" ref="BZ173" si="627">+BX173+BY173</f>
        <v>0</v>
      </c>
    </row>
    <row r="174" spans="1:78">
      <c r="B174" s="440"/>
      <c r="AF174" s="436"/>
      <c r="AG174" s="436"/>
      <c r="AJ174" s="436"/>
      <c r="AK174" s="436"/>
      <c r="AN174" s="436"/>
      <c r="AO174" s="436"/>
      <c r="AR174" s="436"/>
      <c r="AS174" s="436"/>
      <c r="AV174" s="436"/>
      <c r="AW174" s="436"/>
      <c r="AZ174" s="436"/>
      <c r="BA174" s="436"/>
      <c r="BD174" s="436"/>
      <c r="BE174" s="436"/>
      <c r="BH174" s="436"/>
      <c r="BI174" s="436"/>
      <c r="BL174" s="436"/>
      <c r="BM174" s="436"/>
      <c r="BP174" s="436"/>
      <c r="BQ174" s="436"/>
      <c r="BT174" s="436"/>
      <c r="BU174" s="436"/>
      <c r="BX174" s="436"/>
      <c r="BY174" s="436"/>
    </row>
    <row r="175" spans="1:78">
      <c r="B175" s="440"/>
    </row>
    <row r="176" spans="1:78" ht="21" hidden="1" outlineLevel="1">
      <c r="B176" s="379" t="s">
        <v>484</v>
      </c>
      <c r="C176" s="234"/>
      <c r="D176" s="234"/>
      <c r="E176" s="234"/>
      <c r="F176" s="234"/>
      <c r="G176" s="234"/>
      <c r="H176" s="234"/>
      <c r="I176" s="234"/>
      <c r="J176" s="234"/>
      <c r="K176" s="234"/>
      <c r="L176" s="234"/>
      <c r="M176" s="234"/>
      <c r="N176" s="234"/>
      <c r="O176" s="234"/>
      <c r="P176" s="234"/>
      <c r="Q176" s="234"/>
      <c r="R176" s="234"/>
      <c r="S176" s="234"/>
      <c r="T176" s="234"/>
      <c r="U176" s="234"/>
      <c r="V176" s="234"/>
      <c r="W176" s="234"/>
      <c r="X176" s="234"/>
      <c r="Y176" s="234"/>
      <c r="Z176" s="234"/>
      <c r="AA176" s="234"/>
      <c r="AB176" s="234"/>
      <c r="AC176" s="234"/>
      <c r="AD176" s="234"/>
      <c r="AE176" s="234"/>
      <c r="AF176" s="234"/>
      <c r="AG176" s="234"/>
      <c r="AH176" s="234"/>
      <c r="AI176" s="234"/>
      <c r="AJ176" s="234"/>
      <c r="AK176" s="234"/>
      <c r="AL176" s="234"/>
      <c r="AM176" s="234"/>
      <c r="AN176" s="234"/>
      <c r="AO176" s="234"/>
      <c r="AP176" s="234"/>
      <c r="AQ176" s="234"/>
      <c r="AR176" s="234"/>
      <c r="AS176" s="234"/>
      <c r="AT176" s="234"/>
      <c r="AU176" s="234"/>
      <c r="AV176" s="234"/>
      <c r="AW176" s="234"/>
      <c r="AX176" s="234"/>
      <c r="AY176" s="234"/>
      <c r="AZ176" s="234"/>
      <c r="BA176" s="234"/>
      <c r="BB176" s="234"/>
      <c r="BC176" s="234"/>
      <c r="BD176" s="234"/>
      <c r="BE176" s="234"/>
      <c r="BF176" s="234"/>
      <c r="BG176" s="234"/>
      <c r="BH176" s="234"/>
      <c r="BI176" s="234"/>
      <c r="BJ176" s="234"/>
      <c r="BK176" s="234"/>
      <c r="BL176" s="234"/>
      <c r="BM176" s="234"/>
      <c r="BN176" s="234"/>
      <c r="BO176" s="234"/>
      <c r="BP176" s="234"/>
      <c r="BQ176" s="234"/>
      <c r="BR176" s="234"/>
      <c r="BS176" s="234"/>
      <c r="BT176" s="234"/>
      <c r="BU176" s="234"/>
      <c r="BV176" s="234"/>
      <c r="BW176" s="234"/>
      <c r="BX176" s="234"/>
      <c r="BY176" s="234"/>
      <c r="BZ176" s="234"/>
    </row>
    <row r="177" spans="1:32" hidden="1" outlineLevel="1"/>
    <row r="178" spans="1:32" s="135" customFormat="1" hidden="1" outlineLevel="1">
      <c r="A178" s="209" t="s">
        <v>332</v>
      </c>
      <c r="B178" s="134" t="s">
        <v>203</v>
      </c>
      <c r="R178" s="140">
        <f>+R41</f>
        <v>-13.747999999999999</v>
      </c>
      <c r="T178" s="140">
        <f>+T41</f>
        <v>-1.44</v>
      </c>
      <c r="U178" s="140">
        <f>+U41</f>
        <v>-2.8759999999999999</v>
      </c>
      <c r="V178" s="140">
        <f>+V41</f>
        <v>-4.3159999999999998</v>
      </c>
      <c r="X178" s="140">
        <f>+X41</f>
        <v>-13.199</v>
      </c>
      <c r="Y178" s="140">
        <f>+Y41</f>
        <v>-0.2370000000000001</v>
      </c>
      <c r="Z178" s="140">
        <f>+Z41</f>
        <v>-13.436</v>
      </c>
      <c r="AA178" s="140"/>
      <c r="AB178" s="140">
        <f>+AB41</f>
        <v>-15.786</v>
      </c>
      <c r="AC178" s="140">
        <f>+AC41</f>
        <v>125.089</v>
      </c>
      <c r="AD178" s="140">
        <f>+AD41</f>
        <v>109.303</v>
      </c>
      <c r="AE178" s="140"/>
      <c r="AF178" s="140">
        <f>+AF41</f>
        <v>-117.77200000000001</v>
      </c>
    </row>
    <row r="179" spans="1:32" hidden="1" outlineLevel="1">
      <c r="B179" s="187" t="s">
        <v>326</v>
      </c>
    </row>
    <row r="180" spans="1:32" hidden="1" outlineLevel="1">
      <c r="B180" s="187"/>
    </row>
    <row r="181" spans="1:32" hidden="1" outlineLevel="1">
      <c r="B181" s="132" t="s">
        <v>349</v>
      </c>
      <c r="R181" s="186">
        <f>-120.017+51.21</f>
        <v>-68.806999999999988</v>
      </c>
      <c r="S181" s="181"/>
      <c r="V181" s="181">
        <v>-5</v>
      </c>
      <c r="Z181" s="181">
        <v>-114.28100000000001</v>
      </c>
      <c r="AD181" s="181">
        <v>-55.728999999999999</v>
      </c>
    </row>
    <row r="182" spans="1:32" hidden="1" outlineLevel="1">
      <c r="B182" s="132" t="s">
        <v>327</v>
      </c>
      <c r="R182" s="181">
        <v>4.2960000000000003</v>
      </c>
      <c r="S182" s="181"/>
      <c r="V182" s="181">
        <v>0</v>
      </c>
      <c r="Z182" s="181">
        <v>7.0720000000000001</v>
      </c>
      <c r="AD182" s="181">
        <v>13.484</v>
      </c>
    </row>
    <row r="183" spans="1:32" hidden="1" outlineLevel="1">
      <c r="B183" s="132" t="s">
        <v>328</v>
      </c>
      <c r="R183" s="181">
        <v>0</v>
      </c>
      <c r="S183" s="181"/>
      <c r="V183" s="181">
        <v>0</v>
      </c>
      <c r="Z183" s="181">
        <v>5.6040000000000001</v>
      </c>
      <c r="AD183" s="181">
        <v>0</v>
      </c>
    </row>
    <row r="184" spans="1:32" hidden="1" outlineLevel="1">
      <c r="B184" s="132" t="s">
        <v>329</v>
      </c>
      <c r="R184" s="181">
        <v>0</v>
      </c>
      <c r="S184" s="181"/>
      <c r="V184" s="181">
        <v>0</v>
      </c>
      <c r="Z184" s="181">
        <v>63.334000000000003</v>
      </c>
      <c r="AD184" s="181">
        <v>0</v>
      </c>
    </row>
    <row r="185" spans="1:32" hidden="1" outlineLevel="1">
      <c r="B185" s="132" t="s">
        <v>330</v>
      </c>
      <c r="R185" s="186">
        <v>50.762999999999998</v>
      </c>
      <c r="S185" s="181"/>
      <c r="V185" s="181">
        <v>0.68400000000000005</v>
      </c>
      <c r="Z185" s="181">
        <v>24.835000000000001</v>
      </c>
      <c r="AD185" s="181">
        <v>29.065000000000001</v>
      </c>
    </row>
    <row r="186" spans="1:32" hidden="1" outlineLevel="1">
      <c r="B186" s="132" t="s">
        <v>331</v>
      </c>
      <c r="R186" s="181">
        <v>0</v>
      </c>
      <c r="S186" s="181"/>
      <c r="V186" s="181">
        <v>0</v>
      </c>
      <c r="Z186" s="181">
        <v>0</v>
      </c>
      <c r="AD186" s="181">
        <v>122.483</v>
      </c>
    </row>
    <row r="187" spans="1:32" s="135" customFormat="1" hidden="1" outlineLevel="1">
      <c r="A187" s="209" t="s">
        <v>333</v>
      </c>
      <c r="B187" s="134" t="s">
        <v>350</v>
      </c>
      <c r="R187" s="140">
        <f>SUM(R181:R186)</f>
        <v>-13.747999999999983</v>
      </c>
      <c r="S187" s="140"/>
      <c r="V187" s="140">
        <f>SUM(V181:V186)</f>
        <v>-4.3159999999999998</v>
      </c>
      <c r="W187" s="140"/>
      <c r="X187" s="140"/>
      <c r="Y187" s="140"/>
      <c r="Z187" s="140">
        <f>SUM(Z181:Z186)</f>
        <v>-13.436</v>
      </c>
      <c r="AA187" s="140"/>
      <c r="AB187" s="140"/>
      <c r="AC187" s="140"/>
      <c r="AD187" s="140">
        <f>SUM(AD181:AD186)</f>
        <v>109.30300000000001</v>
      </c>
      <c r="AE187" s="140"/>
      <c r="AF187" s="140"/>
    </row>
    <row r="188" spans="1:32" s="135" customFormat="1" hidden="1" outlineLevel="1">
      <c r="A188" s="209"/>
      <c r="B188" s="134"/>
      <c r="R188" s="140"/>
      <c r="V188" s="140"/>
      <c r="W188" s="140"/>
      <c r="X188" s="140"/>
      <c r="Y188" s="140"/>
      <c r="Z188" s="140"/>
      <c r="AA188" s="140"/>
      <c r="AB188" s="140"/>
      <c r="AC188" s="140"/>
      <c r="AD188" s="140"/>
      <c r="AE188" s="140"/>
      <c r="AF188" s="140"/>
    </row>
    <row r="189" spans="1:32" hidden="1" outlineLevel="1">
      <c r="B189" s="134" t="s">
        <v>335</v>
      </c>
      <c r="R189" s="140">
        <f>+R187-R185-R186</f>
        <v>-64.510999999999981</v>
      </c>
      <c r="V189" s="140">
        <f>+V187-V185-V186</f>
        <v>-5</v>
      </c>
      <c r="W189" s="161"/>
      <c r="X189" s="161"/>
      <c r="Y189" s="161"/>
      <c r="Z189" s="140">
        <f>+Z187-Z185-Z186</f>
        <v>-38.271000000000001</v>
      </c>
      <c r="AA189" s="161"/>
      <c r="AB189" s="161"/>
      <c r="AC189" s="161"/>
      <c r="AD189" s="140">
        <f>+AD187-AD185-AD186</f>
        <v>-42.24499999999999</v>
      </c>
      <c r="AE189" s="161"/>
      <c r="AF189" s="161"/>
    </row>
    <row r="190" spans="1:32" hidden="1" outlineLevel="1">
      <c r="B190" s="187" t="s">
        <v>337</v>
      </c>
      <c r="R190" s="161"/>
      <c r="V190" s="161"/>
      <c r="W190" s="161"/>
      <c r="X190" s="161"/>
      <c r="Y190" s="161"/>
      <c r="Z190" s="161"/>
      <c r="AA190" s="161"/>
      <c r="AB190" s="161"/>
      <c r="AC190" s="161"/>
      <c r="AD190" s="161"/>
      <c r="AE190" s="161"/>
      <c r="AF190" s="161"/>
    </row>
    <row r="191" spans="1:32" hidden="1" outlineLevel="1">
      <c r="B191" s="134" t="s">
        <v>338</v>
      </c>
      <c r="R191" s="140">
        <f>+R189-R184-R183</f>
        <v>-64.510999999999981</v>
      </c>
      <c r="V191" s="140">
        <f>+V189-V184-V183</f>
        <v>-5</v>
      </c>
      <c r="W191" s="161"/>
      <c r="X191" s="161"/>
      <c r="Y191" s="161"/>
      <c r="Z191" s="140">
        <f>+Z189-Z184-Z183</f>
        <v>-107.209</v>
      </c>
      <c r="AA191" s="161"/>
      <c r="AB191" s="161"/>
      <c r="AC191" s="161"/>
      <c r="AD191" s="140">
        <f>+AD189-AD184-AD183</f>
        <v>-42.24499999999999</v>
      </c>
      <c r="AE191" s="161"/>
      <c r="AF191" s="161"/>
    </row>
    <row r="192" spans="1:32" hidden="1" outlineLevel="1">
      <c r="B192" s="187" t="s">
        <v>339</v>
      </c>
      <c r="R192" s="161"/>
      <c r="V192" s="161"/>
      <c r="W192" s="161"/>
      <c r="X192" s="161"/>
      <c r="Y192" s="161"/>
      <c r="Z192" s="161"/>
      <c r="AA192" s="161"/>
      <c r="AB192" s="161"/>
      <c r="AC192" s="161"/>
      <c r="AD192" s="161"/>
      <c r="AE192" s="161"/>
      <c r="AF192" s="161"/>
    </row>
    <row r="193" spans="1:32" hidden="1" outlineLevel="1">
      <c r="B193" s="134" t="s">
        <v>351</v>
      </c>
      <c r="R193" s="140">
        <f>+R191-R182</f>
        <v>-68.806999999999988</v>
      </c>
      <c r="V193" s="140">
        <f>+V191-V182</f>
        <v>-5</v>
      </c>
      <c r="W193" s="161"/>
      <c r="X193" s="161"/>
      <c r="Y193" s="161"/>
      <c r="Z193" s="140">
        <f>+Z191-Z182</f>
        <v>-114.28100000000001</v>
      </c>
      <c r="AA193" s="161"/>
      <c r="AB193" s="161"/>
      <c r="AC193" s="161"/>
      <c r="AD193" s="140">
        <f>+AD191-AD182</f>
        <v>-55.728999999999992</v>
      </c>
      <c r="AE193" s="161"/>
      <c r="AF193" s="161"/>
    </row>
    <row r="194" spans="1:32" hidden="1" outlineLevel="1"/>
    <row r="195" spans="1:32" hidden="1" outlineLevel="1"/>
    <row r="196" spans="1:32" hidden="1" outlineLevel="1">
      <c r="A196" s="209" t="s">
        <v>332</v>
      </c>
      <c r="B196" s="134" t="s">
        <v>204</v>
      </c>
      <c r="R196" s="140">
        <f>+R42</f>
        <v>1.1839999999999999</v>
      </c>
      <c r="V196" s="140">
        <f>+V42</f>
        <v>-4.1349999999999998</v>
      </c>
      <c r="Z196" s="140">
        <f>+Z42</f>
        <v>48.823999999999998</v>
      </c>
      <c r="AD196" s="140">
        <f>+AD42</f>
        <v>5.33</v>
      </c>
    </row>
    <row r="197" spans="1:32" hidden="1" outlineLevel="1">
      <c r="B197" s="187" t="s">
        <v>326</v>
      </c>
    </row>
    <row r="198" spans="1:32" hidden="1" outlineLevel="1"/>
    <row r="199" spans="1:32" hidden="1" outlineLevel="1">
      <c r="B199" s="132" t="s">
        <v>340</v>
      </c>
      <c r="R199" s="181">
        <v>2.6859999999999999</v>
      </c>
      <c r="V199" s="181">
        <v>0.15</v>
      </c>
      <c r="Z199" s="181">
        <v>51.764000000000003</v>
      </c>
      <c r="AA199" s="161"/>
      <c r="AB199" s="161"/>
      <c r="AC199" s="161"/>
      <c r="AD199" s="181">
        <v>9.3699999999999992</v>
      </c>
      <c r="AE199" s="161"/>
      <c r="AF199" s="161"/>
    </row>
    <row r="200" spans="1:32" hidden="1" outlineLevel="1">
      <c r="B200" s="132" t="s">
        <v>341</v>
      </c>
      <c r="R200" s="181">
        <v>-1.5009999999999999</v>
      </c>
      <c r="V200" s="181">
        <f>-2.001-2.284</f>
        <v>-4.2850000000000001</v>
      </c>
      <c r="Z200" s="181">
        <v>-2.2250000000000001</v>
      </c>
      <c r="AA200" s="161"/>
      <c r="AB200" s="161"/>
      <c r="AC200" s="161"/>
      <c r="AD200" s="181">
        <v>-0.27</v>
      </c>
      <c r="AE200" s="161"/>
      <c r="AF200" s="161"/>
    </row>
    <row r="201" spans="1:32" hidden="1" outlineLevel="1">
      <c r="B201" s="132" t="s">
        <v>342</v>
      </c>
      <c r="R201" s="181">
        <v>0</v>
      </c>
      <c r="V201" s="181">
        <v>0</v>
      </c>
      <c r="Z201" s="181">
        <v>0</v>
      </c>
      <c r="AA201" s="161"/>
      <c r="AB201" s="161"/>
      <c r="AC201" s="161"/>
      <c r="AD201" s="181">
        <v>-0.377</v>
      </c>
      <c r="AE201" s="161"/>
      <c r="AF201" s="161"/>
    </row>
    <row r="202" spans="1:32" hidden="1" outlineLevel="1">
      <c r="B202" s="132" t="s">
        <v>343</v>
      </c>
      <c r="R202" s="181">
        <v>0</v>
      </c>
      <c r="V202" s="181">
        <v>0</v>
      </c>
      <c r="Z202" s="181">
        <v>0</v>
      </c>
      <c r="AA202" s="161"/>
      <c r="AB202" s="161"/>
      <c r="AC202" s="161"/>
      <c r="AD202" s="181">
        <v>-3.3929999999999998</v>
      </c>
      <c r="AE202" s="161"/>
      <c r="AF202" s="161"/>
    </row>
    <row r="203" spans="1:32" hidden="1" outlineLevel="1">
      <c r="B203" s="132" t="s">
        <v>345</v>
      </c>
      <c r="R203" s="181">
        <v>0</v>
      </c>
      <c r="V203" s="181">
        <v>0</v>
      </c>
      <c r="Z203" s="186">
        <v>-0.71499999999999997</v>
      </c>
      <c r="AA203" s="161"/>
      <c r="AB203" s="161"/>
      <c r="AC203" s="161"/>
      <c r="AD203" s="181">
        <v>0</v>
      </c>
      <c r="AE203" s="161"/>
      <c r="AF203" s="161"/>
    </row>
    <row r="204" spans="1:32" hidden="1" outlineLevel="1">
      <c r="A204" s="209" t="s">
        <v>334</v>
      </c>
      <c r="B204" s="134" t="s">
        <v>344</v>
      </c>
      <c r="R204" s="140">
        <f>SUM(R199:R203)</f>
        <v>1.1850000000000001</v>
      </c>
      <c r="V204" s="140">
        <f>SUM(V199:V203)</f>
        <v>-4.1349999999999998</v>
      </c>
      <c r="Z204" s="140">
        <f>SUM(Z199:Z203)</f>
        <v>48.823999999999998</v>
      </c>
      <c r="AA204" s="161"/>
      <c r="AB204" s="161"/>
      <c r="AC204" s="161"/>
      <c r="AD204" s="140">
        <f>SUM(AD199:AD203)</f>
        <v>5.3299999999999992</v>
      </c>
      <c r="AE204" s="161"/>
      <c r="AF204" s="161"/>
    </row>
    <row r="205" spans="1:32" hidden="1" outlineLevel="1"/>
    <row r="206" spans="1:32" hidden="1" outlineLevel="1">
      <c r="A206" s="133"/>
      <c r="B206" s="134" t="s">
        <v>346</v>
      </c>
      <c r="R206" s="338">
        <f>+R199</f>
        <v>2.6859999999999999</v>
      </c>
      <c r="S206" s="319"/>
      <c r="T206" s="319"/>
      <c r="U206" s="319"/>
      <c r="V206" s="338">
        <f>+V199</f>
        <v>0.15</v>
      </c>
      <c r="W206" s="319"/>
      <c r="X206" s="319"/>
      <c r="Y206" s="319"/>
      <c r="Z206" s="338">
        <f>+Z199</f>
        <v>51.764000000000003</v>
      </c>
      <c r="AA206" s="319"/>
      <c r="AB206" s="319"/>
      <c r="AC206" s="319"/>
      <c r="AD206" s="338">
        <f>+AD199</f>
        <v>9.3699999999999992</v>
      </c>
      <c r="AE206" s="319"/>
      <c r="AF206" s="319"/>
    </row>
    <row r="207" spans="1:32" hidden="1" outlineLevel="1"/>
    <row r="208" spans="1:32" hidden="1" outlineLevel="1"/>
    <row r="209" spans="1:32" hidden="1" outlineLevel="1">
      <c r="B209" s="142" t="s">
        <v>348</v>
      </c>
    </row>
    <row r="210" spans="1:32" hidden="1" outlineLevel="1">
      <c r="A210" s="382" t="s">
        <v>352</v>
      </c>
      <c r="B210" s="132" t="s">
        <v>336</v>
      </c>
      <c r="R210" s="161">
        <f>+R189</f>
        <v>-64.510999999999981</v>
      </c>
      <c r="S210" s="161">
        <f t="shared" ref="S210:AD210" si="628">+S189</f>
        <v>0</v>
      </c>
      <c r="T210" s="161">
        <f t="shared" si="628"/>
        <v>0</v>
      </c>
      <c r="U210" s="161">
        <f t="shared" si="628"/>
        <v>0</v>
      </c>
      <c r="V210" s="161">
        <f t="shared" si="628"/>
        <v>-5</v>
      </c>
      <c r="W210" s="161">
        <f t="shared" si="628"/>
        <v>0</v>
      </c>
      <c r="X210" s="161">
        <f t="shared" si="628"/>
        <v>0</v>
      </c>
      <c r="Y210" s="161">
        <f t="shared" si="628"/>
        <v>0</v>
      </c>
      <c r="Z210" s="161">
        <f t="shared" si="628"/>
        <v>-38.271000000000001</v>
      </c>
      <c r="AA210" s="161">
        <f t="shared" si="628"/>
        <v>0</v>
      </c>
      <c r="AB210" s="161">
        <f t="shared" si="628"/>
        <v>0</v>
      </c>
      <c r="AC210" s="161">
        <f t="shared" si="628"/>
        <v>0</v>
      </c>
      <c r="AD210" s="161">
        <f t="shared" si="628"/>
        <v>-42.24499999999999</v>
      </c>
      <c r="AE210" s="161">
        <f t="shared" ref="AE210:AF210" si="629">+AE189</f>
        <v>0</v>
      </c>
      <c r="AF210" s="161">
        <f t="shared" si="629"/>
        <v>0</v>
      </c>
    </row>
    <row r="211" spans="1:32" hidden="1" outlineLevel="1">
      <c r="A211" s="382" t="s">
        <v>352</v>
      </c>
      <c r="B211" s="132" t="s">
        <v>346</v>
      </c>
      <c r="R211" s="331">
        <f>R206</f>
        <v>2.6859999999999999</v>
      </c>
      <c r="S211" s="319"/>
      <c r="T211" s="319"/>
      <c r="U211" s="319"/>
      <c r="V211" s="331">
        <f>V206</f>
        <v>0.15</v>
      </c>
      <c r="W211" s="331"/>
      <c r="X211" s="331"/>
      <c r="Y211" s="331"/>
      <c r="Z211" s="331">
        <f>Z206</f>
        <v>51.764000000000003</v>
      </c>
      <c r="AA211" s="331"/>
      <c r="AB211" s="331"/>
      <c r="AC211" s="331"/>
      <c r="AD211" s="331">
        <f>AD206</f>
        <v>9.3699999999999992</v>
      </c>
      <c r="AE211" s="331"/>
      <c r="AF211" s="331"/>
    </row>
    <row r="212" spans="1:32" hidden="1" outlineLevel="1">
      <c r="B212" s="132" t="s">
        <v>206</v>
      </c>
      <c r="R212" s="161">
        <f>+R44</f>
        <v>-1.9379999999999999</v>
      </c>
      <c r="V212" s="161">
        <f>+V44</f>
        <v>-141.22999999999999</v>
      </c>
      <c r="W212" s="161"/>
      <c r="X212" s="161"/>
      <c r="Y212" s="161"/>
      <c r="Z212" s="161">
        <f>+Z44</f>
        <v>-11.231</v>
      </c>
      <c r="AA212" s="161"/>
      <c r="AB212" s="161"/>
      <c r="AC212" s="161"/>
      <c r="AD212" s="161">
        <f>+AD44</f>
        <v>-5.4080000000000004</v>
      </c>
      <c r="AE212" s="161"/>
      <c r="AF212" s="161"/>
    </row>
    <row r="213" spans="1:32" hidden="1" outlineLevel="1">
      <c r="A213" s="133"/>
      <c r="B213" s="132" t="s">
        <v>207</v>
      </c>
      <c r="R213" s="161">
        <f>+R45</f>
        <v>6.6619999999999999</v>
      </c>
      <c r="V213" s="161">
        <f>+V45</f>
        <v>4.4909999999999997</v>
      </c>
      <c r="Z213" s="161">
        <f>+Z45</f>
        <v>2.1059999999999999</v>
      </c>
      <c r="AD213" s="161">
        <f>+AD45</f>
        <v>8.1240000000000006</v>
      </c>
    </row>
    <row r="214" spans="1:32" hidden="1" outlineLevel="1">
      <c r="A214" s="133"/>
      <c r="B214" s="132" t="s">
        <v>221</v>
      </c>
      <c r="R214" s="380">
        <f>R77</f>
        <v>-12.308</v>
      </c>
      <c r="V214" s="380">
        <f>V77</f>
        <v>-3.6920000000000002</v>
      </c>
      <c r="Z214" s="380">
        <f>Z77</f>
        <v>-21.417000000000002</v>
      </c>
      <c r="AD214" s="380">
        <f>AD77</f>
        <v>-3.1360000000000001</v>
      </c>
    </row>
    <row r="215" spans="1:32" hidden="1" outlineLevel="1">
      <c r="A215" s="133"/>
      <c r="B215" s="132" t="s">
        <v>222</v>
      </c>
      <c r="R215" s="380">
        <f>R78</f>
        <v>0</v>
      </c>
      <c r="V215" s="380">
        <f>V78</f>
        <v>1.25</v>
      </c>
      <c r="Z215" s="380">
        <f>Z78</f>
        <v>2.4580000000000002</v>
      </c>
      <c r="AD215" s="380">
        <f>AD78</f>
        <v>0.38</v>
      </c>
    </row>
    <row r="216" spans="1:32" hidden="1" outlineLevel="1">
      <c r="A216" s="133"/>
      <c r="B216" s="134" t="s">
        <v>347</v>
      </c>
      <c r="R216" s="140">
        <f>SUM(R210:R215)</f>
        <v>-69.408999999999992</v>
      </c>
      <c r="V216" s="140">
        <f>SUM(V210:V215)</f>
        <v>-144.03100000000001</v>
      </c>
      <c r="Z216" s="140">
        <f>SUM(Z210:Z215)</f>
        <v>-14.590999999999999</v>
      </c>
      <c r="AD216" s="140">
        <f>SUM(AD210:AD215)</f>
        <v>-32.914999999999992</v>
      </c>
    </row>
    <row r="217" spans="1:32" hidden="1" outlineLevel="1">
      <c r="A217" s="133"/>
      <c r="B217" s="132" t="s">
        <v>208</v>
      </c>
      <c r="R217" s="161">
        <f>R46</f>
        <v>-3.9340000000000002</v>
      </c>
      <c r="V217" s="161">
        <f>V46</f>
        <v>-5.3979999999999997</v>
      </c>
      <c r="Z217" s="161">
        <f>Z46</f>
        <v>-2.1859999999999999</v>
      </c>
      <c r="AD217" s="161">
        <f>AD46</f>
        <v>-5.1790000000000003</v>
      </c>
    </row>
    <row r="218" spans="1:32" hidden="1" outlineLevel="1">
      <c r="A218" s="133"/>
      <c r="B218" s="132" t="s">
        <v>220</v>
      </c>
      <c r="R218" s="380">
        <f>R75</f>
        <v>0</v>
      </c>
      <c r="V218" s="380">
        <f>V75</f>
        <v>0</v>
      </c>
      <c r="Z218" s="380">
        <f>Z75</f>
        <v>1.92</v>
      </c>
      <c r="AD218" s="380">
        <f>AD75</f>
        <v>0</v>
      </c>
    </row>
    <row r="219" spans="1:32" hidden="1" outlineLevel="1">
      <c r="A219" s="133"/>
      <c r="B219" s="134" t="s">
        <v>347</v>
      </c>
      <c r="R219" s="140">
        <f>+SUM(R216:R218)</f>
        <v>-73.342999999999989</v>
      </c>
      <c r="V219" s="140">
        <f>+SUM(V216:V218)</f>
        <v>-149.429</v>
      </c>
      <c r="Z219" s="140">
        <f>+SUM(Z216:Z218)</f>
        <v>-14.857000000000001</v>
      </c>
      <c r="AD219" s="140">
        <f>+SUM(AD216:AD218)</f>
        <v>-38.093999999999994</v>
      </c>
    </row>
    <row r="220" spans="1:32" hidden="1" outlineLevel="1">
      <c r="A220" s="133"/>
      <c r="B220" s="132" t="s">
        <v>355</v>
      </c>
      <c r="R220" s="164">
        <f t="shared" ref="R220:AF220" si="630">+R219/$R$235</f>
        <v>-1.0548699804395354</v>
      </c>
      <c r="S220" s="164">
        <f t="shared" si="630"/>
        <v>0</v>
      </c>
      <c r="T220" s="164">
        <f t="shared" si="630"/>
        <v>0</v>
      </c>
      <c r="U220" s="164">
        <f t="shared" si="630"/>
        <v>0</v>
      </c>
      <c r="V220" s="164">
        <f t="shared" si="630"/>
        <v>-2.1491916925555179</v>
      </c>
      <c r="W220" s="164">
        <f t="shared" si="630"/>
        <v>0</v>
      </c>
      <c r="X220" s="164">
        <f t="shared" si="630"/>
        <v>0</v>
      </c>
      <c r="Y220" s="164">
        <f t="shared" si="630"/>
        <v>0</v>
      </c>
      <c r="Z220" s="164">
        <f t="shared" si="630"/>
        <v>-0.21368369577724092</v>
      </c>
      <c r="AA220" s="164">
        <f t="shared" si="630"/>
        <v>0</v>
      </c>
      <c r="AB220" s="164">
        <f t="shared" si="630"/>
        <v>0</v>
      </c>
      <c r="AC220" s="164">
        <f t="shared" si="630"/>
        <v>0</v>
      </c>
      <c r="AD220" s="164">
        <f t="shared" si="630"/>
        <v>-0.54789437348981718</v>
      </c>
      <c r="AE220" s="164">
        <f t="shared" si="630"/>
        <v>0</v>
      </c>
      <c r="AF220" s="164">
        <f t="shared" si="630"/>
        <v>0</v>
      </c>
    </row>
    <row r="221" spans="1:32" hidden="1" outlineLevel="1">
      <c r="A221" s="133"/>
    </row>
    <row r="222" spans="1:32" hidden="1" outlineLevel="1">
      <c r="A222" s="133"/>
      <c r="B222" s="142" t="s">
        <v>353</v>
      </c>
    </row>
    <row r="223" spans="1:32" hidden="1" outlineLevel="1">
      <c r="A223" s="133"/>
      <c r="B223" s="132" t="s">
        <v>350</v>
      </c>
      <c r="R223" s="161">
        <f>+R187</f>
        <v>-13.747999999999983</v>
      </c>
      <c r="S223" s="161">
        <f t="shared" ref="S223:AD223" si="631">+S187</f>
        <v>0</v>
      </c>
      <c r="T223" s="161">
        <f t="shared" si="631"/>
        <v>0</v>
      </c>
      <c r="U223" s="161">
        <f t="shared" si="631"/>
        <v>0</v>
      </c>
      <c r="V223" s="161">
        <f t="shared" si="631"/>
        <v>-4.3159999999999998</v>
      </c>
      <c r="W223" s="161">
        <f t="shared" si="631"/>
        <v>0</v>
      </c>
      <c r="X223" s="161">
        <f t="shared" si="631"/>
        <v>0</v>
      </c>
      <c r="Y223" s="161">
        <f t="shared" si="631"/>
        <v>0</v>
      </c>
      <c r="Z223" s="161">
        <f t="shared" si="631"/>
        <v>-13.436</v>
      </c>
      <c r="AA223" s="161">
        <f t="shared" si="631"/>
        <v>0</v>
      </c>
      <c r="AB223" s="161">
        <f t="shared" si="631"/>
        <v>0</v>
      </c>
      <c r="AC223" s="161">
        <f t="shared" si="631"/>
        <v>0</v>
      </c>
      <c r="AD223" s="161">
        <f t="shared" si="631"/>
        <v>109.30300000000001</v>
      </c>
      <c r="AE223" s="161">
        <f t="shared" ref="AE223:AF223" si="632">+AE187</f>
        <v>0</v>
      </c>
      <c r="AF223" s="161">
        <f t="shared" si="632"/>
        <v>0</v>
      </c>
    </row>
    <row r="224" spans="1:32" hidden="1" outlineLevel="1">
      <c r="A224" s="133"/>
      <c r="B224" s="132" t="s">
        <v>354</v>
      </c>
      <c r="R224" s="161">
        <f>+R204</f>
        <v>1.1850000000000001</v>
      </c>
      <c r="S224" s="161">
        <f t="shared" ref="S224:AD224" si="633">+S204</f>
        <v>0</v>
      </c>
      <c r="T224" s="161">
        <f t="shared" si="633"/>
        <v>0</v>
      </c>
      <c r="U224" s="161">
        <f t="shared" si="633"/>
        <v>0</v>
      </c>
      <c r="V224" s="161">
        <f t="shared" si="633"/>
        <v>-4.1349999999999998</v>
      </c>
      <c r="W224" s="161">
        <f t="shared" si="633"/>
        <v>0</v>
      </c>
      <c r="X224" s="161">
        <f t="shared" si="633"/>
        <v>0</v>
      </c>
      <c r="Y224" s="161">
        <f t="shared" si="633"/>
        <v>0</v>
      </c>
      <c r="Z224" s="161">
        <f t="shared" si="633"/>
        <v>48.823999999999998</v>
      </c>
      <c r="AA224" s="161">
        <f t="shared" si="633"/>
        <v>0</v>
      </c>
      <c r="AB224" s="161">
        <f t="shared" si="633"/>
        <v>0</v>
      </c>
      <c r="AC224" s="161">
        <f t="shared" si="633"/>
        <v>0</v>
      </c>
      <c r="AD224" s="161">
        <f t="shared" si="633"/>
        <v>5.3299999999999992</v>
      </c>
      <c r="AE224" s="161">
        <f t="shared" ref="AE224:AF224" si="634">+AE204</f>
        <v>0</v>
      </c>
      <c r="AF224" s="161">
        <f t="shared" si="634"/>
        <v>0</v>
      </c>
    </row>
    <row r="225" spans="1:32" hidden="1" outlineLevel="1">
      <c r="A225" s="133"/>
      <c r="B225" s="132" t="s">
        <v>206</v>
      </c>
      <c r="R225" s="185">
        <f t="shared" ref="R225:AD225" si="635">R212</f>
        <v>-1.9379999999999999</v>
      </c>
      <c r="S225" s="185">
        <f t="shared" si="635"/>
        <v>0</v>
      </c>
      <c r="T225" s="185">
        <f t="shared" si="635"/>
        <v>0</v>
      </c>
      <c r="U225" s="185">
        <f t="shared" si="635"/>
        <v>0</v>
      </c>
      <c r="V225" s="185">
        <f t="shared" si="635"/>
        <v>-141.22999999999999</v>
      </c>
      <c r="W225" s="185">
        <f t="shared" si="635"/>
        <v>0</v>
      </c>
      <c r="X225" s="185">
        <f t="shared" si="635"/>
        <v>0</v>
      </c>
      <c r="Y225" s="185">
        <f t="shared" si="635"/>
        <v>0</v>
      </c>
      <c r="Z225" s="185">
        <f t="shared" si="635"/>
        <v>-11.231</v>
      </c>
      <c r="AA225" s="185">
        <f t="shared" si="635"/>
        <v>0</v>
      </c>
      <c r="AB225" s="185">
        <f t="shared" si="635"/>
        <v>0</v>
      </c>
      <c r="AC225" s="185">
        <f t="shared" si="635"/>
        <v>0</v>
      </c>
      <c r="AD225" s="185">
        <f t="shared" si="635"/>
        <v>-5.4080000000000004</v>
      </c>
      <c r="AE225" s="185">
        <f t="shared" ref="AE225:AF225" si="636">AE212</f>
        <v>0</v>
      </c>
      <c r="AF225" s="185">
        <f t="shared" si="636"/>
        <v>0</v>
      </c>
    </row>
    <row r="226" spans="1:32" hidden="1" outlineLevel="1">
      <c r="A226" s="133"/>
      <c r="B226" s="132" t="s">
        <v>207</v>
      </c>
      <c r="R226" s="185">
        <f t="shared" ref="R226:AD226" si="637">R213</f>
        <v>6.6619999999999999</v>
      </c>
      <c r="S226" s="185">
        <f t="shared" si="637"/>
        <v>0</v>
      </c>
      <c r="T226" s="185">
        <f t="shared" si="637"/>
        <v>0</v>
      </c>
      <c r="U226" s="185">
        <f t="shared" si="637"/>
        <v>0</v>
      </c>
      <c r="V226" s="185">
        <f t="shared" si="637"/>
        <v>4.4909999999999997</v>
      </c>
      <c r="W226" s="185">
        <f t="shared" si="637"/>
        <v>0</v>
      </c>
      <c r="X226" s="185">
        <f t="shared" si="637"/>
        <v>0</v>
      </c>
      <c r="Y226" s="185">
        <f t="shared" si="637"/>
        <v>0</v>
      </c>
      <c r="Z226" s="185">
        <f t="shared" si="637"/>
        <v>2.1059999999999999</v>
      </c>
      <c r="AA226" s="185">
        <f t="shared" si="637"/>
        <v>0</v>
      </c>
      <c r="AB226" s="185">
        <f t="shared" si="637"/>
        <v>0</v>
      </c>
      <c r="AC226" s="185">
        <f t="shared" si="637"/>
        <v>0</v>
      </c>
      <c r="AD226" s="185">
        <f t="shared" si="637"/>
        <v>8.1240000000000006</v>
      </c>
      <c r="AE226" s="185">
        <f t="shared" ref="AE226:AF226" si="638">AE213</f>
        <v>0</v>
      </c>
      <c r="AF226" s="185">
        <f t="shared" si="638"/>
        <v>0</v>
      </c>
    </row>
    <row r="227" spans="1:32" hidden="1" outlineLevel="1">
      <c r="A227" s="133"/>
      <c r="B227" s="132" t="s">
        <v>221</v>
      </c>
      <c r="R227" s="185">
        <f t="shared" ref="R227:AD227" si="639">R214</f>
        <v>-12.308</v>
      </c>
      <c r="S227" s="185">
        <f t="shared" si="639"/>
        <v>0</v>
      </c>
      <c r="T227" s="185">
        <f t="shared" si="639"/>
        <v>0</v>
      </c>
      <c r="U227" s="185">
        <f t="shared" si="639"/>
        <v>0</v>
      </c>
      <c r="V227" s="185">
        <f t="shared" si="639"/>
        <v>-3.6920000000000002</v>
      </c>
      <c r="W227" s="185">
        <f t="shared" si="639"/>
        <v>0</v>
      </c>
      <c r="X227" s="185">
        <f t="shared" si="639"/>
        <v>0</v>
      </c>
      <c r="Y227" s="185">
        <f t="shared" si="639"/>
        <v>0</v>
      </c>
      <c r="Z227" s="185">
        <f t="shared" si="639"/>
        <v>-21.417000000000002</v>
      </c>
      <c r="AA227" s="185">
        <f t="shared" si="639"/>
        <v>0</v>
      </c>
      <c r="AB227" s="185">
        <f t="shared" si="639"/>
        <v>0</v>
      </c>
      <c r="AC227" s="185">
        <f t="shared" si="639"/>
        <v>0</v>
      </c>
      <c r="AD227" s="185">
        <f t="shared" si="639"/>
        <v>-3.1360000000000001</v>
      </c>
      <c r="AE227" s="185">
        <f t="shared" ref="AE227:AF227" si="640">AE214</f>
        <v>0</v>
      </c>
      <c r="AF227" s="185">
        <f t="shared" si="640"/>
        <v>0</v>
      </c>
    </row>
    <row r="228" spans="1:32" hidden="1" outlineLevel="1">
      <c r="A228" s="133"/>
      <c r="B228" s="132" t="s">
        <v>222</v>
      </c>
      <c r="R228" s="185">
        <f t="shared" ref="R228:AD228" si="641">R215</f>
        <v>0</v>
      </c>
      <c r="S228" s="185">
        <f t="shared" si="641"/>
        <v>0</v>
      </c>
      <c r="T228" s="185">
        <f t="shared" si="641"/>
        <v>0</v>
      </c>
      <c r="U228" s="185">
        <f t="shared" si="641"/>
        <v>0</v>
      </c>
      <c r="V228" s="185">
        <f t="shared" si="641"/>
        <v>1.25</v>
      </c>
      <c r="W228" s="185">
        <f t="shared" si="641"/>
        <v>0</v>
      </c>
      <c r="X228" s="185">
        <f t="shared" si="641"/>
        <v>0</v>
      </c>
      <c r="Y228" s="185">
        <f t="shared" si="641"/>
        <v>0</v>
      </c>
      <c r="Z228" s="185">
        <f t="shared" si="641"/>
        <v>2.4580000000000002</v>
      </c>
      <c r="AA228" s="185">
        <f t="shared" si="641"/>
        <v>0</v>
      </c>
      <c r="AB228" s="185">
        <f t="shared" si="641"/>
        <v>0</v>
      </c>
      <c r="AC228" s="185">
        <f t="shared" si="641"/>
        <v>0</v>
      </c>
      <c r="AD228" s="185">
        <f t="shared" si="641"/>
        <v>0.38</v>
      </c>
      <c r="AE228" s="185">
        <f t="shared" ref="AE228:AF228" si="642">AE215</f>
        <v>0</v>
      </c>
      <c r="AF228" s="185">
        <f t="shared" si="642"/>
        <v>0</v>
      </c>
    </row>
    <row r="229" spans="1:32" hidden="1" outlineLevel="1">
      <c r="A229" s="133"/>
      <c r="B229" s="134" t="s">
        <v>347</v>
      </c>
      <c r="R229" s="140">
        <f>SUM(R223:R228)</f>
        <v>-20.146999999999984</v>
      </c>
      <c r="V229" s="140">
        <f>SUM(V223:V228)</f>
        <v>-147.63200000000001</v>
      </c>
      <c r="Z229" s="140">
        <f>SUM(Z223:Z228)</f>
        <v>7.3039999999999967</v>
      </c>
      <c r="AD229" s="140">
        <f>SUM(AD223:AD228)</f>
        <v>114.593</v>
      </c>
    </row>
    <row r="230" spans="1:32" hidden="1" outlineLevel="1">
      <c r="A230" s="133"/>
      <c r="B230" s="132" t="s">
        <v>208</v>
      </c>
      <c r="R230" s="185">
        <f t="shared" ref="R230:AD230" si="643">R217</f>
        <v>-3.9340000000000002</v>
      </c>
      <c r="S230" s="185">
        <f t="shared" si="643"/>
        <v>0</v>
      </c>
      <c r="T230" s="185">
        <f t="shared" si="643"/>
        <v>0</v>
      </c>
      <c r="U230" s="185">
        <f t="shared" si="643"/>
        <v>0</v>
      </c>
      <c r="V230" s="185">
        <f t="shared" si="643"/>
        <v>-5.3979999999999997</v>
      </c>
      <c r="W230" s="185">
        <f t="shared" si="643"/>
        <v>0</v>
      </c>
      <c r="X230" s="185">
        <f t="shared" si="643"/>
        <v>0</v>
      </c>
      <c r="Y230" s="185">
        <f t="shared" si="643"/>
        <v>0</v>
      </c>
      <c r="Z230" s="185">
        <f t="shared" si="643"/>
        <v>-2.1859999999999999</v>
      </c>
      <c r="AA230" s="185">
        <f t="shared" si="643"/>
        <v>0</v>
      </c>
      <c r="AB230" s="185">
        <f t="shared" si="643"/>
        <v>0</v>
      </c>
      <c r="AC230" s="185">
        <f t="shared" si="643"/>
        <v>0</v>
      </c>
      <c r="AD230" s="185">
        <f t="shared" si="643"/>
        <v>-5.1790000000000003</v>
      </c>
      <c r="AE230" s="185">
        <f t="shared" ref="AE230:AF230" si="644">AE217</f>
        <v>0</v>
      </c>
      <c r="AF230" s="185">
        <f t="shared" si="644"/>
        <v>0</v>
      </c>
    </row>
    <row r="231" spans="1:32" hidden="1" outlineLevel="1">
      <c r="A231" s="133"/>
      <c r="B231" s="132" t="s">
        <v>220</v>
      </c>
      <c r="R231" s="185">
        <f t="shared" ref="R231:AD231" si="645">R218</f>
        <v>0</v>
      </c>
      <c r="S231" s="185">
        <f t="shared" si="645"/>
        <v>0</v>
      </c>
      <c r="T231" s="185">
        <f t="shared" si="645"/>
        <v>0</v>
      </c>
      <c r="U231" s="185">
        <f t="shared" si="645"/>
        <v>0</v>
      </c>
      <c r="V231" s="185">
        <f t="shared" si="645"/>
        <v>0</v>
      </c>
      <c r="W231" s="185">
        <f t="shared" si="645"/>
        <v>0</v>
      </c>
      <c r="X231" s="185">
        <f t="shared" si="645"/>
        <v>0</v>
      </c>
      <c r="Y231" s="185">
        <f t="shared" si="645"/>
        <v>0</v>
      </c>
      <c r="Z231" s="185">
        <f t="shared" si="645"/>
        <v>1.92</v>
      </c>
      <c r="AA231" s="185">
        <f t="shared" si="645"/>
        <v>0</v>
      </c>
      <c r="AB231" s="185">
        <f t="shared" si="645"/>
        <v>0</v>
      </c>
      <c r="AC231" s="185">
        <f t="shared" si="645"/>
        <v>0</v>
      </c>
      <c r="AD231" s="185">
        <f t="shared" si="645"/>
        <v>0</v>
      </c>
      <c r="AE231" s="185">
        <f t="shared" ref="AE231:AF231" si="646">AE218</f>
        <v>0</v>
      </c>
      <c r="AF231" s="185">
        <f t="shared" si="646"/>
        <v>0</v>
      </c>
    </row>
    <row r="232" spans="1:32" hidden="1" outlineLevel="1">
      <c r="A232" s="133"/>
      <c r="B232" s="134" t="s">
        <v>347</v>
      </c>
      <c r="R232" s="140">
        <f>+SUM(R229:R231)</f>
        <v>-24.080999999999985</v>
      </c>
      <c r="V232" s="140">
        <f>+SUM(V229:V231)</f>
        <v>-153.03</v>
      </c>
      <c r="Z232" s="140">
        <f>+SUM(Z229:Z231)</f>
        <v>7.0379999999999967</v>
      </c>
      <c r="AD232" s="140">
        <f>+SUM(AD229:AD231)</f>
        <v>109.414</v>
      </c>
    </row>
    <row r="233" spans="1:32" hidden="1" outlineLevel="1">
      <c r="A233" s="133"/>
      <c r="R233" s="164">
        <f t="shared" ref="R233:AF233" si="647">+R232/$R$235</f>
        <v>-0.3463496720745598</v>
      </c>
      <c r="S233" s="164">
        <f t="shared" si="647"/>
        <v>0</v>
      </c>
      <c r="T233" s="164">
        <f t="shared" si="647"/>
        <v>0</v>
      </c>
      <c r="U233" s="164">
        <f t="shared" si="647"/>
        <v>0</v>
      </c>
      <c r="V233" s="164">
        <f t="shared" si="647"/>
        <v>-2.2009837763203319</v>
      </c>
      <c r="W233" s="164">
        <f t="shared" si="647"/>
        <v>0</v>
      </c>
      <c r="X233" s="164">
        <f t="shared" si="647"/>
        <v>0</v>
      </c>
      <c r="Y233" s="164">
        <f t="shared" si="647"/>
        <v>0</v>
      </c>
      <c r="Z233" s="164">
        <f t="shared" si="647"/>
        <v>0.1012254055919917</v>
      </c>
      <c r="AA233" s="164">
        <f t="shared" si="647"/>
        <v>0</v>
      </c>
      <c r="AB233" s="164">
        <f t="shared" si="647"/>
        <v>0</v>
      </c>
      <c r="AC233" s="164">
        <f t="shared" si="647"/>
        <v>0</v>
      </c>
      <c r="AD233" s="164">
        <f t="shared" si="647"/>
        <v>1.5736681624669204</v>
      </c>
      <c r="AE233" s="164">
        <f t="shared" si="647"/>
        <v>0</v>
      </c>
      <c r="AF233" s="164">
        <f t="shared" si="647"/>
        <v>0</v>
      </c>
    </row>
    <row r="234" spans="1:32" hidden="1" outlineLevel="1">
      <c r="A234" s="133"/>
    </row>
    <row r="235" spans="1:32" hidden="1" outlineLevel="1">
      <c r="A235" s="133"/>
      <c r="B235" s="148" t="str">
        <f t="shared" ref="B235:AF235" si="648">B24</f>
        <v>NET CASH FLOWS FROM OPERATING ACTIVITIES</v>
      </c>
      <c r="C235" s="161">
        <f t="shared" si="648"/>
        <v>0</v>
      </c>
      <c r="D235" s="161">
        <f t="shared" si="648"/>
        <v>8.0480000000000018</v>
      </c>
      <c r="E235" s="161">
        <f t="shared" si="648"/>
        <v>16.697999999999997</v>
      </c>
      <c r="F235" s="161">
        <f t="shared" si="648"/>
        <v>24.745999999999967</v>
      </c>
      <c r="G235" s="161">
        <f t="shared" si="648"/>
        <v>0</v>
      </c>
      <c r="H235" s="161">
        <f t="shared" si="648"/>
        <v>25.975999999999988</v>
      </c>
      <c r="I235" s="161">
        <f t="shared" si="648"/>
        <v>29.552999999999997</v>
      </c>
      <c r="J235" s="161">
        <f t="shared" si="648"/>
        <v>55.529000000000003</v>
      </c>
      <c r="K235" s="161">
        <f t="shared" si="648"/>
        <v>0</v>
      </c>
      <c r="L235" s="161">
        <f t="shared" si="648"/>
        <v>37.291999999999994</v>
      </c>
      <c r="M235" s="161">
        <f t="shared" si="648"/>
        <v>20.214999999999996</v>
      </c>
      <c r="N235" s="161">
        <f t="shared" si="648"/>
        <v>57.507000000000019</v>
      </c>
      <c r="O235" s="161">
        <f t="shared" si="648"/>
        <v>0</v>
      </c>
      <c r="P235" s="161">
        <f t="shared" si="648"/>
        <v>17.089999999999989</v>
      </c>
      <c r="Q235" s="161">
        <f t="shared" si="648"/>
        <v>52.438000000000017</v>
      </c>
      <c r="R235" s="161">
        <f t="shared" si="648"/>
        <v>69.527999999999977</v>
      </c>
      <c r="S235" s="161">
        <f t="shared" si="648"/>
        <v>0</v>
      </c>
      <c r="T235" s="161">
        <f t="shared" si="648"/>
        <v>17.684999999999995</v>
      </c>
      <c r="U235" s="161">
        <f t="shared" si="648"/>
        <v>72.424000000000007</v>
      </c>
      <c r="V235" s="161">
        <f t="shared" si="648"/>
        <v>90.108999999999995</v>
      </c>
      <c r="W235" s="161">
        <f t="shared" si="648"/>
        <v>0</v>
      </c>
      <c r="X235" s="161">
        <f t="shared" si="648"/>
        <v>32.727000000000025</v>
      </c>
      <c r="Y235" s="161">
        <f t="shared" si="648"/>
        <v>79.85899999999998</v>
      </c>
      <c r="Z235" s="161">
        <f t="shared" si="648"/>
        <v>112.58599999999997</v>
      </c>
      <c r="AA235" s="161">
        <f t="shared" si="648"/>
        <v>0</v>
      </c>
      <c r="AB235" s="161">
        <f t="shared" si="648"/>
        <v>27.058000000000032</v>
      </c>
      <c r="AC235" s="161">
        <f t="shared" si="648"/>
        <v>68.476999999999975</v>
      </c>
      <c r="AD235" s="161">
        <f t="shared" si="648"/>
        <v>95.535000000000011</v>
      </c>
      <c r="AE235" s="161">
        <f t="shared" si="648"/>
        <v>0</v>
      </c>
      <c r="AF235" s="161">
        <f t="shared" si="648"/>
        <v>64.377000000000024</v>
      </c>
    </row>
    <row r="236" spans="1:32" hidden="1" outlineLevel="1"/>
    <row r="237" spans="1:32" hidden="1" outlineLevel="1"/>
    <row r="238" spans="1:32" hidden="1" outlineLevel="1"/>
    <row r="239" spans="1:32" collapsed="1"/>
    <row r="240" spans="1:32" s="757" customFormat="1">
      <c r="A240" s="132"/>
      <c r="B240" s="758" t="s">
        <v>655</v>
      </c>
    </row>
    <row r="242" spans="16:27">
      <c r="P242" s="259"/>
    </row>
    <row r="243" spans="16:27">
      <c r="P243" s="259"/>
    </row>
    <row r="244" spans="16:27">
      <c r="P244" s="259"/>
    </row>
    <row r="245" spans="16:27" ht="14.4" thickBot="1"/>
    <row r="246" spans="16:27" ht="14.4">
      <c r="P246" s="759" t="s">
        <v>406</v>
      </c>
      <c r="Q246" s="760"/>
      <c r="R246" s="761"/>
      <c r="S246" s="762"/>
      <c r="T246" s="762" t="s">
        <v>656</v>
      </c>
      <c r="U246" s="762"/>
      <c r="V246" s="762"/>
      <c r="W246" s="763"/>
      <c r="X246" s="762"/>
      <c r="Y246" s="762" t="s">
        <v>657</v>
      </c>
      <c r="Z246" s="762"/>
      <c r="AA246" s="764"/>
    </row>
    <row r="247" spans="16:27" ht="20.25" customHeight="1">
      <c r="P247" s="765"/>
      <c r="Q247" s="766">
        <v>159.30685863105543</v>
      </c>
      <c r="R247" s="767">
        <v>8</v>
      </c>
      <c r="S247" s="767">
        <v>9</v>
      </c>
      <c r="T247" s="767">
        <v>10</v>
      </c>
      <c r="U247" s="767">
        <v>11</v>
      </c>
      <c r="V247" s="767">
        <v>12</v>
      </c>
      <c r="W247" s="768">
        <v>8</v>
      </c>
      <c r="X247" s="769">
        <v>9</v>
      </c>
      <c r="Y247" s="769">
        <v>10</v>
      </c>
      <c r="Z247" s="769">
        <v>11</v>
      </c>
      <c r="AA247" s="770">
        <v>12</v>
      </c>
    </row>
    <row r="248" spans="16:27" ht="35.25" customHeight="1">
      <c r="P248" s="794" t="s">
        <v>658</v>
      </c>
      <c r="Q248" s="771">
        <v>10</v>
      </c>
      <c r="R248" s="772">
        <v>161.09793063105548</v>
      </c>
      <c r="S248" s="772">
        <v>160.10289063105517</v>
      </c>
      <c r="T248" s="773">
        <v>159.30685863105543</v>
      </c>
      <c r="U248" s="772">
        <v>158.65555972196455</v>
      </c>
      <c r="V248" s="772">
        <v>158.11281063105525</v>
      </c>
      <c r="W248" s="774">
        <v>1.1242905769349498E-2</v>
      </c>
      <c r="X248" s="775">
        <v>4.9968470085981487E-3</v>
      </c>
      <c r="Y248" s="776">
        <v>0</v>
      </c>
      <c r="Z248" s="775">
        <v>-4.0883293706722723E-3</v>
      </c>
      <c r="AA248" s="777">
        <v>-7.4952705129006647E-3</v>
      </c>
    </row>
    <row r="249" spans="16:27" outlineLevel="1">
      <c r="P249" s="795"/>
      <c r="Q249" s="778"/>
      <c r="R249" s="778"/>
      <c r="S249" s="778"/>
      <c r="T249" s="779"/>
      <c r="U249" s="778"/>
      <c r="V249" s="778"/>
      <c r="W249" s="780"/>
      <c r="X249" s="778"/>
      <c r="Y249" s="779"/>
      <c r="Z249" s="778"/>
      <c r="AA249" s="781"/>
    </row>
    <row r="250" spans="16:27" ht="14.4" outlineLevel="1">
      <c r="P250" s="796"/>
      <c r="Q250" s="782"/>
      <c r="R250" s="769"/>
      <c r="S250" s="783"/>
      <c r="T250" s="783" t="s">
        <v>656</v>
      </c>
      <c r="U250" s="783"/>
      <c r="V250" s="783"/>
      <c r="W250" s="768" t="s">
        <v>659</v>
      </c>
      <c r="X250" s="783" t="s">
        <v>659</v>
      </c>
      <c r="Y250" s="783" t="s">
        <v>659</v>
      </c>
      <c r="Z250" s="783" t="s">
        <v>659</v>
      </c>
      <c r="AA250" s="784" t="s">
        <v>659</v>
      </c>
    </row>
    <row r="251" spans="16:27" ht="14.4" outlineLevel="1">
      <c r="P251" s="797"/>
      <c r="Q251" s="785">
        <v>137.88466091648488</v>
      </c>
      <c r="R251" s="769">
        <v>8</v>
      </c>
      <c r="S251" s="769">
        <v>9</v>
      </c>
      <c r="T251" s="783">
        <v>10</v>
      </c>
      <c r="U251" s="769">
        <v>11</v>
      </c>
      <c r="V251" s="769">
        <v>12</v>
      </c>
      <c r="W251" s="768">
        <v>10</v>
      </c>
      <c r="X251" s="769">
        <v>10</v>
      </c>
      <c r="Y251" s="783">
        <v>10</v>
      </c>
      <c r="Z251" s="769">
        <v>10</v>
      </c>
      <c r="AA251" s="770">
        <v>10</v>
      </c>
    </row>
    <row r="252" spans="16:27" ht="32.25" customHeight="1">
      <c r="P252" s="794" t="s">
        <v>660</v>
      </c>
      <c r="Q252" s="771">
        <v>10</v>
      </c>
      <c r="R252" s="772">
        <v>139.43488516620761</v>
      </c>
      <c r="S252" s="772">
        <v>138.57364947191698</v>
      </c>
      <c r="T252" s="773">
        <v>137.88466091648488</v>
      </c>
      <c r="U252" s="772">
        <v>137.32094300749483</v>
      </c>
      <c r="V252" s="772">
        <v>136.85117808333624</v>
      </c>
      <c r="W252" s="774">
        <v>1.1242905769349276E-2</v>
      </c>
      <c r="X252" s="775">
        <v>4.9968470085981487E-3</v>
      </c>
      <c r="Y252" s="776">
        <v>0</v>
      </c>
      <c r="Z252" s="775">
        <v>-4.0883293706721613E-3</v>
      </c>
      <c r="AA252" s="777">
        <v>-7.4952705129006647E-3</v>
      </c>
    </row>
    <row r="253" spans="16:27" outlineLevel="1">
      <c r="P253" s="795"/>
      <c r="Q253" s="778"/>
      <c r="R253" s="778"/>
      <c r="S253" s="778"/>
      <c r="T253" s="779"/>
      <c r="U253" s="778"/>
      <c r="V253" s="778"/>
      <c r="W253" s="780"/>
      <c r="X253" s="778"/>
      <c r="Y253" s="779"/>
      <c r="Z253" s="778"/>
      <c r="AA253" s="781"/>
    </row>
    <row r="254" spans="16:27" ht="14.4" outlineLevel="1">
      <c r="P254" s="796"/>
      <c r="Q254" s="782"/>
      <c r="R254" s="769"/>
      <c r="S254" s="783"/>
      <c r="T254" s="783" t="s">
        <v>656</v>
      </c>
      <c r="U254" s="783"/>
      <c r="V254" s="783"/>
      <c r="W254" s="768" t="s">
        <v>659</v>
      </c>
      <c r="X254" s="783" t="s">
        <v>659</v>
      </c>
      <c r="Y254" s="783" t="s">
        <v>659</v>
      </c>
      <c r="Z254" s="783" t="s">
        <v>659</v>
      </c>
      <c r="AA254" s="784" t="s">
        <v>659</v>
      </c>
    </row>
    <row r="255" spans="16:27" ht="14.4" outlineLevel="1">
      <c r="P255" s="797"/>
      <c r="Q255" s="785">
        <v>145.72185337004012</v>
      </c>
      <c r="R255" s="769">
        <v>8</v>
      </c>
      <c r="S255" s="769">
        <v>9</v>
      </c>
      <c r="T255" s="783">
        <v>10</v>
      </c>
      <c r="U255" s="769">
        <v>11</v>
      </c>
      <c r="V255" s="769">
        <v>12</v>
      </c>
      <c r="W255" s="768">
        <v>10</v>
      </c>
      <c r="X255" s="769">
        <v>10</v>
      </c>
      <c r="Y255" s="783">
        <v>10</v>
      </c>
      <c r="Z255" s="769">
        <v>10</v>
      </c>
      <c r="AA255" s="770">
        <v>10</v>
      </c>
    </row>
    <row r="256" spans="16:27" ht="55.8" thickBot="1">
      <c r="P256" s="798" t="s">
        <v>661</v>
      </c>
      <c r="Q256" s="786">
        <v>10</v>
      </c>
      <c r="R256" s="787">
        <v>147.27207761976285</v>
      </c>
      <c r="S256" s="787">
        <v>146.4108419254722</v>
      </c>
      <c r="T256" s="788">
        <v>145.72185337004012</v>
      </c>
      <c r="U256" s="787">
        <v>145.15813546105005</v>
      </c>
      <c r="V256" s="787">
        <v>144.68837053689148</v>
      </c>
      <c r="W256" s="789">
        <v>1.0638241374724799E-2</v>
      </c>
      <c r="X256" s="790">
        <v>4.7281072776537147E-3</v>
      </c>
      <c r="Y256" s="791">
        <v>0</v>
      </c>
      <c r="Z256" s="790">
        <v>-3.8684514089907251E-3</v>
      </c>
      <c r="AA256" s="792">
        <v>-7.0921609164842359E-3</v>
      </c>
    </row>
    <row r="257" spans="16:16">
      <c r="P257" s="154"/>
    </row>
    <row r="258" spans="16:16">
      <c r="P258" s="154"/>
    </row>
  </sheetData>
  <phoneticPr fontId="6" type="noConversion"/>
  <pageMargins left="0.7" right="0.7" top="0.75" bottom="0.75" header="0.3" footer="0.3"/>
  <pageSetup paperSize="9" orientation="landscape" horizontalDpi="4294967293"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33CCCC"/>
    <pageSetUpPr autoPageBreaks="0"/>
  </sheetPr>
  <dimension ref="A1:BZ259"/>
  <sheetViews>
    <sheetView showGridLines="0" zoomScale="85" zoomScaleNormal="85" workbookViewId="0">
      <pane xSplit="3" ySplit="10" topLeftCell="AB158" activePane="bottomRight" state="frozen"/>
      <selection pane="topRight" activeCell="D1" sqref="D1"/>
      <selection pane="bottomLeft" activeCell="A11" sqref="A11"/>
      <selection pane="bottomRight" activeCell="AS170" sqref="AS170"/>
    </sheetView>
  </sheetViews>
  <sheetFormatPr defaultColWidth="0" defaultRowHeight="13.8" outlineLevelRow="1" outlineLevelCol="1"/>
  <cols>
    <col min="1" max="1" width="9.33203125" style="132" customWidth="1"/>
    <col min="2" max="2" width="45.6640625" style="154" customWidth="1"/>
    <col min="3" max="3" width="9.109375" style="155" customWidth="1"/>
    <col min="4" max="22" width="9.109375" style="155" customWidth="1" outlineLevel="1"/>
    <col min="23" max="27" width="9.109375" style="155" customWidth="1"/>
    <col min="28" max="28" width="9.6640625" style="155" customWidth="1"/>
    <col min="29" max="32" width="9.109375" style="155" customWidth="1"/>
    <col min="33" max="34" width="11.5546875" style="155" customWidth="1"/>
    <col min="35" max="35" width="12.6640625" style="155" customWidth="1"/>
    <col min="36" max="36" width="9.6640625" style="155" customWidth="1"/>
    <col min="37" max="78" width="9.109375" style="155" customWidth="1"/>
    <col min="79" max="16384" width="9.109375" style="155" hidden="1"/>
  </cols>
  <sheetData>
    <row r="1" spans="1:78" s="133" customFormat="1">
      <c r="A1" s="132"/>
      <c r="B1" s="154"/>
    </row>
    <row r="2" spans="1:78" s="133" customFormat="1">
      <c r="A2" s="132"/>
      <c r="B2" s="154"/>
    </row>
    <row r="3" spans="1:78" s="133" customFormat="1" ht="15.6">
      <c r="A3" s="132"/>
      <c r="B3" s="223" t="s">
        <v>189</v>
      </c>
    </row>
    <row r="4" spans="1:78" s="133" customFormat="1">
      <c r="A4" s="132"/>
      <c r="B4" s="154"/>
      <c r="AC4" s="161"/>
    </row>
    <row r="5" spans="1:78" s="133" customFormat="1">
      <c r="A5" s="132"/>
      <c r="B5" s="335" t="s">
        <v>151</v>
      </c>
      <c r="AB5" s="161"/>
      <c r="AC5" s="161"/>
    </row>
    <row r="6" spans="1:78" s="133" customFormat="1">
      <c r="A6" s="132"/>
      <c r="B6" s="154"/>
      <c r="Y6" s="135"/>
    </row>
    <row r="7" spans="1:78" s="133" customFormat="1">
      <c r="A7" s="132"/>
      <c r="B7" s="207"/>
      <c r="C7" s="191"/>
      <c r="D7" s="190">
        <f>'P&amp;L'!D4</f>
        <v>0.50273224043715847</v>
      </c>
      <c r="E7" s="190">
        <f>'P&amp;L'!E4</f>
        <v>0.49726775956284153</v>
      </c>
      <c r="F7" s="190">
        <f>'P&amp;L'!F4</f>
        <v>1</v>
      </c>
      <c r="G7" s="191"/>
      <c r="H7" s="190">
        <f>'P&amp;L'!H4</f>
        <v>0.50410958904109593</v>
      </c>
      <c r="I7" s="190">
        <f>'P&amp;L'!I4</f>
        <v>0.49589041095890413</v>
      </c>
      <c r="J7" s="190">
        <f>'P&amp;L'!J4</f>
        <v>1</v>
      </c>
      <c r="K7" s="191"/>
      <c r="L7" s="190">
        <f>'P&amp;L'!L4</f>
        <v>0.50410958904109593</v>
      </c>
      <c r="M7" s="190">
        <f>'P&amp;L'!M4</f>
        <v>0.49589041095890413</v>
      </c>
      <c r="N7" s="190">
        <f>'P&amp;L'!N4</f>
        <v>1</v>
      </c>
      <c r="O7" s="191"/>
      <c r="P7" s="190">
        <f>'P&amp;L'!P4</f>
        <v>0.50410958904109593</v>
      </c>
      <c r="Q7" s="190">
        <f>'P&amp;L'!Q4</f>
        <v>0.49589041095890413</v>
      </c>
      <c r="R7" s="190">
        <f>'P&amp;L'!R4</f>
        <v>1</v>
      </c>
      <c r="S7" s="191"/>
      <c r="T7" s="190">
        <f>'P&amp;L'!T4</f>
        <v>0.50273224043715847</v>
      </c>
      <c r="U7" s="190">
        <f>'P&amp;L'!U4</f>
        <v>0.49726775956284153</v>
      </c>
      <c r="V7" s="190">
        <f>'P&amp;L'!V4</f>
        <v>1</v>
      </c>
      <c r="W7" s="191"/>
      <c r="X7" s="190">
        <f>'P&amp;L'!X4</f>
        <v>0.50410958904109593</v>
      </c>
      <c r="Y7" s="190">
        <f>'P&amp;L'!Y4</f>
        <v>0.49589041095890413</v>
      </c>
      <c r="Z7" s="190">
        <f>'P&amp;L'!Z4</f>
        <v>1</v>
      </c>
      <c r="AA7" s="191"/>
      <c r="AB7" s="190">
        <f>'P&amp;L'!AB4</f>
        <v>0.50410958904109593</v>
      </c>
      <c r="AC7" s="190">
        <f>'P&amp;L'!AC4</f>
        <v>0.50410958904109593</v>
      </c>
      <c r="AD7" s="190">
        <f>'P&amp;L'!AD4</f>
        <v>1</v>
      </c>
      <c r="AE7" s="191"/>
      <c r="AF7" s="190">
        <f>'P&amp;L'!AF4</f>
        <v>0.50410958904109593</v>
      </c>
      <c r="AG7" s="190">
        <f>'P&amp;L'!AG4</f>
        <v>0.49589041095890413</v>
      </c>
      <c r="AH7" s="190">
        <f>'P&amp;L'!AH4</f>
        <v>1</v>
      </c>
      <c r="AI7" s="191"/>
      <c r="AJ7" s="190">
        <f>'P&amp;L'!AJ4</f>
        <v>0.50273224043715847</v>
      </c>
      <c r="AK7" s="190">
        <f>'P&amp;L'!AK4</f>
        <v>0.49726775956284153</v>
      </c>
      <c r="AL7" s="190">
        <f>'P&amp;L'!AL4</f>
        <v>1</v>
      </c>
      <c r="AM7" s="191"/>
      <c r="AN7" s="190">
        <f>'P&amp;L'!AN4</f>
        <v>0.50410958904109593</v>
      </c>
      <c r="AO7" s="190">
        <f>'P&amp;L'!AO4</f>
        <v>0.49589041095890413</v>
      </c>
      <c r="AP7" s="190">
        <f>'P&amp;L'!AP4</f>
        <v>1</v>
      </c>
      <c r="AQ7" s="213"/>
      <c r="AR7" s="212">
        <f>'P&amp;L'!AR4</f>
        <v>0.50410958904109593</v>
      </c>
      <c r="AS7" s="212">
        <f>'P&amp;L'!AS4</f>
        <v>0.49589041095890413</v>
      </c>
      <c r="AT7" s="212">
        <f>'P&amp;L'!AT4</f>
        <v>1</v>
      </c>
      <c r="AU7" s="213"/>
      <c r="AV7" s="212">
        <f>'P&amp;L'!AV4</f>
        <v>0.50410958904109593</v>
      </c>
      <c r="AW7" s="212">
        <f>'P&amp;L'!AW4</f>
        <v>0.49589041095890413</v>
      </c>
      <c r="AX7" s="212">
        <f>'P&amp;L'!AX4</f>
        <v>1</v>
      </c>
      <c r="AY7" s="213"/>
      <c r="AZ7" s="212">
        <f>'P&amp;L'!AZ4</f>
        <v>0.50273224043715847</v>
      </c>
      <c r="BA7" s="212">
        <f>'P&amp;L'!BA4</f>
        <v>0.49726775956284153</v>
      </c>
      <c r="BB7" s="212">
        <f>'P&amp;L'!BB4</f>
        <v>1</v>
      </c>
      <c r="BC7" s="213"/>
      <c r="BD7" s="212">
        <f>'P&amp;L'!BD4</f>
        <v>0.50410958904109593</v>
      </c>
      <c r="BE7" s="212">
        <f>'P&amp;L'!BE4</f>
        <v>0.49589041095890413</v>
      </c>
      <c r="BF7" s="212">
        <f>'P&amp;L'!BF4</f>
        <v>1</v>
      </c>
      <c r="BG7" s="213"/>
      <c r="BH7" s="212">
        <f>'P&amp;L'!BH4</f>
        <v>0.50410958904109593</v>
      </c>
      <c r="BI7" s="212">
        <f>'P&amp;L'!BI4</f>
        <v>0.49589041095890413</v>
      </c>
      <c r="BJ7" s="212">
        <f>'P&amp;L'!BJ4</f>
        <v>1</v>
      </c>
      <c r="BK7" s="213"/>
      <c r="BL7" s="212">
        <f>'P&amp;L'!BL4</f>
        <v>0.50410958904109593</v>
      </c>
      <c r="BM7" s="212">
        <f>'P&amp;L'!BM4</f>
        <v>0.49589041095890413</v>
      </c>
      <c r="BN7" s="212">
        <f>'P&amp;L'!BN4</f>
        <v>1</v>
      </c>
      <c r="BO7" s="213"/>
      <c r="BP7" s="212">
        <f>'P&amp;L'!BP4</f>
        <v>0.50273224043715847</v>
      </c>
      <c r="BQ7" s="212">
        <f>'P&amp;L'!BQ4</f>
        <v>0.49726775956284153</v>
      </c>
      <c r="BR7" s="212">
        <f>'P&amp;L'!BR4</f>
        <v>1</v>
      </c>
      <c r="BS7" s="213"/>
      <c r="BT7" s="212">
        <f>'P&amp;L'!BT4</f>
        <v>0.50410958904109593</v>
      </c>
      <c r="BU7" s="212">
        <f>'P&amp;L'!BU4</f>
        <v>0.49589041095890413</v>
      </c>
      <c r="BV7" s="212">
        <f>'P&amp;L'!BV4</f>
        <v>1</v>
      </c>
      <c r="BW7" s="213"/>
      <c r="BX7" s="212">
        <f>'P&amp;L'!BX4</f>
        <v>0.50410958904109593</v>
      </c>
      <c r="BY7" s="212">
        <f>'P&amp;L'!BY4</f>
        <v>0.49589041095890413</v>
      </c>
      <c r="BZ7" s="212">
        <f>'P&amp;L'!BZ4</f>
        <v>1</v>
      </c>
    </row>
    <row r="8" spans="1:78" s="133" customFormat="1">
      <c r="A8" s="132"/>
      <c r="B8" s="207"/>
      <c r="C8" s="191"/>
      <c r="D8" s="191">
        <f>'P&amp;L'!D5</f>
        <v>184</v>
      </c>
      <c r="E8" s="191">
        <f>'P&amp;L'!E5</f>
        <v>182</v>
      </c>
      <c r="F8" s="191">
        <f>'P&amp;L'!F5</f>
        <v>366</v>
      </c>
      <c r="G8" s="191"/>
      <c r="H8" s="191">
        <f>'P&amp;L'!H5</f>
        <v>184</v>
      </c>
      <c r="I8" s="191">
        <f>'P&amp;L'!I5</f>
        <v>181</v>
      </c>
      <c r="J8" s="191">
        <f>'P&amp;L'!J5</f>
        <v>365</v>
      </c>
      <c r="K8" s="191"/>
      <c r="L8" s="191">
        <f>'P&amp;L'!L5</f>
        <v>184</v>
      </c>
      <c r="M8" s="191">
        <f>'P&amp;L'!M5</f>
        <v>181</v>
      </c>
      <c r="N8" s="191">
        <f>'P&amp;L'!N5</f>
        <v>365</v>
      </c>
      <c r="O8" s="191"/>
      <c r="P8" s="191">
        <f>'P&amp;L'!P5</f>
        <v>184</v>
      </c>
      <c r="Q8" s="191">
        <f>'P&amp;L'!Q5</f>
        <v>181</v>
      </c>
      <c r="R8" s="191">
        <f>'P&amp;L'!R5</f>
        <v>365</v>
      </c>
      <c r="S8" s="191"/>
      <c r="T8" s="191">
        <f>'P&amp;L'!T5</f>
        <v>184</v>
      </c>
      <c r="U8" s="191">
        <f>'P&amp;L'!U5</f>
        <v>182</v>
      </c>
      <c r="V8" s="191">
        <f>'P&amp;L'!V5</f>
        <v>366</v>
      </c>
      <c r="W8" s="191"/>
      <c r="X8" s="191">
        <f>'P&amp;L'!X5</f>
        <v>184</v>
      </c>
      <c r="Y8" s="191">
        <f>'P&amp;L'!Y5</f>
        <v>181</v>
      </c>
      <c r="Z8" s="191">
        <f>'P&amp;L'!Z5</f>
        <v>365</v>
      </c>
      <c r="AA8" s="191"/>
      <c r="AB8" s="191">
        <f>'P&amp;L'!AB5</f>
        <v>184</v>
      </c>
      <c r="AC8" s="191">
        <f>'P&amp;L'!AC5</f>
        <v>184</v>
      </c>
      <c r="AD8" s="191">
        <f>'P&amp;L'!AD5</f>
        <v>365</v>
      </c>
      <c r="AE8" s="191"/>
      <c r="AF8" s="191">
        <f>'P&amp;L'!AF5</f>
        <v>184</v>
      </c>
      <c r="AG8" s="191">
        <f>'P&amp;L'!AG5</f>
        <v>181</v>
      </c>
      <c r="AH8" s="191">
        <f>'P&amp;L'!AH5</f>
        <v>365</v>
      </c>
      <c r="AI8" s="191"/>
      <c r="AJ8" s="191">
        <f>'P&amp;L'!AJ5</f>
        <v>184</v>
      </c>
      <c r="AK8" s="191">
        <f>'P&amp;L'!AK5</f>
        <v>182</v>
      </c>
      <c r="AL8" s="191">
        <f>'P&amp;L'!AL5</f>
        <v>366</v>
      </c>
      <c r="AM8" s="191"/>
      <c r="AN8" s="191">
        <f>'P&amp;L'!AN5</f>
        <v>184</v>
      </c>
      <c r="AO8" s="191">
        <f>'P&amp;L'!AO5</f>
        <v>181</v>
      </c>
      <c r="AP8" s="191">
        <f>'P&amp;L'!AP5</f>
        <v>365</v>
      </c>
      <c r="AQ8" s="213"/>
      <c r="AR8" s="213">
        <f>'P&amp;L'!AR5</f>
        <v>184</v>
      </c>
      <c r="AS8" s="213">
        <f>'P&amp;L'!AS5</f>
        <v>181</v>
      </c>
      <c r="AT8" s="213">
        <f>'P&amp;L'!AT5</f>
        <v>365</v>
      </c>
      <c r="AU8" s="213"/>
      <c r="AV8" s="213">
        <f>'P&amp;L'!AV5</f>
        <v>184</v>
      </c>
      <c r="AW8" s="213">
        <f>'P&amp;L'!AW5</f>
        <v>181</v>
      </c>
      <c r="AX8" s="213">
        <f>'P&amp;L'!AX5</f>
        <v>365</v>
      </c>
      <c r="AY8" s="213"/>
      <c r="AZ8" s="213">
        <f>'P&amp;L'!AZ5</f>
        <v>184</v>
      </c>
      <c r="BA8" s="213">
        <f>'P&amp;L'!BA5</f>
        <v>182</v>
      </c>
      <c r="BB8" s="213">
        <f>'P&amp;L'!BB5</f>
        <v>366</v>
      </c>
      <c r="BC8" s="213"/>
      <c r="BD8" s="213">
        <f>'P&amp;L'!BD5</f>
        <v>184</v>
      </c>
      <c r="BE8" s="213">
        <f>'P&amp;L'!BE5</f>
        <v>181</v>
      </c>
      <c r="BF8" s="213">
        <f>'P&amp;L'!BF5</f>
        <v>365</v>
      </c>
      <c r="BG8" s="213"/>
      <c r="BH8" s="213">
        <f>'P&amp;L'!BH5</f>
        <v>184</v>
      </c>
      <c r="BI8" s="213">
        <f>'P&amp;L'!BI5</f>
        <v>181</v>
      </c>
      <c r="BJ8" s="213">
        <f>'P&amp;L'!BJ5</f>
        <v>365</v>
      </c>
      <c r="BK8" s="213"/>
      <c r="BL8" s="213">
        <f>'P&amp;L'!BL5</f>
        <v>184</v>
      </c>
      <c r="BM8" s="213">
        <f>'P&amp;L'!BM5</f>
        <v>181</v>
      </c>
      <c r="BN8" s="213">
        <f>'P&amp;L'!BN5</f>
        <v>365</v>
      </c>
      <c r="BO8" s="213"/>
      <c r="BP8" s="213">
        <f>'P&amp;L'!BP5</f>
        <v>184</v>
      </c>
      <c r="BQ8" s="213">
        <f>'P&amp;L'!BQ5</f>
        <v>182</v>
      </c>
      <c r="BR8" s="213">
        <f>'P&amp;L'!BR5</f>
        <v>366</v>
      </c>
      <c r="BS8" s="213"/>
      <c r="BT8" s="213">
        <f>'P&amp;L'!BT5</f>
        <v>184</v>
      </c>
      <c r="BU8" s="213">
        <f>'P&amp;L'!BU5</f>
        <v>181</v>
      </c>
      <c r="BV8" s="213">
        <f>'P&amp;L'!BV5</f>
        <v>365</v>
      </c>
      <c r="BW8" s="213"/>
      <c r="BX8" s="213">
        <f>'P&amp;L'!BX5</f>
        <v>184</v>
      </c>
      <c r="BY8" s="213">
        <f>'P&amp;L'!BY5</f>
        <v>181</v>
      </c>
      <c r="BZ8" s="213">
        <f>'P&amp;L'!BZ5</f>
        <v>365</v>
      </c>
    </row>
    <row r="9" spans="1:78" s="135" customFormat="1">
      <c r="A9" s="134"/>
      <c r="B9" s="208"/>
      <c r="C9" s="193"/>
      <c r="D9" s="192">
        <f>'P&amp;L'!D6</f>
        <v>42369</v>
      </c>
      <c r="E9" s="192">
        <f>'P&amp;L'!E6</f>
        <v>42551</v>
      </c>
      <c r="F9" s="192">
        <f>'P&amp;L'!F6</f>
        <v>42551</v>
      </c>
      <c r="G9" s="193"/>
      <c r="H9" s="192">
        <f>'P&amp;L'!H6</f>
        <v>42735</v>
      </c>
      <c r="I9" s="192">
        <f>'P&amp;L'!I6</f>
        <v>42916</v>
      </c>
      <c r="J9" s="192">
        <f>'P&amp;L'!J6</f>
        <v>42916</v>
      </c>
      <c r="K9" s="193"/>
      <c r="L9" s="192">
        <f>'P&amp;L'!L6</f>
        <v>43100</v>
      </c>
      <c r="M9" s="192">
        <f>'P&amp;L'!M6</f>
        <v>43281</v>
      </c>
      <c r="N9" s="192">
        <f>'P&amp;L'!N6</f>
        <v>43281</v>
      </c>
      <c r="O9" s="193"/>
      <c r="P9" s="192">
        <f>'P&amp;L'!P6</f>
        <v>43465</v>
      </c>
      <c r="Q9" s="192">
        <f>'P&amp;L'!Q6</f>
        <v>43646</v>
      </c>
      <c r="R9" s="192">
        <f>'P&amp;L'!R6</f>
        <v>43646</v>
      </c>
      <c r="S9" s="193"/>
      <c r="T9" s="192">
        <f>'P&amp;L'!T6</f>
        <v>43830</v>
      </c>
      <c r="U9" s="192">
        <f>'P&amp;L'!U6</f>
        <v>44012</v>
      </c>
      <c r="V9" s="192">
        <f>'P&amp;L'!V6</f>
        <v>44012</v>
      </c>
      <c r="W9" s="193"/>
      <c r="X9" s="192">
        <f>'P&amp;L'!X6</f>
        <v>44196</v>
      </c>
      <c r="Y9" s="192">
        <f>'P&amp;L'!Y6</f>
        <v>44377</v>
      </c>
      <c r="Z9" s="192">
        <f>'P&amp;L'!Z6</f>
        <v>44377</v>
      </c>
      <c r="AA9" s="193"/>
      <c r="AB9" s="192">
        <f>'P&amp;L'!AB6</f>
        <v>44561</v>
      </c>
      <c r="AC9" s="192">
        <f>'P&amp;L'!AC6</f>
        <v>44742</v>
      </c>
      <c r="AD9" s="192">
        <f>'P&amp;L'!AD6</f>
        <v>44742</v>
      </c>
      <c r="AE9" s="193"/>
      <c r="AF9" s="192">
        <f>'P&amp;L'!AF6</f>
        <v>44926</v>
      </c>
      <c r="AG9" s="192">
        <f>'P&amp;L'!AG6</f>
        <v>45107</v>
      </c>
      <c r="AH9" s="192">
        <f>'P&amp;L'!AH6</f>
        <v>45107</v>
      </c>
      <c r="AI9" s="193"/>
      <c r="AJ9" s="192">
        <f>'P&amp;L'!AJ6</f>
        <v>45291</v>
      </c>
      <c r="AK9" s="192">
        <f>'P&amp;L'!AK6</f>
        <v>45473</v>
      </c>
      <c r="AL9" s="192">
        <f>'P&amp;L'!AL6</f>
        <v>45473</v>
      </c>
      <c r="AM9" s="193"/>
      <c r="AN9" s="192">
        <f>'P&amp;L'!AN6</f>
        <v>45657</v>
      </c>
      <c r="AO9" s="192">
        <f>'P&amp;L'!AO6</f>
        <v>45838</v>
      </c>
      <c r="AP9" s="192">
        <f>'P&amp;L'!AP6</f>
        <v>45838</v>
      </c>
      <c r="AQ9" s="215"/>
      <c r="AR9" s="214">
        <f>'P&amp;L'!AR6</f>
        <v>46022</v>
      </c>
      <c r="AS9" s="214">
        <f>'P&amp;L'!AS6</f>
        <v>46203</v>
      </c>
      <c r="AT9" s="214">
        <f>'P&amp;L'!AT6</f>
        <v>46203</v>
      </c>
      <c r="AU9" s="215"/>
      <c r="AV9" s="214">
        <f>'P&amp;L'!AV6</f>
        <v>46387</v>
      </c>
      <c r="AW9" s="214">
        <f>'P&amp;L'!AW6</f>
        <v>46568</v>
      </c>
      <c r="AX9" s="214">
        <f>'P&amp;L'!AX6</f>
        <v>46568</v>
      </c>
      <c r="AY9" s="215"/>
      <c r="AZ9" s="214">
        <f>'P&amp;L'!AZ6</f>
        <v>46752</v>
      </c>
      <c r="BA9" s="214">
        <f>'P&amp;L'!BA6</f>
        <v>46934</v>
      </c>
      <c r="BB9" s="214">
        <f>'P&amp;L'!BB6</f>
        <v>46934</v>
      </c>
      <c r="BC9" s="215"/>
      <c r="BD9" s="214">
        <f>'P&amp;L'!BD6</f>
        <v>47118</v>
      </c>
      <c r="BE9" s="214">
        <f>'P&amp;L'!BE6</f>
        <v>47299</v>
      </c>
      <c r="BF9" s="214">
        <f>'P&amp;L'!BF6</f>
        <v>47299</v>
      </c>
      <c r="BG9" s="215"/>
      <c r="BH9" s="214">
        <f>'P&amp;L'!BH6</f>
        <v>47483</v>
      </c>
      <c r="BI9" s="214">
        <f>'P&amp;L'!BI6</f>
        <v>47664</v>
      </c>
      <c r="BJ9" s="214">
        <f>'P&amp;L'!BJ6</f>
        <v>47664</v>
      </c>
      <c r="BK9" s="215"/>
      <c r="BL9" s="214">
        <f>'P&amp;L'!BL6</f>
        <v>47848</v>
      </c>
      <c r="BM9" s="214">
        <f>'P&amp;L'!BM6</f>
        <v>48029</v>
      </c>
      <c r="BN9" s="214">
        <f>'P&amp;L'!BN6</f>
        <v>48029</v>
      </c>
      <c r="BO9" s="215"/>
      <c r="BP9" s="214">
        <f>'P&amp;L'!BP6</f>
        <v>48213</v>
      </c>
      <c r="BQ9" s="214">
        <f>'P&amp;L'!BQ6</f>
        <v>48395</v>
      </c>
      <c r="BR9" s="214">
        <f>'P&amp;L'!BR6</f>
        <v>48395</v>
      </c>
      <c r="BS9" s="215"/>
      <c r="BT9" s="214">
        <f>'P&amp;L'!BT6</f>
        <v>48579</v>
      </c>
      <c r="BU9" s="214">
        <f>'P&amp;L'!BU6</f>
        <v>48760</v>
      </c>
      <c r="BV9" s="214">
        <f>'P&amp;L'!BV6</f>
        <v>48760</v>
      </c>
      <c r="BW9" s="215"/>
      <c r="BX9" s="214">
        <f>'P&amp;L'!BX6</f>
        <v>48944</v>
      </c>
      <c r="BY9" s="214">
        <f>'P&amp;L'!BY6</f>
        <v>49125</v>
      </c>
      <c r="BZ9" s="214">
        <f>'P&amp;L'!BZ6</f>
        <v>49125</v>
      </c>
    </row>
    <row r="10" spans="1:78" s="135" customFormat="1">
      <c r="A10" s="134"/>
      <c r="B10" s="246" t="str">
        <f>'P&amp;L'!B7</f>
        <v>A$'m</v>
      </c>
      <c r="C10" s="193"/>
      <c r="D10" s="193" t="str">
        <f>'P&amp;L'!D7</f>
        <v>1H16</v>
      </c>
      <c r="E10" s="193" t="str">
        <f>'P&amp;L'!E7</f>
        <v>2H16</v>
      </c>
      <c r="F10" s="193" t="str">
        <f>'P&amp;L'!F7</f>
        <v>FY16</v>
      </c>
      <c r="G10" s="193"/>
      <c r="H10" s="193" t="str">
        <f>'P&amp;L'!H7</f>
        <v>1H17</v>
      </c>
      <c r="I10" s="193" t="str">
        <f>'P&amp;L'!I7</f>
        <v>2H17</v>
      </c>
      <c r="J10" s="193" t="str">
        <f>'P&amp;L'!J7</f>
        <v>FY17</v>
      </c>
      <c r="K10" s="193"/>
      <c r="L10" s="193" t="str">
        <f>'P&amp;L'!L7</f>
        <v>1H18</v>
      </c>
      <c r="M10" s="193" t="str">
        <f>'P&amp;L'!M7</f>
        <v>2H18</v>
      </c>
      <c r="N10" s="193" t="str">
        <f>'P&amp;L'!N7</f>
        <v>FY18</v>
      </c>
      <c r="O10" s="193"/>
      <c r="P10" s="193" t="str">
        <f>'P&amp;L'!P7</f>
        <v>1H19</v>
      </c>
      <c r="Q10" s="193" t="str">
        <f>'P&amp;L'!Q7</f>
        <v>2H19</v>
      </c>
      <c r="R10" s="193" t="str">
        <f>'P&amp;L'!R7</f>
        <v>FY19</v>
      </c>
      <c r="S10" s="193"/>
      <c r="T10" s="193" t="str">
        <f>'P&amp;L'!T7</f>
        <v>1H20</v>
      </c>
      <c r="U10" s="193" t="str">
        <f>'P&amp;L'!U7</f>
        <v>2H20</v>
      </c>
      <c r="V10" s="193" t="str">
        <f>'P&amp;L'!V7</f>
        <v>FY20</v>
      </c>
      <c r="W10" s="193"/>
      <c r="X10" s="193" t="str">
        <f>'P&amp;L'!X7</f>
        <v>1H21</v>
      </c>
      <c r="Y10" s="193" t="str">
        <f>'P&amp;L'!Y7</f>
        <v>2H21</v>
      </c>
      <c r="Z10" s="193" t="str">
        <f>'P&amp;L'!Z7</f>
        <v>FY21</v>
      </c>
      <c r="AA10" s="193"/>
      <c r="AB10" s="193" t="str">
        <f>'P&amp;L'!AB7</f>
        <v>1H22</v>
      </c>
      <c r="AC10" s="193" t="str">
        <f>'P&amp;L'!AC7</f>
        <v>2H22</v>
      </c>
      <c r="AD10" s="193" t="str">
        <f>'P&amp;L'!AD7</f>
        <v>FY22</v>
      </c>
      <c r="AE10" s="193"/>
      <c r="AF10" s="193" t="str">
        <f>'P&amp;L'!AF7</f>
        <v>1H23</v>
      </c>
      <c r="AG10" s="193" t="str">
        <f>'P&amp;L'!AG7</f>
        <v>2H23</v>
      </c>
      <c r="AH10" s="193" t="str">
        <f>'P&amp;L'!AH7</f>
        <v>FY23</v>
      </c>
      <c r="AI10" s="193"/>
      <c r="AJ10" s="193" t="str">
        <f>'P&amp;L'!AJ7</f>
        <v>1H24</v>
      </c>
      <c r="AK10" s="193" t="str">
        <f>'P&amp;L'!AK7</f>
        <v>2H24</v>
      </c>
      <c r="AL10" s="193" t="str">
        <f>'P&amp;L'!AL7</f>
        <v>FY24</v>
      </c>
      <c r="AM10" s="193"/>
      <c r="AN10" s="193" t="str">
        <f>'P&amp;L'!AN7</f>
        <v>1H25</v>
      </c>
      <c r="AO10" s="193" t="str">
        <f>'P&amp;L'!AO7</f>
        <v>2H25</v>
      </c>
      <c r="AP10" s="193" t="str">
        <f>'P&amp;L'!AP7</f>
        <v>FY25</v>
      </c>
      <c r="AQ10" s="215"/>
      <c r="AR10" s="215" t="str">
        <f>'P&amp;L'!AR7</f>
        <v>1H26E</v>
      </c>
      <c r="AS10" s="215" t="str">
        <f>'P&amp;L'!AS7</f>
        <v>2H26E</v>
      </c>
      <c r="AT10" s="215" t="str">
        <f>'P&amp;L'!AT7</f>
        <v>FY26E</v>
      </c>
      <c r="AU10" s="215"/>
      <c r="AV10" s="215" t="str">
        <f>'P&amp;L'!AV7</f>
        <v>1H27E</v>
      </c>
      <c r="AW10" s="215" t="str">
        <f>'P&amp;L'!AW7</f>
        <v>2H27E</v>
      </c>
      <c r="AX10" s="215" t="str">
        <f>'P&amp;L'!AX7</f>
        <v>FY27E</v>
      </c>
      <c r="AY10" s="215"/>
      <c r="AZ10" s="215" t="str">
        <f>'P&amp;L'!AZ7</f>
        <v>1H28E</v>
      </c>
      <c r="BA10" s="215" t="str">
        <f>'P&amp;L'!BA7</f>
        <v>2H28E</v>
      </c>
      <c r="BB10" s="215" t="str">
        <f>'P&amp;L'!BB7</f>
        <v>FY28E</v>
      </c>
      <c r="BC10" s="215"/>
      <c r="BD10" s="215" t="str">
        <f>'P&amp;L'!BD7</f>
        <v>1H29E</v>
      </c>
      <c r="BE10" s="215" t="str">
        <f>'P&amp;L'!BE7</f>
        <v>2H29E</v>
      </c>
      <c r="BF10" s="215" t="str">
        <f>'P&amp;L'!BF7</f>
        <v>FY29E</v>
      </c>
      <c r="BG10" s="215"/>
      <c r="BH10" s="215" t="str">
        <f>'P&amp;L'!BH7</f>
        <v>1H30E</v>
      </c>
      <c r="BI10" s="215" t="str">
        <f>'P&amp;L'!BI7</f>
        <v>2H30E</v>
      </c>
      <c r="BJ10" s="215" t="str">
        <f>'P&amp;L'!BJ7</f>
        <v>FY30E</v>
      </c>
      <c r="BK10" s="215"/>
      <c r="BL10" s="215" t="str">
        <f>'P&amp;L'!BL7</f>
        <v>1H31E</v>
      </c>
      <c r="BM10" s="215" t="str">
        <f>'P&amp;L'!BM7</f>
        <v>2H31E</v>
      </c>
      <c r="BN10" s="215" t="str">
        <f>'P&amp;L'!BN7</f>
        <v>FY31E</v>
      </c>
      <c r="BO10" s="215"/>
      <c r="BP10" s="215" t="str">
        <f>'P&amp;L'!BP7</f>
        <v>1H32E</v>
      </c>
      <c r="BQ10" s="215" t="str">
        <f>'P&amp;L'!BQ7</f>
        <v>2H32E</v>
      </c>
      <c r="BR10" s="215" t="str">
        <f>'P&amp;L'!BR7</f>
        <v>FY32E</v>
      </c>
      <c r="BS10" s="215"/>
      <c r="BT10" s="215" t="str">
        <f>'P&amp;L'!BT7</f>
        <v>1H33E</v>
      </c>
      <c r="BU10" s="215" t="str">
        <f>'P&amp;L'!BU7</f>
        <v>2H33E</v>
      </c>
      <c r="BV10" s="215" t="str">
        <f>'P&amp;L'!BV7</f>
        <v>FY33E</v>
      </c>
      <c r="BW10" s="215"/>
      <c r="BX10" s="215" t="str">
        <f>'P&amp;L'!BX7</f>
        <v>1H34E</v>
      </c>
      <c r="BY10" s="215" t="str">
        <f>'P&amp;L'!BY7</f>
        <v>2H34E</v>
      </c>
      <c r="BZ10" s="215" t="str">
        <f>'P&amp;L'!BZ7</f>
        <v>FY34E</v>
      </c>
    </row>
    <row r="12" spans="1:78">
      <c r="A12" s="822" t="s">
        <v>557</v>
      </c>
      <c r="B12" s="162" t="s">
        <v>3</v>
      </c>
      <c r="AE12" s="455"/>
    </row>
    <row r="13" spans="1:78">
      <c r="A13" s="823" cm="1">
        <f t="array" ref="A13">COUNT(IF(K13:DT13&lt;0,1,""))</f>
        <v>0</v>
      </c>
      <c r="B13" s="160" t="s">
        <v>4</v>
      </c>
      <c r="C13" s="196"/>
      <c r="D13" s="195">
        <f>D113</f>
        <v>50.906999999999996</v>
      </c>
      <c r="E13" s="195">
        <f>E113</f>
        <v>70.933000000000007</v>
      </c>
      <c r="F13" s="195">
        <f>F113</f>
        <v>70.933000000000007</v>
      </c>
      <c r="H13" s="195">
        <f>H113</f>
        <v>61.027000000000001</v>
      </c>
      <c r="I13" s="195">
        <f>I113</f>
        <v>60.231000000000002</v>
      </c>
      <c r="J13" s="195">
        <f>J113</f>
        <v>60.231000000000002</v>
      </c>
      <c r="L13" s="195">
        <f>L113</f>
        <v>65.474000000000004</v>
      </c>
      <c r="M13" s="195">
        <f>M113</f>
        <v>58.688000000000002</v>
      </c>
      <c r="N13" s="195">
        <f>N113</f>
        <v>58.688000000000002</v>
      </c>
      <c r="P13" s="195">
        <f>P113</f>
        <v>71.34</v>
      </c>
      <c r="Q13" s="195">
        <f>Q113</f>
        <v>70.016000000000005</v>
      </c>
      <c r="R13" s="195">
        <f>R113</f>
        <v>70.016000000000005</v>
      </c>
      <c r="T13" s="195">
        <f>T113</f>
        <v>49.972000000000001</v>
      </c>
      <c r="U13" s="195">
        <f>U113</f>
        <v>84.373999999999995</v>
      </c>
      <c r="V13" s="195">
        <f>V113</f>
        <v>84.373999999999995</v>
      </c>
      <c r="X13" s="195">
        <f>X113</f>
        <v>66.302999999999997</v>
      </c>
      <c r="Y13" s="195">
        <f>Y113</f>
        <v>76.587999999999994</v>
      </c>
      <c r="Z13" s="195">
        <f>Z113</f>
        <v>76.587999999999994</v>
      </c>
      <c r="AB13" s="195">
        <f>AB113</f>
        <v>75.766999999999996</v>
      </c>
      <c r="AC13" s="195">
        <f>AC113</f>
        <v>259.32900000000001</v>
      </c>
      <c r="AD13" s="195">
        <f>AD113</f>
        <v>259.32900000000001</v>
      </c>
      <c r="AE13" s="455"/>
      <c r="AF13" s="195">
        <f>AF113</f>
        <v>192.94399999999999</v>
      </c>
      <c r="AG13" s="195">
        <f>AG113</f>
        <v>260.35199999999998</v>
      </c>
      <c r="AH13" s="195">
        <f>AH113</f>
        <v>260.35199999999998</v>
      </c>
      <c r="AI13" s="455"/>
      <c r="AJ13" s="195">
        <f>AJ113</f>
        <v>208.77600000000001</v>
      </c>
      <c r="AK13" s="195">
        <f>AK113</f>
        <v>377.36599999999999</v>
      </c>
      <c r="AL13" s="195">
        <f>AL113</f>
        <v>377.36599999999999</v>
      </c>
      <c r="AN13" s="195">
        <f>AN113</f>
        <v>210.892</v>
      </c>
      <c r="AO13" s="195">
        <f>AO113</f>
        <v>279.26600000000002</v>
      </c>
      <c r="AP13" s="195">
        <f>AP113</f>
        <v>279.26600000000002</v>
      </c>
      <c r="AR13" s="195">
        <f>AR113</f>
        <v>262.99965369959091</v>
      </c>
      <c r="AS13" s="195">
        <f>AS113</f>
        <v>449.58953350758975</v>
      </c>
      <c r="AT13" s="195">
        <f>AT113</f>
        <v>449.58953350758975</v>
      </c>
      <c r="AV13" s="195">
        <f>AV113</f>
        <v>368.07502975177863</v>
      </c>
      <c r="AW13" s="195">
        <f>AW113</f>
        <v>572.14484644381105</v>
      </c>
      <c r="AX13" s="195">
        <f>AX113</f>
        <v>572.14484644381105</v>
      </c>
      <c r="AZ13" s="195">
        <f>AZ113</f>
        <v>450.66038517882225</v>
      </c>
      <c r="BA13" s="195">
        <f>BA113</f>
        <v>656.60562467520867</v>
      </c>
      <c r="BB13" s="195">
        <f>BB113</f>
        <v>656.6056246752089</v>
      </c>
      <c r="BD13" s="195">
        <f>BD113</f>
        <v>534.54264116114837</v>
      </c>
      <c r="BE13" s="195">
        <f>BE113</f>
        <v>759.84157743402398</v>
      </c>
      <c r="BF13" s="195">
        <f>BF113</f>
        <v>759.84157743402398</v>
      </c>
      <c r="BH13" s="195">
        <f>BH113</f>
        <v>626.93929922521511</v>
      </c>
      <c r="BI13" s="195">
        <f>BI113</f>
        <v>862.8834270100383</v>
      </c>
      <c r="BJ13" s="195">
        <f>BJ113</f>
        <v>862.8834270100383</v>
      </c>
      <c r="BL13" s="195">
        <f>BL113</f>
        <v>723.668010716656</v>
      </c>
      <c r="BM13" s="195">
        <f>BM113</f>
        <v>970.61309488199686</v>
      </c>
      <c r="BN13" s="195">
        <f>BN113</f>
        <v>970.61309488199686</v>
      </c>
      <c r="BP13" s="195">
        <f>BP113</f>
        <v>848.84544993424879</v>
      </c>
      <c r="BQ13" s="195">
        <f>BQ113</f>
        <v>1099.133837573966</v>
      </c>
      <c r="BR13" s="195">
        <f>BR113</f>
        <v>1099.133837573966</v>
      </c>
      <c r="BT13" s="195">
        <f>BT113</f>
        <v>950.59170970274477</v>
      </c>
      <c r="BU13" s="195">
        <f>BU113</f>
        <v>1222.8560519348352</v>
      </c>
      <c r="BV13" s="195">
        <f>BV113</f>
        <v>1222.8560519348352</v>
      </c>
      <c r="BX13" s="195">
        <f>BX113</f>
        <v>1061.9214551297878</v>
      </c>
      <c r="BY13" s="195">
        <f>BY113</f>
        <v>1346.4385059647125</v>
      </c>
      <c r="BZ13" s="195">
        <f>BZ113</f>
        <v>1346.4385059647125</v>
      </c>
    </row>
    <row r="14" spans="1:78">
      <c r="A14" s="823" cm="1">
        <f t="array" ref="A14">COUNT(IF(K14:DT14&lt;0,1,""))</f>
        <v>0</v>
      </c>
      <c r="B14" s="335" t="s">
        <v>190</v>
      </c>
      <c r="C14" s="155" t="s">
        <v>406</v>
      </c>
      <c r="D14" s="195">
        <f>D115</f>
        <v>91.722999999999999</v>
      </c>
      <c r="E14" s="195">
        <f>E115</f>
        <v>87.513000000000005</v>
      </c>
      <c r="F14" s="195">
        <f>F115</f>
        <v>87.513000000000005</v>
      </c>
      <c r="H14" s="195">
        <f>H115</f>
        <v>86.097999999999999</v>
      </c>
      <c r="I14" s="195">
        <f>I115</f>
        <v>93.087000000000003</v>
      </c>
      <c r="J14" s="195">
        <f>J115</f>
        <v>93.087000000000003</v>
      </c>
      <c r="L14" s="195">
        <f>L115</f>
        <v>93.626999999999995</v>
      </c>
      <c r="M14" s="195">
        <f>M115</f>
        <v>99.968999999999994</v>
      </c>
      <c r="N14" s="195">
        <f>N115</f>
        <v>99.968999999999994</v>
      </c>
      <c r="P14" s="195">
        <f>P115</f>
        <v>114.08799999999999</v>
      </c>
      <c r="Q14" s="195">
        <f>Q115</f>
        <v>149.98099999999999</v>
      </c>
      <c r="R14" s="195">
        <f>R115</f>
        <v>149.98099999999999</v>
      </c>
      <c r="T14" s="195">
        <f>T115</f>
        <v>134.80500000000001</v>
      </c>
      <c r="U14" s="195">
        <f>U115</f>
        <v>158.77699999999999</v>
      </c>
      <c r="V14" s="195">
        <f>V115</f>
        <v>158.77699999999999</v>
      </c>
      <c r="X14" s="195">
        <f>X115</f>
        <v>159.84700000000001</v>
      </c>
      <c r="Y14" s="195">
        <f>Y115</f>
        <v>205.232</v>
      </c>
      <c r="Z14" s="195">
        <f>Z115</f>
        <v>205.232</v>
      </c>
      <c r="AB14" s="195">
        <f>AB115</f>
        <v>196.785</v>
      </c>
      <c r="AC14" s="195">
        <f>AC115</f>
        <v>333.13099999999997</v>
      </c>
      <c r="AD14" s="195">
        <f>AD115</f>
        <v>333.13099999999997</v>
      </c>
      <c r="AE14" s="455"/>
      <c r="AF14" s="195">
        <f>AF115</f>
        <v>834.43399999999997</v>
      </c>
      <c r="AG14" s="195">
        <f>AG115</f>
        <v>936.36900000000003</v>
      </c>
      <c r="AH14" s="195">
        <f>AH115</f>
        <v>936.36900000000003</v>
      </c>
      <c r="AI14" s="455"/>
      <c r="AJ14" s="195">
        <f>AJ115</f>
        <v>884.351</v>
      </c>
      <c r="AK14" s="195">
        <f>AK115</f>
        <v>908.95</v>
      </c>
      <c r="AL14" s="195">
        <f>AL115</f>
        <v>908.95</v>
      </c>
      <c r="AN14" s="195">
        <f>AN115</f>
        <v>1029.251</v>
      </c>
      <c r="AO14" s="195">
        <f>AO115</f>
        <v>1063.3720000000001</v>
      </c>
      <c r="AP14" s="195">
        <f>AP115</f>
        <v>1063.3720000000001</v>
      </c>
      <c r="AR14" s="195">
        <f>AR115</f>
        <v>1030.0508582541397</v>
      </c>
      <c r="AS14" s="195">
        <f>AS115</f>
        <v>1129.1244087803457</v>
      </c>
      <c r="AT14" s="195">
        <f>AT115</f>
        <v>1129.1244087803457</v>
      </c>
      <c r="AV14" s="195">
        <f>AV115</f>
        <v>1076.2669898162765</v>
      </c>
      <c r="AW14" s="195">
        <f>AW115</f>
        <v>1182.4166548483824</v>
      </c>
      <c r="AX14" s="195">
        <f>AX115</f>
        <v>1182.4166548483824</v>
      </c>
      <c r="AZ14" s="195">
        <f>AZ115</f>
        <v>1125.6081049478667</v>
      </c>
      <c r="BA14" s="195">
        <f>BA115</f>
        <v>1232.4022870244135</v>
      </c>
      <c r="BB14" s="195">
        <f>BB115</f>
        <v>1232.4022870244135</v>
      </c>
      <c r="BD14" s="195">
        <f>BD115</f>
        <v>1164.8631283607513</v>
      </c>
      <c r="BE14" s="195">
        <f>BE115</f>
        <v>1284.8592242634229</v>
      </c>
      <c r="BF14" s="195">
        <f>BF115</f>
        <v>1284.8592242634229</v>
      </c>
      <c r="BH14" s="195">
        <f>BH115</f>
        <v>1209.1752723742497</v>
      </c>
      <c r="BI14" s="195">
        <f>BI115</f>
        <v>1336.2126085839795</v>
      </c>
      <c r="BJ14" s="195">
        <f>BJ115</f>
        <v>1336.2126085839795</v>
      </c>
      <c r="BL14" s="195">
        <f>BL115</f>
        <v>1255.5673142270584</v>
      </c>
      <c r="BM14" s="195">
        <f>BM115</f>
        <v>1390.0006336400738</v>
      </c>
      <c r="BN14" s="195">
        <f>BN115</f>
        <v>1390.0006336400738</v>
      </c>
      <c r="BP14" s="195">
        <f>BP115</f>
        <v>1307.7154652908062</v>
      </c>
      <c r="BQ14" s="195">
        <f>BQ115</f>
        <v>1442.3381954409406</v>
      </c>
      <c r="BR14" s="195">
        <f>BR115</f>
        <v>1442.3381954409406</v>
      </c>
      <c r="BT14" s="195">
        <f>BT115</f>
        <v>1355.0092333832683</v>
      </c>
      <c r="BU14" s="195">
        <f>BU115</f>
        <v>1505.3708856745443</v>
      </c>
      <c r="BV14" s="195">
        <f>BV115</f>
        <v>1505.3708856745443</v>
      </c>
      <c r="BX14" s="195">
        <f>BX115</f>
        <v>1408.2816267937537</v>
      </c>
      <c r="BY14" s="195">
        <f>BY115</f>
        <v>1567.2139895487107</v>
      </c>
      <c r="BZ14" s="195">
        <f>BZ115</f>
        <v>1567.2139895487107</v>
      </c>
    </row>
    <row r="15" spans="1:78">
      <c r="A15" s="823" cm="1">
        <f t="array" ref="A15">COUNT(IF(K15:DT15&lt;0,1,""))</f>
        <v>0</v>
      </c>
      <c r="B15" s="160" t="s">
        <v>191</v>
      </c>
      <c r="C15" s="155" t="s">
        <v>406</v>
      </c>
      <c r="D15" s="195">
        <f>D121</f>
        <v>138.88399999999999</v>
      </c>
      <c r="E15" s="195">
        <f>E121</f>
        <v>165.80099999999999</v>
      </c>
      <c r="F15" s="195">
        <f>F121</f>
        <v>165.80099999999999</v>
      </c>
      <c r="H15" s="195">
        <f>H121</f>
        <v>123.572</v>
      </c>
      <c r="I15" s="195">
        <f>I121</f>
        <v>175.97900000000001</v>
      </c>
      <c r="J15" s="195">
        <f>J121</f>
        <v>175.97900000000001</v>
      </c>
      <c r="L15" s="195">
        <f>L121</f>
        <v>115.77500000000001</v>
      </c>
      <c r="M15" s="195">
        <f>M121</f>
        <v>179.70400000000001</v>
      </c>
      <c r="N15" s="195">
        <f>N121</f>
        <v>179.70400000000001</v>
      </c>
      <c r="P15" s="195">
        <f>P121</f>
        <v>139.40299999999999</v>
      </c>
      <c r="Q15" s="195">
        <f>Q121</f>
        <v>79.591999999999999</v>
      </c>
      <c r="R15" s="195">
        <f>R121</f>
        <v>79.591999999999999</v>
      </c>
      <c r="T15" s="195">
        <f>T121</f>
        <v>68.495000000000005</v>
      </c>
      <c r="U15" s="195">
        <f>U121</f>
        <v>68.677000000000007</v>
      </c>
      <c r="V15" s="195">
        <f>V121</f>
        <v>68.677000000000007</v>
      </c>
      <c r="X15" s="195">
        <f>X121</f>
        <v>57.67</v>
      </c>
      <c r="Y15" s="195">
        <f>Y121</f>
        <v>64.081000000000003</v>
      </c>
      <c r="Z15" s="195">
        <f>Z121</f>
        <v>64.081000000000003</v>
      </c>
      <c r="AB15" s="195">
        <f>AB121</f>
        <v>62.613</v>
      </c>
      <c r="AC15" s="195">
        <f>AC121</f>
        <v>117.679</v>
      </c>
      <c r="AD15" s="195">
        <f>AD121</f>
        <v>117.679</v>
      </c>
      <c r="AE15" s="455"/>
      <c r="AF15" s="195">
        <f>AF121</f>
        <v>269.12099999999998</v>
      </c>
      <c r="AG15" s="195">
        <f>AG121</f>
        <v>313.07900000000001</v>
      </c>
      <c r="AH15" s="195">
        <f>AH121</f>
        <v>313.07900000000001</v>
      </c>
      <c r="AI15" s="455"/>
      <c r="AJ15" s="195">
        <f>AJ121</f>
        <v>235.28</v>
      </c>
      <c r="AK15" s="195">
        <f>AK121</f>
        <v>286.94</v>
      </c>
      <c r="AL15" s="195">
        <f>AL121</f>
        <v>286.94</v>
      </c>
      <c r="AN15" s="195">
        <f>AN121</f>
        <v>250.309</v>
      </c>
      <c r="AO15" s="195">
        <f>AO121</f>
        <v>301.05099999999999</v>
      </c>
      <c r="AP15" s="195">
        <f>AP121</f>
        <v>301.05099999999999</v>
      </c>
      <c r="AR15" s="195">
        <f>AR121</f>
        <v>287.80832804159775</v>
      </c>
      <c r="AS15" s="195">
        <f>AS121</f>
        <v>315.49064362980249</v>
      </c>
      <c r="AT15" s="195">
        <f>AT121</f>
        <v>315.49064362980249</v>
      </c>
      <c r="AV15" s="195">
        <f>AV121</f>
        <v>300.72165891925368</v>
      </c>
      <c r="AW15" s="195">
        <f>AW121</f>
        <v>330.38112414881266</v>
      </c>
      <c r="AX15" s="195">
        <f>AX121</f>
        <v>330.38112414881266</v>
      </c>
      <c r="AZ15" s="195">
        <f>AZ121</f>
        <v>331.06120733760781</v>
      </c>
      <c r="BA15" s="195">
        <f>BA121</f>
        <v>362.47126088953337</v>
      </c>
      <c r="BB15" s="195">
        <f>BB121</f>
        <v>362.47126088953337</v>
      </c>
      <c r="BD15" s="195">
        <f>BD121</f>
        <v>342.6068024590445</v>
      </c>
      <c r="BE15" s="195">
        <f>BE121</f>
        <v>377.89977184218321</v>
      </c>
      <c r="BF15" s="195">
        <f>BF121</f>
        <v>377.89977184218321</v>
      </c>
      <c r="BH15" s="195">
        <f>BH121</f>
        <v>355.63978599242637</v>
      </c>
      <c r="BI15" s="195">
        <f>BI121</f>
        <v>393.00370840705278</v>
      </c>
      <c r="BJ15" s="195">
        <f>BJ121</f>
        <v>393.00370840705278</v>
      </c>
      <c r="BL15" s="195">
        <f>BL121</f>
        <v>369.28450418442895</v>
      </c>
      <c r="BM15" s="195">
        <f>BM121</f>
        <v>408.82371577649229</v>
      </c>
      <c r="BN15" s="195">
        <f>BN121</f>
        <v>408.82371577649229</v>
      </c>
      <c r="BP15" s="195">
        <f>BP121</f>
        <v>365.39108589007816</v>
      </c>
      <c r="BQ15" s="195">
        <f>BQ121</f>
        <v>403.00626049085099</v>
      </c>
      <c r="BR15" s="195">
        <f>BR121</f>
        <v>403.00626049085099</v>
      </c>
      <c r="BT15" s="195">
        <f>BT121</f>
        <v>378.60552109238375</v>
      </c>
      <c r="BU15" s="195">
        <f>BU121</f>
        <v>420.61833570318146</v>
      </c>
      <c r="BV15" s="195">
        <f>BV121</f>
        <v>420.61833570318146</v>
      </c>
      <c r="BX15" s="195">
        <f>BX121</f>
        <v>393.49045454531353</v>
      </c>
      <c r="BY15" s="195">
        <f>BY121</f>
        <v>437.89802649155155</v>
      </c>
      <c r="BZ15" s="195">
        <f>BZ121</f>
        <v>437.89802649155155</v>
      </c>
    </row>
    <row r="16" spans="1:78">
      <c r="A16" s="823" cm="1">
        <f t="array" ref="A16">COUNT(IF(K16:DT16&lt;0,1,""))</f>
        <v>0</v>
      </c>
      <c r="B16" s="160" t="s">
        <v>192</v>
      </c>
      <c r="C16" s="155" t="s">
        <v>406</v>
      </c>
      <c r="D16" s="195">
        <f t="shared" ref="D16:F17" si="0">D124</f>
        <v>0</v>
      </c>
      <c r="E16" s="195">
        <f t="shared" si="0"/>
        <v>0</v>
      </c>
      <c r="F16" s="195">
        <f t="shared" si="0"/>
        <v>0</v>
      </c>
      <c r="H16" s="195">
        <f t="shared" ref="H16:J17" si="1">H124</f>
        <v>0</v>
      </c>
      <c r="I16" s="195">
        <f t="shared" si="1"/>
        <v>0</v>
      </c>
      <c r="J16" s="195">
        <f t="shared" si="1"/>
        <v>0</v>
      </c>
      <c r="L16" s="195">
        <f t="shared" ref="L16:N17" si="2">L124</f>
        <v>0</v>
      </c>
      <c r="M16" s="195">
        <f t="shared" si="2"/>
        <v>0</v>
      </c>
      <c r="N16" s="195">
        <f t="shared" si="2"/>
        <v>0</v>
      </c>
      <c r="P16" s="195">
        <f t="shared" ref="P16:R17" si="3">P124</f>
        <v>0</v>
      </c>
      <c r="Q16" s="195">
        <f t="shared" si="3"/>
        <v>0</v>
      </c>
      <c r="R16" s="195">
        <f t="shared" si="3"/>
        <v>0</v>
      </c>
      <c r="T16" s="195">
        <f t="shared" ref="T16:V17" si="4">T124</f>
        <v>0</v>
      </c>
      <c r="U16" s="195">
        <f t="shared" si="4"/>
        <v>0.52900000000000003</v>
      </c>
      <c r="V16" s="195">
        <f t="shared" si="4"/>
        <v>0.52900000000000003</v>
      </c>
      <c r="X16" s="195">
        <f t="shared" ref="X16:Z17" si="5">X124</f>
        <v>0.753</v>
      </c>
      <c r="Y16" s="195">
        <f t="shared" si="5"/>
        <v>1.0449999999999999</v>
      </c>
      <c r="Z16" s="195">
        <f t="shared" si="5"/>
        <v>1.0449999999999999</v>
      </c>
      <c r="AB16" s="195">
        <f t="shared" ref="AB16:AD17" si="6">AB124</f>
        <v>0.872</v>
      </c>
      <c r="AC16" s="195">
        <f t="shared" si="6"/>
        <v>1.02</v>
      </c>
      <c r="AD16" s="195">
        <f t="shared" si="6"/>
        <v>1.02</v>
      </c>
      <c r="AE16" s="455"/>
      <c r="AF16" s="195">
        <f>AF124</f>
        <v>0.75700000000000001</v>
      </c>
      <c r="AG16" s="195">
        <f t="shared" ref="AG16:AH16" si="7">AG124</f>
        <v>1.804</v>
      </c>
      <c r="AH16" s="195">
        <f t="shared" si="7"/>
        <v>1.804</v>
      </c>
      <c r="AI16" s="455"/>
      <c r="AJ16" s="195">
        <f>AJ124</f>
        <v>1.2999999999999999E-2</v>
      </c>
      <c r="AK16" s="195">
        <f t="shared" ref="AK16:AL16" si="8">AK124</f>
        <v>1.147</v>
      </c>
      <c r="AL16" s="195">
        <f t="shared" si="8"/>
        <v>1.147</v>
      </c>
      <c r="AN16" s="195">
        <f>AN124</f>
        <v>1.28</v>
      </c>
      <c r="AO16" s="195">
        <f t="shared" ref="AO16:AP16" si="9">AO124</f>
        <v>1.381</v>
      </c>
      <c r="AP16" s="195">
        <f t="shared" si="9"/>
        <v>1.381</v>
      </c>
      <c r="AR16" s="195">
        <f t="shared" ref="AR16:AT17" si="10">AR124</f>
        <v>1.43624</v>
      </c>
      <c r="AS16" s="195">
        <f t="shared" si="10"/>
        <v>1.4936896</v>
      </c>
      <c r="AT16" s="195">
        <f t="shared" si="10"/>
        <v>1.4936896</v>
      </c>
      <c r="AV16" s="195">
        <f t="shared" ref="AV16:AX17" si="11">AV124</f>
        <v>1.5534371840000001</v>
      </c>
      <c r="AW16" s="195">
        <f t="shared" si="11"/>
        <v>1.6155746713600001</v>
      </c>
      <c r="AX16" s="195">
        <f t="shared" si="11"/>
        <v>1.6155746713600001</v>
      </c>
      <c r="AZ16" s="195">
        <f t="shared" ref="AZ16:BB17" si="12">AZ124</f>
        <v>1.6801976582144003</v>
      </c>
      <c r="BA16" s="195">
        <f t="shared" si="12"/>
        <v>1.7474055645429762</v>
      </c>
      <c r="BB16" s="195">
        <f t="shared" si="12"/>
        <v>1.7474055645429762</v>
      </c>
      <c r="BD16" s="195">
        <f t="shared" ref="BD16:BF17" si="13">BD124</f>
        <v>1.8173017871246953</v>
      </c>
      <c r="BE16" s="195">
        <f t="shared" si="13"/>
        <v>1.8899938586096832</v>
      </c>
      <c r="BF16" s="195">
        <f t="shared" si="13"/>
        <v>1.8899938586096832</v>
      </c>
      <c r="BH16" s="195">
        <f t="shared" ref="BH16:BJ17" si="14">BH124</f>
        <v>1.9655936129540705</v>
      </c>
      <c r="BI16" s="195">
        <f t="shared" si="14"/>
        <v>2.0442173574722333</v>
      </c>
      <c r="BJ16" s="195">
        <f t="shared" si="14"/>
        <v>2.0442173574722333</v>
      </c>
      <c r="BL16" s="195">
        <f t="shared" ref="BL16:BN17" si="15">BL124</f>
        <v>2.1259860517711227</v>
      </c>
      <c r="BM16" s="195">
        <f t="shared" si="15"/>
        <v>2.2110254938419676</v>
      </c>
      <c r="BN16" s="195">
        <f t="shared" si="15"/>
        <v>2.2110254938419676</v>
      </c>
      <c r="BP16" s="195">
        <f t="shared" ref="BP16:BR17" si="16">BP124</f>
        <v>2.2994665135956462</v>
      </c>
      <c r="BQ16" s="195">
        <f t="shared" si="16"/>
        <v>2.3914451741394722</v>
      </c>
      <c r="BR16" s="195">
        <f t="shared" si="16"/>
        <v>2.3914451741394722</v>
      </c>
      <c r="BT16" s="195">
        <f t="shared" ref="BT16:BV16" si="17">BT124</f>
        <v>2.4871029811050511</v>
      </c>
      <c r="BU16" s="195">
        <f t="shared" si="17"/>
        <v>2.5865871003492531</v>
      </c>
      <c r="BV16" s="195">
        <f t="shared" si="17"/>
        <v>2.5865871003492531</v>
      </c>
      <c r="BX16" s="195">
        <f t="shared" ref="BX16:BZ16" si="18">BX124</f>
        <v>2.6900505843632234</v>
      </c>
      <c r="BY16" s="195">
        <f t="shared" si="18"/>
        <v>2.7976526077377524</v>
      </c>
      <c r="BZ16" s="195">
        <f t="shared" si="18"/>
        <v>2.7976526077377524</v>
      </c>
    </row>
    <row r="17" spans="1:78">
      <c r="A17" s="823" cm="1">
        <f t="array" ref="A17">COUNT(IF(K17:DT17&lt;0,1,""))</f>
        <v>0</v>
      </c>
      <c r="B17" s="160" t="s">
        <v>193</v>
      </c>
      <c r="C17" s="155" t="s">
        <v>406</v>
      </c>
      <c r="D17" s="195">
        <f t="shared" si="0"/>
        <v>2.3450000000000002</v>
      </c>
      <c r="E17" s="195">
        <f t="shared" si="0"/>
        <v>0.67</v>
      </c>
      <c r="F17" s="195">
        <f t="shared" si="0"/>
        <v>0.67</v>
      </c>
      <c r="H17" s="195">
        <f t="shared" si="1"/>
        <v>0.63500000000000001</v>
      </c>
      <c r="I17" s="195">
        <f t="shared" si="1"/>
        <v>0.108</v>
      </c>
      <c r="J17" s="195">
        <f t="shared" si="1"/>
        <v>0.108</v>
      </c>
      <c r="L17" s="195">
        <f t="shared" si="2"/>
        <v>0.1</v>
      </c>
      <c r="M17" s="195">
        <f t="shared" si="2"/>
        <v>8.9999999999999993E-3</v>
      </c>
      <c r="N17" s="195">
        <f t="shared" si="2"/>
        <v>8.9999999999999993E-3</v>
      </c>
      <c r="P17" s="195">
        <f t="shared" si="3"/>
        <v>0.104</v>
      </c>
      <c r="Q17" s="195">
        <f t="shared" si="3"/>
        <v>8.0000000000000002E-3</v>
      </c>
      <c r="R17" s="195">
        <f t="shared" si="3"/>
        <v>8.0000000000000002E-3</v>
      </c>
      <c r="T17" s="195">
        <f t="shared" si="4"/>
        <v>0.48499999999999999</v>
      </c>
      <c r="U17" s="195">
        <f t="shared" si="4"/>
        <v>0.34799999999999998</v>
      </c>
      <c r="V17" s="195">
        <f t="shared" si="4"/>
        <v>0.34799999999999998</v>
      </c>
      <c r="W17" s="173"/>
      <c r="X17" s="195">
        <f t="shared" si="5"/>
        <v>0.68100000000000005</v>
      </c>
      <c r="Y17" s="195">
        <f t="shared" si="5"/>
        <v>0.55400000000000005</v>
      </c>
      <c r="Z17" s="195">
        <f t="shared" si="5"/>
        <v>0.55400000000000005</v>
      </c>
      <c r="AB17" s="195">
        <f t="shared" si="6"/>
        <v>0.92600000000000005</v>
      </c>
      <c r="AC17" s="195">
        <f t="shared" si="6"/>
        <v>1.8680000000000001</v>
      </c>
      <c r="AD17" s="195">
        <f t="shared" si="6"/>
        <v>1.8680000000000001</v>
      </c>
      <c r="AF17" s="195">
        <f>AF125</f>
        <v>21.606999999999999</v>
      </c>
      <c r="AG17" s="195">
        <f t="shared" ref="AG17:AH17" si="19">AG125</f>
        <v>25.54</v>
      </c>
      <c r="AH17" s="195">
        <f t="shared" si="19"/>
        <v>25.54</v>
      </c>
      <c r="AJ17" s="195">
        <f>AJ125</f>
        <v>26.021000000000001</v>
      </c>
      <c r="AK17" s="195">
        <f t="shared" ref="AK17:AL17" si="20">AK125</f>
        <v>32.981999999999999</v>
      </c>
      <c r="AL17" s="195">
        <f t="shared" si="20"/>
        <v>32.981999999999999</v>
      </c>
      <c r="AN17" s="195">
        <f>AN125</f>
        <v>30.402000000000001</v>
      </c>
      <c r="AO17" s="195">
        <f t="shared" ref="AO17:AP17" si="21">AO125</f>
        <v>30.213999999999999</v>
      </c>
      <c r="AP17" s="195">
        <f t="shared" si="21"/>
        <v>30.213999999999999</v>
      </c>
      <c r="AR17" s="195">
        <f t="shared" si="10"/>
        <v>31.422560000000001</v>
      </c>
      <c r="AS17" s="195">
        <f t="shared" si="10"/>
        <v>32.679462399999998</v>
      </c>
      <c r="AT17" s="195">
        <f t="shared" si="10"/>
        <v>32.679462399999998</v>
      </c>
      <c r="AV17" s="195">
        <f t="shared" si="11"/>
        <v>33.986640895999997</v>
      </c>
      <c r="AW17" s="195">
        <f t="shared" si="11"/>
        <v>35.34610653184</v>
      </c>
      <c r="AX17" s="195">
        <f t="shared" si="11"/>
        <v>35.34610653184</v>
      </c>
      <c r="AZ17" s="195">
        <f t="shared" si="12"/>
        <v>36.759950793113603</v>
      </c>
      <c r="BA17" s="195">
        <f t="shared" si="12"/>
        <v>38.230348824838146</v>
      </c>
      <c r="BB17" s="195">
        <f t="shared" si="12"/>
        <v>38.230348824838146</v>
      </c>
      <c r="BD17" s="195">
        <f t="shared" si="13"/>
        <v>39.759562777831675</v>
      </c>
      <c r="BE17" s="195">
        <f t="shared" si="13"/>
        <v>41.349945288944944</v>
      </c>
      <c r="BF17" s="195">
        <f t="shared" si="13"/>
        <v>41.349945288944944</v>
      </c>
      <c r="BH17" s="155">
        <f t="shared" si="14"/>
        <v>43.003943100502745</v>
      </c>
      <c r="BI17" s="155">
        <f t="shared" si="14"/>
        <v>44.724100824522857</v>
      </c>
      <c r="BJ17" s="155">
        <f t="shared" si="14"/>
        <v>44.724100824522857</v>
      </c>
      <c r="BL17" s="155">
        <f t="shared" si="15"/>
        <v>46.513064857503771</v>
      </c>
      <c r="BM17" s="155">
        <f t="shared" si="15"/>
        <v>48.373587451803921</v>
      </c>
      <c r="BN17" s="155">
        <f t="shared" si="15"/>
        <v>48.373587451803921</v>
      </c>
      <c r="BP17" s="155">
        <f t="shared" si="16"/>
        <v>50.308530949876079</v>
      </c>
      <c r="BQ17" s="155">
        <f t="shared" si="16"/>
        <v>52.320872187871124</v>
      </c>
      <c r="BR17" s="155">
        <f t="shared" si="16"/>
        <v>52.320872187871124</v>
      </c>
      <c r="BT17" s="155">
        <f t="shared" ref="BT17:BV17" si="22">BT125</f>
        <v>54.413707075385972</v>
      </c>
      <c r="BU17" s="155">
        <f t="shared" si="22"/>
        <v>56.590255358401414</v>
      </c>
      <c r="BV17" s="155">
        <f t="shared" si="22"/>
        <v>56.590255358401414</v>
      </c>
      <c r="BX17" s="155">
        <f t="shared" ref="BX17:BZ17" si="23">BX125</f>
        <v>58.853865572737476</v>
      </c>
      <c r="BY17" s="155">
        <f t="shared" si="23"/>
        <v>61.208020195646974</v>
      </c>
      <c r="BZ17" s="155">
        <f t="shared" si="23"/>
        <v>61.208020195646974</v>
      </c>
    </row>
    <row r="18" spans="1:78" s="140" customFormat="1">
      <c r="A18" s="132"/>
      <c r="B18" s="159" t="s">
        <v>5</v>
      </c>
      <c r="C18" s="155" t="s">
        <v>406</v>
      </c>
      <c r="D18" s="140">
        <f>SUM(D13:D17)</f>
        <v>283.85900000000004</v>
      </c>
      <c r="E18" s="140">
        <f>SUM(E13:E17)</f>
        <v>324.91700000000003</v>
      </c>
      <c r="F18" s="140">
        <f>SUM(F13:F17)</f>
        <v>324.91700000000003</v>
      </c>
      <c r="G18" s="149"/>
      <c r="H18" s="140">
        <f>SUM(H13:H17)</f>
        <v>271.33199999999999</v>
      </c>
      <c r="I18" s="140">
        <f>SUM(I13:I17)</f>
        <v>329.40500000000003</v>
      </c>
      <c r="J18" s="140">
        <f>SUM(J13:J17)</f>
        <v>329.40500000000003</v>
      </c>
      <c r="K18" s="149"/>
      <c r="L18" s="140">
        <f>SUM(L13:L17)</f>
        <v>274.976</v>
      </c>
      <c r="M18" s="140">
        <f>SUM(M13:M17)</f>
        <v>338.37</v>
      </c>
      <c r="N18" s="140">
        <f>SUM(N13:N17)</f>
        <v>338.37</v>
      </c>
      <c r="O18" s="149"/>
      <c r="P18" s="140">
        <f>SUM(P13:P17)</f>
        <v>324.935</v>
      </c>
      <c r="Q18" s="140">
        <f>SUM(Q13:Q17)</f>
        <v>299.59699999999998</v>
      </c>
      <c r="R18" s="140">
        <f>SUM(R13:R17)</f>
        <v>299.59699999999998</v>
      </c>
      <c r="S18" s="149"/>
      <c r="T18" s="140">
        <f>SUM(T13:T17)</f>
        <v>253.75700000000003</v>
      </c>
      <c r="U18" s="140">
        <f>SUM(U13:U17)</f>
        <v>312.70499999999998</v>
      </c>
      <c r="V18" s="140">
        <f>SUM(V13:V17)</f>
        <v>312.70499999999998</v>
      </c>
      <c r="W18" s="149"/>
      <c r="X18" s="140">
        <f>SUM(X13:X17)</f>
        <v>285.25399999999996</v>
      </c>
      <c r="Y18" s="140">
        <f>SUM(Y13:Y17)</f>
        <v>347.5</v>
      </c>
      <c r="Z18" s="140">
        <f>SUM(Z13:Z17)</f>
        <v>347.5</v>
      </c>
      <c r="AA18" s="149"/>
      <c r="AB18" s="140">
        <f>SUM(AB13:AB17)</f>
        <v>336.96300000000002</v>
      </c>
      <c r="AC18" s="140">
        <f>SUM(AC13:AC17)</f>
        <v>713.02700000000004</v>
      </c>
      <c r="AD18" s="140">
        <f>SUM(AD13:AD17)</f>
        <v>713.02700000000004</v>
      </c>
      <c r="AE18" s="456"/>
      <c r="AF18" s="140">
        <f>SUM(AF13:AF17)</f>
        <v>1318.8629999999998</v>
      </c>
      <c r="AG18" s="140">
        <f>SUM(AG13:AG17)</f>
        <v>1537.144</v>
      </c>
      <c r="AH18" s="140">
        <f>SUM(AH13:AH17)</f>
        <v>1537.144</v>
      </c>
      <c r="AI18" s="456"/>
      <c r="AJ18" s="140">
        <f>SUM(AJ13:AJ17)</f>
        <v>1354.4409999999998</v>
      </c>
      <c r="AK18" s="140">
        <f>SUM(AK13:AK17)</f>
        <v>1607.385</v>
      </c>
      <c r="AL18" s="140">
        <f>SUM(AL13:AL17)</f>
        <v>1607.385</v>
      </c>
      <c r="AM18" s="149"/>
      <c r="AN18" s="140">
        <f>SUM(AN13:AN17)</f>
        <v>1522.134</v>
      </c>
      <c r="AO18" s="140">
        <f>SUM(AO13:AO17)</f>
        <v>1675.2840000000001</v>
      </c>
      <c r="AP18" s="140">
        <f>SUM(AP13:AP17)</f>
        <v>1675.2840000000001</v>
      </c>
      <c r="AQ18" s="149"/>
      <c r="AR18" s="140">
        <f>SUM(AR13:AR17)</f>
        <v>1613.7176399953282</v>
      </c>
      <c r="AS18" s="140">
        <f>SUM(AS13:AS17)</f>
        <v>1928.3777379177377</v>
      </c>
      <c r="AT18" s="140">
        <f>SUM(AT13:AT17)</f>
        <v>1928.3777379177377</v>
      </c>
      <c r="AU18" s="149"/>
      <c r="AV18" s="140">
        <f>SUM(AV13:AV17)</f>
        <v>1780.6037565673087</v>
      </c>
      <c r="AW18" s="140">
        <f>SUM(AW13:AW17)</f>
        <v>2121.9043066442064</v>
      </c>
      <c r="AX18" s="140">
        <f>SUM(AX13:AX17)</f>
        <v>2121.9043066442064</v>
      </c>
      <c r="AY18" s="149"/>
      <c r="AZ18" s="140">
        <f>SUM(AZ13:AZ17)</f>
        <v>1945.7698459156247</v>
      </c>
      <c r="BA18" s="140">
        <f>SUM(BA13:BA17)</f>
        <v>2291.4569269785366</v>
      </c>
      <c r="BB18" s="140">
        <f>SUM(BB13:BB17)</f>
        <v>2291.4569269785366</v>
      </c>
      <c r="BC18" s="149"/>
      <c r="BD18" s="140">
        <f>SUM(BD13:BD17)</f>
        <v>2083.5894365459008</v>
      </c>
      <c r="BE18" s="140">
        <f>SUM(BE13:BE17)</f>
        <v>2465.8405126871849</v>
      </c>
      <c r="BF18" s="140">
        <f>SUM(BF13:BF17)</f>
        <v>2465.8405126871849</v>
      </c>
      <c r="BG18" s="149"/>
      <c r="BH18" s="140">
        <f>SUM(BH13:BH17)</f>
        <v>2236.723894305348</v>
      </c>
      <c r="BI18" s="140">
        <f>SUM(BI13:BI17)</f>
        <v>2638.8680621830654</v>
      </c>
      <c r="BJ18" s="140">
        <f>SUM(BJ13:BJ17)</f>
        <v>2638.8680621830654</v>
      </c>
      <c r="BK18" s="149"/>
      <c r="BL18" s="140">
        <f>SUM(BL13:BL17)</f>
        <v>2397.1588800374184</v>
      </c>
      <c r="BM18" s="140">
        <f>SUM(BM13:BM17)</f>
        <v>2820.022057244209</v>
      </c>
      <c r="BN18" s="140">
        <f>SUM(BN13:BN17)</f>
        <v>2820.022057244209</v>
      </c>
      <c r="BO18" s="149"/>
      <c r="BP18" s="140">
        <f>SUM(BP13:BP17)</f>
        <v>2574.5599985786048</v>
      </c>
      <c r="BQ18" s="140">
        <f>SUM(BQ13:BQ17)</f>
        <v>2999.1906108677676</v>
      </c>
      <c r="BR18" s="140">
        <f>SUM(BR13:BR17)</f>
        <v>2999.1906108677676</v>
      </c>
      <c r="BS18" s="149"/>
      <c r="BT18" s="140">
        <f>SUM(BT13:BT17)</f>
        <v>2741.1072742348879</v>
      </c>
      <c r="BU18" s="140">
        <f>SUM(BU13:BU17)</f>
        <v>3208.0221157713117</v>
      </c>
      <c r="BV18" s="140">
        <f>SUM(BV13:BV17)</f>
        <v>3208.0221157713117</v>
      </c>
      <c r="BW18" s="149"/>
      <c r="BX18" s="140">
        <f>SUM(BX13:BX17)</f>
        <v>2925.2374526259559</v>
      </c>
      <c r="BY18" s="140">
        <f>SUM(BY13:BY17)</f>
        <v>3415.5561948083596</v>
      </c>
      <c r="BZ18" s="140">
        <f>SUM(BZ13:BZ17)</f>
        <v>3415.5561948083596</v>
      </c>
    </row>
    <row r="19" spans="1:78">
      <c r="B19" s="162"/>
      <c r="C19" s="169"/>
      <c r="D19" s="132"/>
      <c r="E19" s="132"/>
      <c r="F19" s="132"/>
      <c r="H19" s="132"/>
      <c r="I19" s="132"/>
      <c r="J19" s="132"/>
      <c r="L19" s="132"/>
      <c r="M19" s="132"/>
      <c r="N19" s="132"/>
      <c r="P19" s="132"/>
      <c r="Q19" s="132"/>
      <c r="R19" s="132"/>
      <c r="T19" s="132"/>
      <c r="U19" s="132"/>
      <c r="V19" s="132"/>
      <c r="X19" s="132"/>
      <c r="Y19" s="132"/>
      <c r="Z19" s="132"/>
      <c r="AB19" s="132"/>
      <c r="AC19" s="132"/>
      <c r="AD19" s="132"/>
      <c r="AE19" s="455"/>
      <c r="AF19" s="132"/>
      <c r="AG19" s="132"/>
      <c r="AH19" s="132"/>
      <c r="AI19" s="455"/>
      <c r="AJ19" s="132"/>
      <c r="AK19" s="132"/>
      <c r="AL19" s="132"/>
      <c r="AN19" s="132"/>
      <c r="AO19" s="132"/>
      <c r="AP19" s="132"/>
      <c r="AR19" s="132"/>
      <c r="AS19" s="132"/>
      <c r="AT19" s="132"/>
      <c r="AV19" s="132"/>
      <c r="AW19" s="132"/>
      <c r="AX19" s="132"/>
      <c r="AZ19" s="132"/>
      <c r="BA19" s="132"/>
      <c r="BB19" s="132"/>
      <c r="BD19" s="132"/>
      <c r="BE19" s="132"/>
      <c r="BF19" s="132"/>
      <c r="BH19" s="132"/>
      <c r="BI19" s="132"/>
      <c r="BJ19" s="132"/>
      <c r="BL19" s="132"/>
      <c r="BM19" s="132"/>
      <c r="BN19" s="132"/>
      <c r="BP19" s="132"/>
      <c r="BQ19" s="132"/>
      <c r="BR19" s="132"/>
      <c r="BT19" s="132"/>
      <c r="BU19" s="132"/>
      <c r="BV19" s="132"/>
      <c r="BX19" s="132"/>
      <c r="BY19" s="132"/>
      <c r="BZ19" s="132"/>
    </row>
    <row r="20" spans="1:78">
      <c r="B20" s="162" t="s">
        <v>6</v>
      </c>
      <c r="C20" s="169"/>
      <c r="D20" s="132"/>
      <c r="E20" s="132"/>
      <c r="F20" s="132"/>
      <c r="H20" s="132"/>
      <c r="I20" s="132"/>
      <c r="J20" s="132"/>
      <c r="L20" s="132"/>
      <c r="M20" s="132"/>
      <c r="N20" s="132"/>
      <c r="P20" s="132"/>
      <c r="Q20" s="132"/>
      <c r="R20" s="132"/>
      <c r="T20" s="132"/>
      <c r="U20" s="132"/>
      <c r="V20" s="132"/>
      <c r="X20" s="132"/>
      <c r="Y20" s="132"/>
      <c r="Z20" s="132"/>
      <c r="AB20" s="132"/>
      <c r="AC20" s="132"/>
      <c r="AD20" s="132"/>
      <c r="AE20" s="455"/>
      <c r="AF20" s="132"/>
      <c r="AG20" s="132"/>
      <c r="AH20" s="132"/>
      <c r="AI20" s="455"/>
      <c r="AJ20" s="132"/>
      <c r="AK20" s="132"/>
      <c r="AL20" s="132"/>
      <c r="AN20" s="132"/>
      <c r="AO20" s="132"/>
      <c r="AP20" s="132"/>
      <c r="AR20" s="132"/>
      <c r="AS20" s="132"/>
      <c r="AT20" s="132"/>
      <c r="AV20" s="132"/>
      <c r="AW20" s="132"/>
      <c r="AX20" s="132"/>
      <c r="AZ20" s="132"/>
      <c r="BA20" s="132"/>
      <c r="BB20" s="132"/>
      <c r="BD20" s="132"/>
      <c r="BE20" s="132"/>
      <c r="BF20" s="132"/>
      <c r="BH20" s="132"/>
      <c r="BI20" s="132"/>
      <c r="BJ20" s="132"/>
      <c r="BL20" s="132"/>
      <c r="BM20" s="132"/>
      <c r="BN20" s="132"/>
      <c r="BP20" s="132"/>
      <c r="BQ20" s="132"/>
      <c r="BR20" s="132"/>
      <c r="BT20" s="132"/>
      <c r="BU20" s="132"/>
      <c r="BV20" s="132"/>
      <c r="BX20" s="132"/>
      <c r="BY20" s="132"/>
      <c r="BZ20" s="132"/>
    </row>
    <row r="21" spans="1:78">
      <c r="A21" s="823" cm="1">
        <f t="array" ref="A21">COUNT(IF(K21:DT21&lt;0,1,""))</f>
        <v>0</v>
      </c>
      <c r="B21" s="160" t="s">
        <v>191</v>
      </c>
      <c r="C21" s="155" t="s">
        <v>406</v>
      </c>
      <c r="D21" s="195">
        <f>D130</f>
        <v>0.156</v>
      </c>
      <c r="E21" s="195">
        <f>E130</f>
        <v>0.16300000000000001</v>
      </c>
      <c r="F21" s="195">
        <f>F130</f>
        <v>0.16300000000000001</v>
      </c>
      <c r="H21" s="195">
        <f>H130</f>
        <v>4.2999999999999997E-2</v>
      </c>
      <c r="I21" s="195">
        <f>I130</f>
        <v>0.47599999999999998</v>
      </c>
      <c r="J21" s="195">
        <f>J130</f>
        <v>0.47599999999999998</v>
      </c>
      <c r="L21" s="195">
        <f>L130</f>
        <v>0.438</v>
      </c>
      <c r="M21" s="195">
        <f>M130</f>
        <v>0.42899999999999999</v>
      </c>
      <c r="N21" s="195">
        <f>N130</f>
        <v>0.42899999999999999</v>
      </c>
      <c r="P21" s="195">
        <f>P130</f>
        <v>0.15</v>
      </c>
      <c r="Q21" s="195">
        <f>Q130</f>
        <v>0.13300000000000001</v>
      </c>
      <c r="R21" s="195">
        <f>R130</f>
        <v>0.13300000000000001</v>
      </c>
      <c r="T21" s="195">
        <f>T130</f>
        <v>0.23499999999999999</v>
      </c>
      <c r="U21" s="195">
        <f>U130</f>
        <v>0.318</v>
      </c>
      <c r="V21" s="195">
        <f>V130</f>
        <v>0.318</v>
      </c>
      <c r="X21" s="195">
        <f>X130</f>
        <v>4.7E-2</v>
      </c>
      <c r="Y21" s="195">
        <f>Y130</f>
        <v>3.532</v>
      </c>
      <c r="Z21" s="195">
        <f>Z130</f>
        <v>3.532</v>
      </c>
      <c r="AB21" s="195">
        <f>AB130</f>
        <v>2.62</v>
      </c>
      <c r="AC21" s="195">
        <f>AC130</f>
        <v>0.73899999999999999</v>
      </c>
      <c r="AD21" s="195">
        <f>AD130</f>
        <v>0.73899999999999999</v>
      </c>
      <c r="AE21" s="455"/>
      <c r="AF21" s="195">
        <f>AF130</f>
        <v>4.234</v>
      </c>
      <c r="AG21" s="195">
        <f>AG130</f>
        <v>17.286000000000001</v>
      </c>
      <c r="AH21" s="195">
        <f>AH130</f>
        <v>17.286000000000001</v>
      </c>
      <c r="AI21" s="455"/>
      <c r="AJ21" s="195">
        <f>AJ130</f>
        <v>16.744</v>
      </c>
      <c r="AK21" s="195">
        <f>AK130</f>
        <v>14.56</v>
      </c>
      <c r="AL21" s="195">
        <f>AL130</f>
        <v>14.56</v>
      </c>
      <c r="AN21" s="195">
        <f>AN130</f>
        <v>4.6840000000000002</v>
      </c>
      <c r="AO21" s="195">
        <f>AO130</f>
        <v>9.9629999999999992</v>
      </c>
      <c r="AP21" s="195">
        <f>AP130</f>
        <v>9.9629999999999992</v>
      </c>
      <c r="AR21" s="195">
        <f>AR130</f>
        <v>10.16226</v>
      </c>
      <c r="AS21" s="195">
        <f>AS130</f>
        <v>10.365505199999999</v>
      </c>
      <c r="AT21" s="195">
        <f>AT130</f>
        <v>10.365505199999999</v>
      </c>
      <c r="AV21" s="195">
        <f>AV130</f>
        <v>10.572815303999999</v>
      </c>
      <c r="AW21" s="195">
        <f>AW130</f>
        <v>10.784271610079999</v>
      </c>
      <c r="AX21" s="195">
        <f>AX130</f>
        <v>10.784271610079999</v>
      </c>
      <c r="AZ21" s="195">
        <f>AZ130</f>
        <v>10.999957042281599</v>
      </c>
      <c r="BA21" s="195">
        <f>BA130</f>
        <v>11.219956183127231</v>
      </c>
      <c r="BB21" s="195">
        <f>BB130</f>
        <v>11.219956183127231</v>
      </c>
      <c r="BD21" s="195">
        <f>BD130</f>
        <v>11.444355306789776</v>
      </c>
      <c r="BE21" s="195">
        <f>BE130</f>
        <v>11.673242412925571</v>
      </c>
      <c r="BF21" s="195">
        <f>BF130</f>
        <v>11.673242412925571</v>
      </c>
      <c r="BH21" s="195">
        <f>BH130</f>
        <v>11.906707261184083</v>
      </c>
      <c r="BI21" s="195">
        <f>BI130</f>
        <v>12.144841406407766</v>
      </c>
      <c r="BJ21" s="195">
        <f>BJ130</f>
        <v>12.144841406407766</v>
      </c>
      <c r="BL21" s="195">
        <f>BL130</f>
        <v>12.387738234535922</v>
      </c>
      <c r="BM21" s="195">
        <f>BM130</f>
        <v>12.63549299922664</v>
      </c>
      <c r="BN21" s="195">
        <f>BN130</f>
        <v>12.63549299922664</v>
      </c>
      <c r="BP21" s="195">
        <f>BP130</f>
        <v>12.888202859211173</v>
      </c>
      <c r="BQ21" s="195">
        <f>BQ130</f>
        <v>13.145966916395396</v>
      </c>
      <c r="BR21" s="195">
        <f>BR130</f>
        <v>13.145966916395396</v>
      </c>
      <c r="BT21" s="195">
        <f>BT130</f>
        <v>13.408886254723305</v>
      </c>
      <c r="BU21" s="195">
        <f>BU130</f>
        <v>13.67706397981777</v>
      </c>
      <c r="BV21" s="195">
        <f>BV130</f>
        <v>13.67706397981777</v>
      </c>
      <c r="BX21" s="195">
        <f>BX130</f>
        <v>13.950605259414125</v>
      </c>
      <c r="BY21" s="195">
        <f>BY130</f>
        <v>14.229617364602408</v>
      </c>
      <c r="BZ21" s="195">
        <f>BZ130</f>
        <v>14.229617364602408</v>
      </c>
    </row>
    <row r="22" spans="1:78">
      <c r="A22" s="823" cm="1">
        <f t="array" ref="A22">COUNT(IF(K22:DT22&lt;0,1,""))</f>
        <v>0</v>
      </c>
      <c r="B22" s="160" t="s">
        <v>226</v>
      </c>
      <c r="C22" s="155" t="s">
        <v>406</v>
      </c>
      <c r="D22" s="195">
        <f>D136</f>
        <v>131.38900000000001</v>
      </c>
      <c r="E22" s="195">
        <f>E136</f>
        <v>133.89400000000001</v>
      </c>
      <c r="F22" s="195">
        <f>F136</f>
        <v>133.89400000000001</v>
      </c>
      <c r="H22" s="195">
        <f>H136</f>
        <v>132.18600000000001</v>
      </c>
      <c r="I22" s="195">
        <f>I136</f>
        <v>141.71299999999999</v>
      </c>
      <c r="J22" s="195">
        <f>J136</f>
        <v>141.71299999999999</v>
      </c>
      <c r="L22" s="195">
        <f>L136</f>
        <v>145.11600000000001</v>
      </c>
      <c r="M22" s="195">
        <f>M136</f>
        <v>155.88800000000001</v>
      </c>
      <c r="N22" s="195">
        <f>N136</f>
        <v>155.88800000000001</v>
      </c>
      <c r="P22" s="195">
        <f>P136</f>
        <v>134.851</v>
      </c>
      <c r="Q22" s="195">
        <f>Q136</f>
        <v>127.453</v>
      </c>
      <c r="R22" s="195">
        <f>R136</f>
        <v>127.453</v>
      </c>
      <c r="T22" s="195">
        <f>T136</f>
        <v>127.371</v>
      </c>
      <c r="U22" s="195">
        <f>U136</f>
        <v>271.041</v>
      </c>
      <c r="V22" s="195">
        <f>V136</f>
        <v>271.041</v>
      </c>
      <c r="X22" s="195">
        <f>X136</f>
        <v>267.33100000000002</v>
      </c>
      <c r="Y22" s="195">
        <f>Y136</f>
        <v>280.64299999999997</v>
      </c>
      <c r="Z22" s="195">
        <f>Z136</f>
        <v>280.64299999999997</v>
      </c>
      <c r="AB22" s="195">
        <f>AB136</f>
        <v>275.59899999999999</v>
      </c>
      <c r="AC22" s="195">
        <f>AC136</f>
        <v>250.1</v>
      </c>
      <c r="AD22" s="195">
        <f>AD136</f>
        <v>250.1</v>
      </c>
      <c r="AE22" s="455"/>
      <c r="AF22" s="195">
        <f>AF136</f>
        <v>249.798</v>
      </c>
      <c r="AG22" s="195">
        <f>AG136</f>
        <v>238.52600000000001</v>
      </c>
      <c r="AH22" s="195">
        <f>AH136</f>
        <v>238.52600000000001</v>
      </c>
      <c r="AI22" s="455"/>
      <c r="AJ22" s="195">
        <f>AJ136</f>
        <v>248.78399999999999</v>
      </c>
      <c r="AK22" s="195">
        <f>AK136</f>
        <v>250.911</v>
      </c>
      <c r="AL22" s="195">
        <f>AL136</f>
        <v>250.911</v>
      </c>
      <c r="AN22" s="195">
        <f>AN136</f>
        <v>313.18900000000002</v>
      </c>
      <c r="AO22" s="195">
        <f>AO136</f>
        <v>301.85500000000002</v>
      </c>
      <c r="AP22" s="195">
        <f>AP136</f>
        <v>301.85500000000002</v>
      </c>
      <c r="AR22" s="195">
        <f>AR136</f>
        <v>287.92805626774401</v>
      </c>
      <c r="AS22" s="195">
        <f>AS136</f>
        <v>273.88372249999998</v>
      </c>
      <c r="AT22" s="195">
        <f>AT136</f>
        <v>273.88372249999998</v>
      </c>
      <c r="AV22" s="195">
        <f>AV136</f>
        <v>259.97882506916352</v>
      </c>
      <c r="AW22" s="195">
        <f>AW136</f>
        <v>245.84000229999998</v>
      </c>
      <c r="AX22" s="195">
        <f>AX136</f>
        <v>245.84000229999998</v>
      </c>
      <c r="AZ22" s="195">
        <f>AZ136</f>
        <v>231.86915192869657</v>
      </c>
      <c r="BA22" s="195">
        <f>BA136</f>
        <v>217.64566219199997</v>
      </c>
      <c r="BB22" s="195">
        <f>BB136</f>
        <v>217.64566219199997</v>
      </c>
      <c r="BD22" s="195">
        <f>BD136</f>
        <v>203.62131142207232</v>
      </c>
      <c r="BE22" s="195">
        <f>BE136</f>
        <v>189.32411013751999</v>
      </c>
      <c r="BF22" s="195">
        <f>BF136</f>
        <v>189.32411013751999</v>
      </c>
      <c r="BH22" s="195">
        <f>BH136</f>
        <v>175.2600622896997</v>
      </c>
      <c r="BI22" s="195">
        <f>BI136</f>
        <v>160.90133588608481</v>
      </c>
      <c r="BJ22" s="195">
        <f>BJ136</f>
        <v>160.90133588608481</v>
      </c>
      <c r="BL22" s="195">
        <f>BL136</f>
        <v>146.81286021381456</v>
      </c>
      <c r="BM22" s="195">
        <f>BM136</f>
        <v>132.40613170128611</v>
      </c>
      <c r="BN22" s="195">
        <f>BN136</f>
        <v>132.40613170128611</v>
      </c>
      <c r="BP22" s="195">
        <f>BP136</f>
        <v>118.31008789867738</v>
      </c>
      <c r="BQ22" s="195">
        <f>BQ136</f>
        <v>103.87033102858977</v>
      </c>
      <c r="BR22" s="195">
        <f>BR136</f>
        <v>103.87033102858977</v>
      </c>
      <c r="BT22" s="195">
        <f>BT136</f>
        <v>89.785303843684332</v>
      </c>
      <c r="BU22" s="195">
        <f>BU136</f>
        <v>75.329066545901725</v>
      </c>
      <c r="BV22" s="195">
        <f>BV136</f>
        <v>75.329066545901725</v>
      </c>
      <c r="BX22" s="195">
        <f>BX136</f>
        <v>61.275511310554094</v>
      </c>
      <c r="BY22" s="195">
        <f>BY136</f>
        <v>46.821049153299121</v>
      </c>
      <c r="BZ22" s="195">
        <f>BZ136</f>
        <v>46.821049153299121</v>
      </c>
    </row>
    <row r="23" spans="1:78">
      <c r="A23" s="823" cm="1">
        <f t="array" ref="A23">COUNT(IF(K23:DT23&lt;0,1,""))</f>
        <v>0</v>
      </c>
      <c r="B23" s="160" t="s">
        <v>227</v>
      </c>
      <c r="C23" s="155" t="s">
        <v>406</v>
      </c>
      <c r="D23" s="195">
        <f>D151</f>
        <v>6.9820000000000002</v>
      </c>
      <c r="E23" s="195">
        <f>E151</f>
        <v>9.8059999999999992</v>
      </c>
      <c r="F23" s="195">
        <f>F151</f>
        <v>9.8059999999999992</v>
      </c>
      <c r="H23" s="195">
        <f>H151</f>
        <v>11.558</v>
      </c>
      <c r="I23" s="195">
        <f>I151</f>
        <v>11.648</v>
      </c>
      <c r="J23" s="195">
        <f>J151</f>
        <v>11.648</v>
      </c>
      <c r="L23" s="195">
        <f>L151</f>
        <v>12.131</v>
      </c>
      <c r="M23" s="195">
        <f>M151</f>
        <v>11.996</v>
      </c>
      <c r="N23" s="195">
        <f>N151</f>
        <v>11.996</v>
      </c>
      <c r="P23" s="195">
        <f>P151</f>
        <v>13.862</v>
      </c>
      <c r="Q23" s="195">
        <f>Q151</f>
        <v>14.558999999999999</v>
      </c>
      <c r="R23" s="195">
        <f>R151</f>
        <v>14.558999999999999</v>
      </c>
      <c r="T23" s="195">
        <f>T151</f>
        <v>14.029</v>
      </c>
      <c r="U23" s="195">
        <f>U151</f>
        <v>11.676</v>
      </c>
      <c r="V23" s="195">
        <f>V151</f>
        <v>11.676</v>
      </c>
      <c r="X23" s="195">
        <f>X151</f>
        <v>11.994</v>
      </c>
      <c r="Y23" s="195">
        <f>Y151</f>
        <v>7.5339999999999998</v>
      </c>
      <c r="Z23" s="195">
        <f>Z151</f>
        <v>7.5339999999999998</v>
      </c>
      <c r="AB23" s="195">
        <f>AB151</f>
        <v>6.8979999999999997</v>
      </c>
      <c r="AC23" s="195">
        <f>AC151</f>
        <v>6.3470000000000004</v>
      </c>
      <c r="AD23" s="195">
        <f>AD151</f>
        <v>6.3470000000000004</v>
      </c>
      <c r="AE23" s="455"/>
      <c r="AF23" s="195">
        <f>AF151</f>
        <v>15.385</v>
      </c>
      <c r="AG23" s="195">
        <f>AG151</f>
        <v>12.885</v>
      </c>
      <c r="AH23" s="195">
        <f>AH151</f>
        <v>12.885</v>
      </c>
      <c r="AI23" s="455"/>
      <c r="AJ23" s="195">
        <f>AJ151</f>
        <v>12.484</v>
      </c>
      <c r="AK23" s="195">
        <f>AK151</f>
        <v>11.598000000000001</v>
      </c>
      <c r="AL23" s="195">
        <f>AL151</f>
        <v>11.598000000000001</v>
      </c>
      <c r="AN23" s="195">
        <f>AN151</f>
        <v>12.519</v>
      </c>
      <c r="AO23" s="195">
        <f>AO151</f>
        <v>12.811999999999999</v>
      </c>
      <c r="AP23" s="195">
        <f>AP151</f>
        <v>12.811999999999999</v>
      </c>
      <c r="AR23" s="195">
        <f>AR151</f>
        <v>13.068239999999999</v>
      </c>
      <c r="AS23" s="195">
        <f>AS151</f>
        <v>13.3296048</v>
      </c>
      <c r="AT23" s="195">
        <f>AT151</f>
        <v>13.3296048</v>
      </c>
      <c r="AV23" s="195">
        <f>AV151</f>
        <v>13.596196896</v>
      </c>
      <c r="AW23" s="195">
        <f>AW151</f>
        <v>13.868120833920001</v>
      </c>
      <c r="AX23" s="195">
        <f>AX151</f>
        <v>13.868120833920001</v>
      </c>
      <c r="AZ23" s="195">
        <f>AZ151</f>
        <v>14.145483250598401</v>
      </c>
      <c r="BA23" s="195">
        <f>BA151</f>
        <v>14.42839291561037</v>
      </c>
      <c r="BB23" s="195">
        <f>BB151</f>
        <v>14.42839291561037</v>
      </c>
      <c r="BD23" s="195">
        <f>BD151</f>
        <v>14.716960773922578</v>
      </c>
      <c r="BE23" s="195">
        <f>BE151</f>
        <v>15.01129998940103</v>
      </c>
      <c r="BF23" s="195">
        <f>BF151</f>
        <v>15.01129998940103</v>
      </c>
      <c r="BH23" s="195">
        <f>BH151</f>
        <v>15.31152598918905</v>
      </c>
      <c r="BI23" s="195">
        <f>BI151</f>
        <v>15.617756508972832</v>
      </c>
      <c r="BJ23" s="195">
        <f>BJ151</f>
        <v>15.617756508972832</v>
      </c>
      <c r="BL23" s="195">
        <f>BL151</f>
        <v>15.930111639152289</v>
      </c>
      <c r="BM23" s="195">
        <f>BM151</f>
        <v>16.248713871935333</v>
      </c>
      <c r="BN23" s="195">
        <f>BN151</f>
        <v>16.248713871935333</v>
      </c>
      <c r="BP23" s="195">
        <f>BP151</f>
        <v>16.573688149374039</v>
      </c>
      <c r="BQ23" s="195">
        <f>BQ151</f>
        <v>16.905161912361521</v>
      </c>
      <c r="BR23" s="195">
        <f>BR151</f>
        <v>16.905161912361521</v>
      </c>
      <c r="BT23" s="195">
        <f>BT151</f>
        <v>17.243265150608753</v>
      </c>
      <c r="BU23" s="195">
        <f>BU151</f>
        <v>17.588130453620927</v>
      </c>
      <c r="BV23" s="195">
        <f>BV151</f>
        <v>17.588130453620927</v>
      </c>
      <c r="BX23" s="195">
        <f>BX151</f>
        <v>17.939893062693347</v>
      </c>
      <c r="BY23" s="195">
        <f>BY151</f>
        <v>18.298690923947213</v>
      </c>
      <c r="BZ23" s="195">
        <f>BZ151</f>
        <v>18.298690923947213</v>
      </c>
    </row>
    <row r="24" spans="1:78">
      <c r="A24" s="823" cm="1">
        <f t="array" ref="A24">COUNT(IF(K24:DT24&lt;0,1,""))</f>
        <v>0</v>
      </c>
      <c r="B24" s="160" t="s">
        <v>228</v>
      </c>
      <c r="C24" s="155" t="s">
        <v>406</v>
      </c>
      <c r="D24" s="195">
        <f>D156</f>
        <v>224.64599999999999</v>
      </c>
      <c r="E24" s="195">
        <f>E156</f>
        <v>246.74600000000001</v>
      </c>
      <c r="F24" s="195">
        <f>F156</f>
        <v>246.74600000000001</v>
      </c>
      <c r="H24" s="195">
        <f>H156</f>
        <v>252.12799999999999</v>
      </c>
      <c r="I24" s="195">
        <f>I156</f>
        <v>263.85899999999998</v>
      </c>
      <c r="J24" s="195">
        <f>J156</f>
        <v>263.85899999999998</v>
      </c>
      <c r="L24" s="195">
        <f>L156</f>
        <v>271.15100000000001</v>
      </c>
      <c r="M24" s="195">
        <f>M156</f>
        <v>267.09699999999998</v>
      </c>
      <c r="N24" s="195">
        <f>N156</f>
        <v>267.09699999999998</v>
      </c>
      <c r="P24" s="195">
        <f>P156</f>
        <v>328.113</v>
      </c>
      <c r="Q24" s="195">
        <f>Q156</f>
        <v>401.14600000000002</v>
      </c>
      <c r="R24" s="195">
        <f>R156</f>
        <v>401.14600000000002</v>
      </c>
      <c r="T24" s="195">
        <f>T156</f>
        <v>395.73899999999998</v>
      </c>
      <c r="U24" s="195">
        <f>U156</f>
        <v>382.99599999999998</v>
      </c>
      <c r="V24" s="195">
        <f>V156</f>
        <v>382.99599999999998</v>
      </c>
      <c r="X24" s="195">
        <f>X156</f>
        <v>510.73500000000001</v>
      </c>
      <c r="Y24" s="195">
        <f>Y156</f>
        <v>469.67700000000002</v>
      </c>
      <c r="Z24" s="195">
        <f>Z156</f>
        <v>469.67700000000002</v>
      </c>
      <c r="AB24" s="195">
        <f>AB156</f>
        <v>514.83600000000001</v>
      </c>
      <c r="AC24" s="195">
        <f>AC156</f>
        <v>622.51</v>
      </c>
      <c r="AD24" s="195">
        <f>AD156</f>
        <v>622.51</v>
      </c>
      <c r="AE24" s="455"/>
      <c r="AF24" s="195">
        <f>AF156</f>
        <v>1806.8510000000001</v>
      </c>
      <c r="AG24" s="195">
        <f>AG156</f>
        <v>1956.8409999999999</v>
      </c>
      <c r="AH24" s="195">
        <f>AH156</f>
        <v>1956.8409999999999</v>
      </c>
      <c r="AI24" s="455"/>
      <c r="AJ24" s="195">
        <f>AJ156</f>
        <v>2005.4269999999999</v>
      </c>
      <c r="AK24" s="195">
        <f>AK156</f>
        <v>2042.894</v>
      </c>
      <c r="AL24" s="195">
        <f>AL156</f>
        <v>2042.894</v>
      </c>
      <c r="AN24" s="195">
        <f>AN156</f>
        <v>2462.299</v>
      </c>
      <c r="AO24" s="195">
        <f>AO156</f>
        <v>2601.65</v>
      </c>
      <c r="AP24" s="195">
        <f>AP156</f>
        <v>2601.65</v>
      </c>
      <c r="AR24" s="195">
        <f>AR156</f>
        <v>2546.3255974000003</v>
      </c>
      <c r="AS24" s="195">
        <f>AS156</f>
        <v>2482.3110900000001</v>
      </c>
      <c r="AT24" s="195">
        <f>AT156</f>
        <v>2482.3110900000001</v>
      </c>
      <c r="AV24" s="195">
        <f>AV156</f>
        <v>2428.0449003822505</v>
      </c>
      <c r="AW24" s="195">
        <f>AW156</f>
        <v>2371.9514197250001</v>
      </c>
      <c r="AX24" s="195">
        <f>AX156</f>
        <v>2371.9514197250005</v>
      </c>
      <c r="AZ24" s="195">
        <f>AZ156</f>
        <v>2324.7911668491879</v>
      </c>
      <c r="BA24" s="195">
        <f>BA156</f>
        <v>2276.1014142777503</v>
      </c>
      <c r="BB24" s="195">
        <f>BB156</f>
        <v>2276.1014142777499</v>
      </c>
      <c r="BD24" s="195">
        <f>BD156</f>
        <v>2234.8100305878847</v>
      </c>
      <c r="BE24" s="195">
        <f>BE156</f>
        <v>2192.2366010551527</v>
      </c>
      <c r="BF24" s="195">
        <f>BF156</f>
        <v>2192.2366010551532</v>
      </c>
      <c r="BH24" s="195">
        <f>BH156</f>
        <v>2155.7867393135639</v>
      </c>
      <c r="BI24" s="195">
        <f>BI156</f>
        <v>2118.2605112049891</v>
      </c>
      <c r="BJ24" s="195">
        <f>BJ156</f>
        <v>2118.2605112049891</v>
      </c>
      <c r="BL24" s="195">
        <f>BL156</f>
        <v>2085.7988804148899</v>
      </c>
      <c r="BM24" s="195">
        <f>BM156</f>
        <v>2052.4318958564377</v>
      </c>
      <c r="BN24" s="195">
        <f>BN156</f>
        <v>2052.4318958564377</v>
      </c>
      <c r="BP24" s="195">
        <f>BP156</f>
        <v>2023.2496598451828</v>
      </c>
      <c r="BQ24" s="195">
        <f>BQ156</f>
        <v>1993.3043151287657</v>
      </c>
      <c r="BR24" s="195">
        <f>BR156</f>
        <v>1993.3043151287659</v>
      </c>
      <c r="BT24" s="195">
        <f>BT156</f>
        <v>1966.8125231348426</v>
      </c>
      <c r="BU24" s="195">
        <f>BU156</f>
        <v>1939.6759965366564</v>
      </c>
      <c r="BV24" s="195">
        <f>BV156</f>
        <v>1939.6759965366566</v>
      </c>
      <c r="BX24" s="195">
        <f>BX156</f>
        <v>1915.3851903550271</v>
      </c>
      <c r="BY24" s="195">
        <f>BY156</f>
        <v>1890.5482169853012</v>
      </c>
      <c r="BZ24" s="195">
        <f>BZ156</f>
        <v>1890.5482169853015</v>
      </c>
    </row>
    <row r="25" spans="1:78">
      <c r="A25" s="823" cm="1">
        <f t="array" ref="A25">COUNT(IF(K25:DT25&lt;0,1,""))</f>
        <v>0</v>
      </c>
      <c r="B25" s="160" t="s">
        <v>229</v>
      </c>
      <c r="C25" s="155" t="s">
        <v>406</v>
      </c>
      <c r="D25" s="195">
        <f>D191</f>
        <v>0</v>
      </c>
      <c r="E25" s="195">
        <f>E191</f>
        <v>0</v>
      </c>
      <c r="F25" s="195">
        <f>F191</f>
        <v>0</v>
      </c>
      <c r="H25" s="195">
        <f>H191</f>
        <v>0</v>
      </c>
      <c r="I25" s="195">
        <f>I191</f>
        <v>0</v>
      </c>
      <c r="J25" s="195">
        <f>J191</f>
        <v>0</v>
      </c>
      <c r="L25" s="195">
        <f>L191</f>
        <v>0</v>
      </c>
      <c r="M25" s="195">
        <f>M191</f>
        <v>0</v>
      </c>
      <c r="N25" s="195">
        <f>N191</f>
        <v>0</v>
      </c>
      <c r="P25" s="195">
        <f>P191</f>
        <v>0</v>
      </c>
      <c r="Q25" s="195">
        <f>Q191</f>
        <v>0</v>
      </c>
      <c r="R25" s="195">
        <f>R191</f>
        <v>0</v>
      </c>
      <c r="T25" s="195">
        <f>T191</f>
        <v>32.29</v>
      </c>
      <c r="U25" s="195">
        <f>U191</f>
        <v>26.321999999999999</v>
      </c>
      <c r="V25" s="195">
        <f>V191</f>
        <v>26.321999999999999</v>
      </c>
      <c r="X25" s="195">
        <f>X191</f>
        <v>25.059000000000001</v>
      </c>
      <c r="Y25" s="195">
        <f>Y191</f>
        <v>22.617999999999999</v>
      </c>
      <c r="Z25" s="195">
        <f>Z191</f>
        <v>22.617999999999999</v>
      </c>
      <c r="AB25" s="195">
        <f>AB191</f>
        <v>23.527999999999999</v>
      </c>
      <c r="AC25" s="195">
        <f>AC191</f>
        <v>23.850999999999999</v>
      </c>
      <c r="AD25" s="195">
        <f>AD191</f>
        <v>23.850999999999999</v>
      </c>
      <c r="AE25" s="455"/>
      <c r="AF25" s="195">
        <f>AF191</f>
        <v>62.765000000000001</v>
      </c>
      <c r="AG25" s="195">
        <f>AG191</f>
        <v>70.36</v>
      </c>
      <c r="AH25" s="195">
        <f>AH191</f>
        <v>70.36</v>
      </c>
      <c r="AI25" s="455"/>
      <c r="AJ25" s="195">
        <f>AJ191</f>
        <v>69.817999999999998</v>
      </c>
      <c r="AK25" s="195">
        <f>AK191</f>
        <v>72.751000000000005</v>
      </c>
      <c r="AL25" s="195">
        <f>AL191</f>
        <v>72.751000000000005</v>
      </c>
      <c r="AN25" s="195">
        <f>AN191</f>
        <v>75.929000000000002</v>
      </c>
      <c r="AO25" s="195">
        <f>AO191</f>
        <v>77.602999999999994</v>
      </c>
      <c r="AP25" s="195">
        <f>AP191</f>
        <v>77.602999999999994</v>
      </c>
      <c r="AR25" s="195">
        <f>AR191</f>
        <v>79.155059999999992</v>
      </c>
      <c r="AS25" s="195">
        <f>AS191</f>
        <v>80.738161199999993</v>
      </c>
      <c r="AT25" s="195">
        <f>AT191</f>
        <v>80.738161199999993</v>
      </c>
      <c r="AV25" s="195">
        <f>AV191</f>
        <v>82.352924423999994</v>
      </c>
      <c r="AW25" s="195">
        <f>AW191</f>
        <v>83.999982912479993</v>
      </c>
      <c r="AX25" s="195">
        <f>AX191</f>
        <v>83.999982912479993</v>
      </c>
      <c r="AZ25" s="195">
        <f>AZ191</f>
        <v>85.679982570729592</v>
      </c>
      <c r="BA25" s="195">
        <f>BA191</f>
        <v>87.39358222214419</v>
      </c>
      <c r="BB25" s="195">
        <f>BB191</f>
        <v>87.39358222214419</v>
      </c>
      <c r="BD25" s="195">
        <f>BD191</f>
        <v>89.141453866587071</v>
      </c>
      <c r="BE25" s="195">
        <f>BE191</f>
        <v>90.924282943918811</v>
      </c>
      <c r="BF25" s="195">
        <f>BF191</f>
        <v>90.924282943918811</v>
      </c>
      <c r="BH25" s="195">
        <f>BH191</f>
        <v>92.742768602797184</v>
      </c>
      <c r="BI25" s="195">
        <f>BI191</f>
        <v>94.597623974853136</v>
      </c>
      <c r="BJ25" s="195">
        <f>BJ191</f>
        <v>94.597623974853136</v>
      </c>
      <c r="BL25" s="195">
        <f>BL191</f>
        <v>96.4895764543502</v>
      </c>
      <c r="BM25" s="195">
        <f>BM191</f>
        <v>98.419367983437212</v>
      </c>
      <c r="BN25" s="195">
        <f>BN191</f>
        <v>98.419367983437212</v>
      </c>
      <c r="BP25" s="195">
        <f>BP191</f>
        <v>100.38775534310595</v>
      </c>
      <c r="BQ25" s="195">
        <f>BQ191</f>
        <v>102.39551044996807</v>
      </c>
      <c r="BR25" s="195">
        <f>BR191</f>
        <v>102.39551044996807</v>
      </c>
      <c r="BT25" s="195">
        <f>BT191</f>
        <v>104.44342065896744</v>
      </c>
      <c r="BU25" s="195">
        <f>BU191</f>
        <v>106.5322890721468</v>
      </c>
      <c r="BV25" s="195">
        <f>BV191</f>
        <v>106.5322890721468</v>
      </c>
      <c r="BX25" s="195">
        <f>BX191</f>
        <v>108.66293485358973</v>
      </c>
      <c r="BY25" s="195">
        <f>BY191</f>
        <v>110.83619355066153</v>
      </c>
      <c r="BZ25" s="195">
        <f>BZ191</f>
        <v>110.83619355066153</v>
      </c>
    </row>
    <row r="26" spans="1:78">
      <c r="A26" s="823" cm="1">
        <f t="array" ref="A26">COUNT(IF(K26:DT26&lt;0,1,""))</f>
        <v>0</v>
      </c>
      <c r="B26" s="160" t="s">
        <v>134</v>
      </c>
      <c r="C26" s="155" t="s">
        <v>406</v>
      </c>
      <c r="D26" s="195">
        <f>D194</f>
        <v>5.399</v>
      </c>
      <c r="E26" s="195">
        <f>E194</f>
        <v>5.5350000000000001</v>
      </c>
      <c r="F26" s="195">
        <f>F194</f>
        <v>5.5350000000000001</v>
      </c>
      <c r="H26" s="195">
        <f>H194</f>
        <v>5.4249999999999998</v>
      </c>
      <c r="I26" s="195">
        <f>I194</f>
        <v>7.21</v>
      </c>
      <c r="J26" s="195">
        <f>J194</f>
        <v>7.21</v>
      </c>
      <c r="L26" s="195">
        <f>L194</f>
        <v>7.0750000000000002</v>
      </c>
      <c r="M26" s="195">
        <f>M194</f>
        <v>7.343</v>
      </c>
      <c r="N26" s="195">
        <f>N194</f>
        <v>7.343</v>
      </c>
      <c r="P26" s="195">
        <f>P194</f>
        <v>12.234999999999999</v>
      </c>
      <c r="Q26" s="195">
        <f>Q194</f>
        <v>12.645</v>
      </c>
      <c r="R26" s="195">
        <f>R194</f>
        <v>12.645</v>
      </c>
      <c r="T26" s="195">
        <f>T194</f>
        <v>13.019</v>
      </c>
      <c r="U26" s="195">
        <f>U194</f>
        <v>15.256</v>
      </c>
      <c r="V26" s="195">
        <f>V194</f>
        <v>15.256</v>
      </c>
      <c r="X26" s="195">
        <f>X194</f>
        <v>14.875</v>
      </c>
      <c r="Y26" s="195">
        <f>Y194</f>
        <v>14.574</v>
      </c>
      <c r="Z26" s="195">
        <f>Z194</f>
        <v>14.574</v>
      </c>
      <c r="AB26" s="195">
        <f>AB194</f>
        <v>14.785</v>
      </c>
      <c r="AC26" s="195">
        <f>AC194</f>
        <v>14.694000000000001</v>
      </c>
      <c r="AD26" s="195">
        <f>AD194</f>
        <v>14.694000000000001</v>
      </c>
      <c r="AE26" s="455"/>
      <c r="AF26" s="195">
        <f>AF194</f>
        <v>16.940000000000001</v>
      </c>
      <c r="AG26" s="195">
        <f>AG194</f>
        <v>21.385000000000002</v>
      </c>
      <c r="AH26" s="195">
        <f>AH194</f>
        <v>21.385000000000002</v>
      </c>
      <c r="AI26" s="455"/>
      <c r="AJ26" s="195">
        <f>AJ194</f>
        <v>20.015000000000001</v>
      </c>
      <c r="AK26" s="195">
        <f>AK194</f>
        <v>24.756</v>
      </c>
      <c r="AL26" s="195">
        <f>AL194</f>
        <v>24.756</v>
      </c>
      <c r="AN26" s="195">
        <f>AN194</f>
        <v>19.916</v>
      </c>
      <c r="AO26" s="195">
        <f>AO194</f>
        <v>29.733000000000001</v>
      </c>
      <c r="AP26" s="195">
        <f>AP194</f>
        <v>29.733000000000001</v>
      </c>
      <c r="AR26" s="195">
        <f>AR194</f>
        <v>30.327660000000002</v>
      </c>
      <c r="AS26" s="195">
        <f>AS194</f>
        <v>30.934213200000002</v>
      </c>
      <c r="AT26" s="195">
        <f>AT194</f>
        <v>30.934213200000002</v>
      </c>
      <c r="AV26" s="195">
        <f>AV194</f>
        <v>31.552897464000004</v>
      </c>
      <c r="AW26" s="195">
        <f>AW194</f>
        <v>32.183955413280003</v>
      </c>
      <c r="AX26" s="195">
        <f>AX194</f>
        <v>32.183955413280003</v>
      </c>
      <c r="AZ26" s="195">
        <f>AZ194</f>
        <v>32.827634521545605</v>
      </c>
      <c r="BA26" s="195">
        <f>BA194</f>
        <v>33.484187211976518</v>
      </c>
      <c r="BB26" s="195">
        <f>BB194</f>
        <v>33.484187211976518</v>
      </c>
      <c r="BD26" s="195">
        <f>BD194</f>
        <v>34.153870956216046</v>
      </c>
      <c r="BE26" s="195">
        <f>BE194</f>
        <v>34.83694837534037</v>
      </c>
      <c r="BF26" s="195">
        <f>BF194</f>
        <v>34.83694837534037</v>
      </c>
      <c r="BH26" s="195">
        <f>BH194</f>
        <v>35.53368734284718</v>
      </c>
      <c r="BI26" s="195">
        <f>BI194</f>
        <v>36.244361089704128</v>
      </c>
      <c r="BJ26" s="195">
        <f>BJ194</f>
        <v>36.244361089704128</v>
      </c>
      <c r="BL26" s="195">
        <f>BL194</f>
        <v>36.969248311498212</v>
      </c>
      <c r="BM26" s="195">
        <f>BM194</f>
        <v>37.708633277728175</v>
      </c>
      <c r="BN26" s="195">
        <f>BN194</f>
        <v>37.708633277728175</v>
      </c>
      <c r="BP26" s="195">
        <f>BP194</f>
        <v>38.462805943282738</v>
      </c>
      <c r="BQ26" s="195">
        <f>BQ194</f>
        <v>39.232062062148394</v>
      </c>
      <c r="BR26" s="195">
        <f>BR194</f>
        <v>39.232062062148394</v>
      </c>
      <c r="BT26" s="195">
        <f>BT194</f>
        <v>40.01670330339136</v>
      </c>
      <c r="BU26" s="195">
        <f>BU194</f>
        <v>40.817037369459186</v>
      </c>
      <c r="BV26" s="195">
        <f>BV194</f>
        <v>40.817037369459186</v>
      </c>
      <c r="BX26" s="195">
        <f>BX194</f>
        <v>41.63337811684837</v>
      </c>
      <c r="BY26" s="195">
        <f>BY194</f>
        <v>42.466045679185335</v>
      </c>
      <c r="BZ26" s="195">
        <f>BZ194</f>
        <v>42.466045679185335</v>
      </c>
    </row>
    <row r="27" spans="1:78" s="516" customFormat="1">
      <c r="A27" s="823" cm="1">
        <f t="array" ref="A27">COUNT(IF(K27:DT27&lt;0,1,""))</f>
        <v>0</v>
      </c>
      <c r="B27" s="514" t="s">
        <v>193</v>
      </c>
      <c r="C27" s="155" t="s">
        <v>406</v>
      </c>
      <c r="D27" s="515">
        <f>D133</f>
        <v>7.0000000000000007E-2</v>
      </c>
      <c r="E27" s="515">
        <f>E133</f>
        <v>0.04</v>
      </c>
      <c r="F27" s="515">
        <f>F133</f>
        <v>0.04</v>
      </c>
      <c r="H27" s="515">
        <f>H133</f>
        <v>1.2999999999999999E-2</v>
      </c>
      <c r="I27" s="515">
        <f>I133</f>
        <v>5.0999999999999997E-2</v>
      </c>
      <c r="J27" s="515">
        <f>J133</f>
        <v>5.0999999999999997E-2</v>
      </c>
      <c r="L27" s="515">
        <f>L133</f>
        <v>0.03</v>
      </c>
      <c r="M27" s="515">
        <f>M133</f>
        <v>1.7999999999999999E-2</v>
      </c>
      <c r="N27" s="515">
        <f>N133</f>
        <v>1.7999999999999999E-2</v>
      </c>
      <c r="P27" s="515">
        <f>P133</f>
        <v>0.751</v>
      </c>
      <c r="Q27" s="515">
        <f>Q133</f>
        <v>0.39300000000000002</v>
      </c>
      <c r="R27" s="515">
        <f>R133</f>
        <v>0.39300000000000002</v>
      </c>
      <c r="T27" s="515">
        <f>T133</f>
        <v>0.04</v>
      </c>
      <c r="U27" s="515">
        <f>U133</f>
        <v>0.04</v>
      </c>
      <c r="V27" s="515">
        <f>V133</f>
        <v>0.04</v>
      </c>
      <c r="W27" s="517"/>
      <c r="X27" s="515">
        <f>X133</f>
        <v>0.04</v>
      </c>
      <c r="Y27" s="515">
        <f>Y133</f>
        <v>0.04</v>
      </c>
      <c r="Z27" s="515">
        <f>Z133</f>
        <v>0.04</v>
      </c>
      <c r="AB27" s="515">
        <f>AB133</f>
        <v>10.717000000000001</v>
      </c>
      <c r="AC27" s="515">
        <f>AC133</f>
        <v>9.2140000000000004</v>
      </c>
      <c r="AD27" s="515">
        <f>AD133</f>
        <v>9.2140000000000004</v>
      </c>
      <c r="AF27" s="515">
        <f>AF133</f>
        <v>8.6479999999999997</v>
      </c>
      <c r="AG27" s="515">
        <f>AG133</f>
        <v>29.890999999999998</v>
      </c>
      <c r="AH27" s="515">
        <f>AH133</f>
        <v>29.890999999999998</v>
      </c>
      <c r="AJ27" s="515">
        <f>AJ133</f>
        <v>29.408999999999999</v>
      </c>
      <c r="AK27" s="515">
        <f>AK133</f>
        <v>24.395</v>
      </c>
      <c r="AL27" s="515">
        <f>AL133</f>
        <v>24.395</v>
      </c>
      <c r="AN27" s="515">
        <f>AN133</f>
        <v>20.826000000000001</v>
      </c>
      <c r="AO27" s="515">
        <f>AO133</f>
        <v>24.457000000000001</v>
      </c>
      <c r="AP27" s="515">
        <f>AP133</f>
        <v>24.457000000000001</v>
      </c>
      <c r="AR27" s="515">
        <f t="shared" ref="AR27:AS27" si="24">(AR49+AR64-AR18-SUM(AR21:AR26) )*1</f>
        <v>123.11404407285954</v>
      </c>
      <c r="AS27" s="515">
        <f t="shared" si="24"/>
        <v>100.18307881265537</v>
      </c>
      <c r="AT27" s="515">
        <f t="shared" ref="AT27" si="25">+AS27</f>
        <v>100.18307881265537</v>
      </c>
      <c r="AV27" s="515">
        <f t="shared" ref="AV27:AW27" si="26">(AV49+AV64-AV18-SUM(AV21:AV26) )*1</f>
        <v>217.24540449924189</v>
      </c>
      <c r="AW27" s="515">
        <f t="shared" si="26"/>
        <v>179.31925594459926</v>
      </c>
      <c r="AX27" s="515">
        <f t="shared" ref="AX27" si="27">+AW27</f>
        <v>179.31925594459926</v>
      </c>
      <c r="AZ27" s="515">
        <f t="shared" ref="AZ27:BA27" si="28">(AZ49+AZ64-AZ18-SUM(AZ21:AZ26) )*1</f>
        <v>293.05457815076397</v>
      </c>
      <c r="BA27" s="515">
        <f t="shared" si="28"/>
        <v>247.09319637453154</v>
      </c>
      <c r="BB27" s="515">
        <f t="shared" ref="BB27" si="29">+BA27</f>
        <v>247.09319637453154</v>
      </c>
      <c r="BD27" s="515">
        <f t="shared" ref="BD27:BE27" si="30">(BD49+BD64-BD18-SUM(BD21:BD26) )*1</f>
        <v>366.20123539472343</v>
      </c>
      <c r="BE27" s="515">
        <f t="shared" si="30"/>
        <v>301.56227702710248</v>
      </c>
      <c r="BF27" s="515">
        <f t="shared" ref="BF27" si="31">+BE27</f>
        <v>301.56227702710248</v>
      </c>
      <c r="BH27" s="515">
        <f t="shared" ref="BH27:BI27" si="32">(BH49+BH64-BH18-SUM(BH21:BH26) )*1</f>
        <v>424.51317753912508</v>
      </c>
      <c r="BI27" s="515">
        <f t="shared" si="32"/>
        <v>348.46168026993837</v>
      </c>
      <c r="BJ27" s="515">
        <f t="shared" ref="BJ27" si="33">+BI27</f>
        <v>348.46168026993837</v>
      </c>
      <c r="BL27" s="515">
        <f t="shared" ref="BL27:BM27" si="34">(BL49+BL64-BL18-SUM(BL21:BL26) )*1</f>
        <v>472.95546661196931</v>
      </c>
      <c r="BM27" s="515">
        <f t="shared" si="34"/>
        <v>386.06180651239765</v>
      </c>
      <c r="BN27" s="515">
        <f t="shared" ref="BN27" si="35">+BM27</f>
        <v>386.06180651239765</v>
      </c>
      <c r="BP27" s="515">
        <f t="shared" ref="BP27:BQ27" si="36">(BP49+BP64-BP18-SUM(BP21:BP26) )*1</f>
        <v>509.5176878424063</v>
      </c>
      <c r="BQ27" s="515">
        <f t="shared" si="36"/>
        <v>419.76522552660799</v>
      </c>
      <c r="BR27" s="515">
        <f t="shared" ref="BR27" si="37">+BQ27</f>
        <v>419.76522552660799</v>
      </c>
      <c r="BT27" s="515">
        <f t="shared" ref="BT27:BU27" si="38">(BT49+BT64-BT18-SUM(BT21:BT26) )*1</f>
        <v>546.20966214724513</v>
      </c>
      <c r="BU27" s="515">
        <f t="shared" si="38"/>
        <v>438.70302630254764</v>
      </c>
      <c r="BV27" s="515">
        <f t="shared" ref="BV27" si="39">+BU27</f>
        <v>438.70302630254764</v>
      </c>
      <c r="BX27" s="515">
        <f t="shared" ref="BX27:BY27" si="40">(BX49+BX64-BX18-SUM(BX21:BX26) )*1</f>
        <v>573.37741375356791</v>
      </c>
      <c r="BY27" s="515">
        <f t="shared" si="40"/>
        <v>455.83764991603266</v>
      </c>
      <c r="BZ27" s="515">
        <f t="shared" ref="BZ27" si="41">+BY27</f>
        <v>455.83764991603266</v>
      </c>
    </row>
    <row r="28" spans="1:78" s="140" customFormat="1">
      <c r="A28" s="132"/>
      <c r="B28" s="159" t="s">
        <v>7</v>
      </c>
      <c r="C28" s="155" t="s">
        <v>406</v>
      </c>
      <c r="D28" s="140">
        <f>SUM(D21:D27)</f>
        <v>368.642</v>
      </c>
      <c r="E28" s="140">
        <f>SUM(E21:E27)</f>
        <v>396.18400000000008</v>
      </c>
      <c r="F28" s="140">
        <f>SUM(F21:F27)</f>
        <v>396.18400000000008</v>
      </c>
      <c r="H28" s="140">
        <f>SUM(H21:H27)</f>
        <v>401.35299999999995</v>
      </c>
      <c r="I28" s="140">
        <f>SUM(I21:I27)</f>
        <v>424.95699999999994</v>
      </c>
      <c r="J28" s="140">
        <f>SUM(J21:J27)</f>
        <v>424.95699999999994</v>
      </c>
      <c r="L28" s="140">
        <f>SUM(L21:L27)</f>
        <v>435.94099999999997</v>
      </c>
      <c r="M28" s="140">
        <f>SUM(M21:M27)</f>
        <v>442.77099999999996</v>
      </c>
      <c r="N28" s="140">
        <f>SUM(N21:N27)</f>
        <v>442.77099999999996</v>
      </c>
      <c r="P28" s="140">
        <f>SUM(P21:P27)</f>
        <v>489.96199999999999</v>
      </c>
      <c r="Q28" s="140">
        <f>SUM(Q21:Q27)</f>
        <v>556.32900000000006</v>
      </c>
      <c r="R28" s="140">
        <f>SUM(R21:R27)</f>
        <v>556.32900000000006</v>
      </c>
      <c r="T28" s="140">
        <f>SUM(T21:T27)</f>
        <v>582.72299999999996</v>
      </c>
      <c r="U28" s="140">
        <f>SUM(U21:U27)</f>
        <v>707.64899999999989</v>
      </c>
      <c r="V28" s="140">
        <f>SUM(V21:V27)</f>
        <v>707.64899999999989</v>
      </c>
      <c r="X28" s="140">
        <f>SUM(X21:X27)</f>
        <v>830.08100000000002</v>
      </c>
      <c r="Y28" s="140">
        <f>SUM(Y21:Y27)</f>
        <v>798.61799999999994</v>
      </c>
      <c r="Z28" s="140">
        <f>SUM(Z21:Z27)</f>
        <v>798.61799999999994</v>
      </c>
      <c r="AB28" s="140">
        <f>SUM(AB21:AB27)</f>
        <v>848.98299999999995</v>
      </c>
      <c r="AC28" s="140">
        <f>SUM(AC21:AC27)</f>
        <v>927.45499999999993</v>
      </c>
      <c r="AD28" s="140">
        <f>SUM(AD21:AD27)</f>
        <v>927.45499999999993</v>
      </c>
      <c r="AE28" s="456"/>
      <c r="AF28" s="140">
        <f>SUM(AF21:AF27)</f>
        <v>2164.6210000000001</v>
      </c>
      <c r="AG28" s="140">
        <f>SUM(AG21:AG27)</f>
        <v>2347.1740000000004</v>
      </c>
      <c r="AH28" s="140">
        <f>SUM(AH21:AH27)</f>
        <v>2347.1740000000004</v>
      </c>
      <c r="AI28" s="456"/>
      <c r="AJ28" s="140">
        <f>SUM(AJ21:AJ27)</f>
        <v>2402.681</v>
      </c>
      <c r="AK28" s="140">
        <f>SUM(AK21:AK27)</f>
        <v>2441.8650000000002</v>
      </c>
      <c r="AL28" s="140">
        <f>SUM(AL21:AL27)</f>
        <v>2441.8650000000002</v>
      </c>
      <c r="AN28" s="140">
        <f>SUM(AN21:AN27)</f>
        <v>2909.3620000000001</v>
      </c>
      <c r="AO28" s="140">
        <f>SUM(AO21:AO27)</f>
        <v>3058.0730000000003</v>
      </c>
      <c r="AP28" s="140">
        <f>SUM(AP21:AP27)</f>
        <v>3058.0730000000003</v>
      </c>
      <c r="AR28" s="140">
        <f t="shared" ref="AR28:AT28" si="42">SUM(AR21:AR27)</f>
        <v>3090.080917740604</v>
      </c>
      <c r="AS28" s="140">
        <f t="shared" si="42"/>
        <v>2991.7453757126555</v>
      </c>
      <c r="AT28" s="140">
        <f t="shared" si="42"/>
        <v>2991.7453757126555</v>
      </c>
      <c r="AV28" s="140">
        <f t="shared" ref="AV28:AX28" si="43">SUM(AV21:AV27)</f>
        <v>3043.3439640386559</v>
      </c>
      <c r="AW28" s="140">
        <f t="shared" si="43"/>
        <v>2937.9470087393593</v>
      </c>
      <c r="AX28" s="140">
        <f t="shared" si="43"/>
        <v>2937.9470087393593</v>
      </c>
      <c r="AZ28" s="140">
        <f t="shared" ref="AZ28:BB28" si="44">SUM(AZ21:AZ27)</f>
        <v>2993.3679543138032</v>
      </c>
      <c r="BA28" s="140">
        <f t="shared" si="44"/>
        <v>2887.3663913771402</v>
      </c>
      <c r="BB28" s="140">
        <f t="shared" si="44"/>
        <v>2887.3663913771397</v>
      </c>
      <c r="BD28" s="140">
        <f t="shared" ref="BD28:BF28" si="45">SUM(BD21:BD27)</f>
        <v>2954.089218308196</v>
      </c>
      <c r="BE28" s="140">
        <f t="shared" si="45"/>
        <v>2835.5687619413611</v>
      </c>
      <c r="BF28" s="140">
        <f t="shared" si="45"/>
        <v>2835.5687619413616</v>
      </c>
      <c r="BH28" s="140">
        <f t="shared" ref="BH28:BJ28" si="46">SUM(BH21:BH27)</f>
        <v>2911.0546683384064</v>
      </c>
      <c r="BI28" s="140">
        <f t="shared" si="46"/>
        <v>2786.2281103409496</v>
      </c>
      <c r="BJ28" s="140">
        <f t="shared" si="46"/>
        <v>2786.2281103409496</v>
      </c>
      <c r="BL28" s="140">
        <f t="shared" ref="BL28:BN28" si="47">SUM(BL21:BL27)</f>
        <v>2867.3438818802106</v>
      </c>
      <c r="BM28" s="140">
        <f t="shared" si="47"/>
        <v>2735.9120422024484</v>
      </c>
      <c r="BN28" s="140">
        <f t="shared" si="47"/>
        <v>2735.9120422024484</v>
      </c>
      <c r="BP28" s="140">
        <f t="shared" ref="BP28:BR28" si="48">SUM(BP21:BP27)</f>
        <v>2819.3898878812406</v>
      </c>
      <c r="BQ28" s="140">
        <f t="shared" si="48"/>
        <v>2688.6185730248371</v>
      </c>
      <c r="BR28" s="140">
        <f t="shared" si="48"/>
        <v>2688.6185730248376</v>
      </c>
      <c r="BT28" s="140">
        <f t="shared" ref="BT28:BV28" si="49">SUM(BT21:BT27)</f>
        <v>2777.9197644934629</v>
      </c>
      <c r="BU28" s="140">
        <f t="shared" si="49"/>
        <v>2632.3226102601507</v>
      </c>
      <c r="BV28" s="140">
        <f t="shared" si="49"/>
        <v>2632.3226102601507</v>
      </c>
      <c r="BX28" s="140">
        <f t="shared" ref="BX28:BZ28" si="50">SUM(BX21:BX27)</f>
        <v>2732.2249267116945</v>
      </c>
      <c r="BY28" s="140">
        <f t="shared" si="50"/>
        <v>2579.0374635730295</v>
      </c>
      <c r="BZ28" s="140">
        <f t="shared" si="50"/>
        <v>2579.0374635730295</v>
      </c>
    </row>
    <row r="29" spans="1:78">
      <c r="B29" s="160"/>
      <c r="C29" s="169"/>
      <c r="D29" s="132"/>
      <c r="E29" s="132"/>
      <c r="F29" s="132"/>
      <c r="H29" s="132"/>
      <c r="I29" s="132"/>
      <c r="J29" s="132"/>
      <c r="L29" s="132"/>
      <c r="M29" s="132"/>
      <c r="N29" s="132"/>
      <c r="P29" s="132"/>
      <c r="Q29" s="132"/>
      <c r="R29" s="132"/>
      <c r="T29" s="132"/>
      <c r="U29" s="132"/>
      <c r="V29" s="132"/>
      <c r="X29" s="132"/>
      <c r="Y29" s="132"/>
      <c r="Z29" s="132"/>
      <c r="AB29" s="132"/>
      <c r="AC29" s="132"/>
      <c r="AD29" s="132"/>
      <c r="AF29" s="132"/>
      <c r="AG29" s="132"/>
      <c r="AH29" s="132"/>
      <c r="AJ29" s="132"/>
      <c r="AK29" s="132"/>
      <c r="AL29" s="132"/>
      <c r="AN29" s="132"/>
      <c r="AO29" s="132"/>
      <c r="AP29" s="132"/>
      <c r="AR29" s="132"/>
      <c r="AS29" s="132"/>
      <c r="AT29" s="132"/>
      <c r="AV29" s="132"/>
      <c r="AW29" s="132"/>
      <c r="AX29" s="132"/>
      <c r="AZ29" s="132"/>
      <c r="BA29" s="132"/>
      <c r="BB29" s="132"/>
      <c r="BD29" s="132"/>
      <c r="BE29" s="132"/>
      <c r="BF29" s="132"/>
      <c r="BH29" s="132"/>
      <c r="BI29" s="132"/>
      <c r="BJ29" s="132"/>
      <c r="BL29" s="132"/>
      <c r="BM29" s="132"/>
      <c r="BN29" s="132"/>
      <c r="BP29" s="132"/>
      <c r="BQ29" s="132"/>
      <c r="BR29" s="132"/>
      <c r="BT29" s="132"/>
      <c r="BU29" s="132"/>
      <c r="BV29" s="132"/>
      <c r="BX29" s="132"/>
      <c r="BY29" s="132"/>
      <c r="BZ29" s="132"/>
    </row>
    <row r="30" spans="1:78" s="140" customFormat="1">
      <c r="A30" s="132"/>
      <c r="B30" s="159" t="s">
        <v>8</v>
      </c>
      <c r="C30" s="155" t="s">
        <v>406</v>
      </c>
      <c r="D30" s="140">
        <f>D18+D28</f>
        <v>652.50099999999998</v>
      </c>
      <c r="E30" s="140">
        <f>E18+E28</f>
        <v>721.10100000000011</v>
      </c>
      <c r="F30" s="140">
        <f>F18+F28</f>
        <v>721.10100000000011</v>
      </c>
      <c r="H30" s="140">
        <f>H18+H28</f>
        <v>672.68499999999995</v>
      </c>
      <c r="I30" s="140">
        <f>I18+I28</f>
        <v>754.36199999999997</v>
      </c>
      <c r="J30" s="140">
        <f>J18+J28</f>
        <v>754.36199999999997</v>
      </c>
      <c r="L30" s="140">
        <f>L18+L28</f>
        <v>710.91699999999992</v>
      </c>
      <c r="M30" s="140">
        <f>M18+M28</f>
        <v>781.14099999999996</v>
      </c>
      <c r="N30" s="140">
        <f>N18+N28</f>
        <v>781.14099999999996</v>
      </c>
      <c r="P30" s="140">
        <f>P18+P28</f>
        <v>814.89699999999993</v>
      </c>
      <c r="Q30" s="140">
        <f>Q18+Q28</f>
        <v>855.92600000000004</v>
      </c>
      <c r="R30" s="140">
        <f>R18+R28</f>
        <v>855.92600000000004</v>
      </c>
      <c r="T30" s="140">
        <f>T18+T28</f>
        <v>836.48</v>
      </c>
      <c r="U30" s="140">
        <f>U18+U28</f>
        <v>1020.3539999999998</v>
      </c>
      <c r="V30" s="140">
        <f>V18+V28</f>
        <v>1020.3539999999998</v>
      </c>
      <c r="X30" s="140">
        <f>X18+X28</f>
        <v>1115.335</v>
      </c>
      <c r="Y30" s="140">
        <f>Y18+Y28</f>
        <v>1146.1179999999999</v>
      </c>
      <c r="Z30" s="140">
        <f>Z18+Z28</f>
        <v>1146.1179999999999</v>
      </c>
      <c r="AB30" s="140">
        <f>AB18+AB28</f>
        <v>1185.9459999999999</v>
      </c>
      <c r="AC30" s="140">
        <f>AC18+AC28</f>
        <v>1640.482</v>
      </c>
      <c r="AD30" s="140">
        <f>AD18+AD28</f>
        <v>1640.482</v>
      </c>
      <c r="AE30" s="456"/>
      <c r="AF30" s="140">
        <f>AF18+AF28</f>
        <v>3483.4839999999999</v>
      </c>
      <c r="AG30" s="140">
        <f>AG18+AG28</f>
        <v>3884.3180000000002</v>
      </c>
      <c r="AH30" s="140">
        <f>AH18+AH28</f>
        <v>3884.3180000000002</v>
      </c>
      <c r="AI30" s="456"/>
      <c r="AJ30" s="140">
        <f>AJ18+AJ28</f>
        <v>3757.1219999999998</v>
      </c>
      <c r="AK30" s="140">
        <f>AK18+AK28</f>
        <v>4049.25</v>
      </c>
      <c r="AL30" s="140">
        <f>AL18+AL28</f>
        <v>4049.25</v>
      </c>
      <c r="AN30" s="140">
        <f>AN18+AN28</f>
        <v>4431.4960000000001</v>
      </c>
      <c r="AO30" s="140">
        <f>AO18+AO28</f>
        <v>4733.357</v>
      </c>
      <c r="AP30" s="140">
        <f>AP18+AP28</f>
        <v>4733.357</v>
      </c>
      <c r="AR30" s="140">
        <f>AR18+AR28</f>
        <v>4703.7985577359323</v>
      </c>
      <c r="AS30" s="140">
        <f>AS18+AS28</f>
        <v>4920.1231136303932</v>
      </c>
      <c r="AT30" s="140">
        <f>AT18+AT28</f>
        <v>4920.1231136303932</v>
      </c>
      <c r="AV30" s="140">
        <f>AV18+AV28</f>
        <v>4823.9477206059646</v>
      </c>
      <c r="AW30" s="140">
        <f>AW18+AW28</f>
        <v>5059.8513153835656</v>
      </c>
      <c r="AX30" s="140">
        <f>AX18+AX28</f>
        <v>5059.8513153835656</v>
      </c>
      <c r="AZ30" s="140">
        <f>AZ18+AZ28</f>
        <v>4939.1378002294277</v>
      </c>
      <c r="BA30" s="140">
        <f>BA18+BA28</f>
        <v>5178.8233183556767</v>
      </c>
      <c r="BB30" s="140">
        <f>BB18+BB28</f>
        <v>5178.8233183556767</v>
      </c>
      <c r="BD30" s="140">
        <f>BD18+BD28</f>
        <v>5037.6786548540967</v>
      </c>
      <c r="BE30" s="140">
        <f>BE18+BE28</f>
        <v>5301.409274628546</v>
      </c>
      <c r="BF30" s="140">
        <f>BF18+BF28</f>
        <v>5301.409274628546</v>
      </c>
      <c r="BH30" s="140">
        <f>BH18+BH28</f>
        <v>5147.7785626437544</v>
      </c>
      <c r="BI30" s="140">
        <f>BI18+BI28</f>
        <v>5425.0961725240149</v>
      </c>
      <c r="BJ30" s="140">
        <f>BJ18+BJ28</f>
        <v>5425.0961725240149</v>
      </c>
      <c r="BL30" s="140">
        <f>BL18+BL28</f>
        <v>5264.502761917629</v>
      </c>
      <c r="BM30" s="140">
        <f>BM18+BM28</f>
        <v>5555.9340994466575</v>
      </c>
      <c r="BN30" s="140">
        <f>BN18+BN28</f>
        <v>5555.9340994466575</v>
      </c>
      <c r="BP30" s="140">
        <f>BP18+BP28</f>
        <v>5393.9498864598454</v>
      </c>
      <c r="BQ30" s="140">
        <f>BQ18+BQ28</f>
        <v>5687.8091838926048</v>
      </c>
      <c r="BR30" s="140">
        <f>BR18+BR28</f>
        <v>5687.8091838926048</v>
      </c>
      <c r="BT30" s="140">
        <f>BT18+BT28</f>
        <v>5519.0270387283508</v>
      </c>
      <c r="BU30" s="140">
        <f>BU18+BU28</f>
        <v>5840.3447260314624</v>
      </c>
      <c r="BV30" s="140">
        <f>BV18+BV28</f>
        <v>5840.3447260314624</v>
      </c>
      <c r="BX30" s="140">
        <f>BX18+BX28</f>
        <v>5657.4623793376504</v>
      </c>
      <c r="BY30" s="140">
        <f>BY18+BY28</f>
        <v>5994.5936583813891</v>
      </c>
      <c r="BZ30" s="140">
        <f>BZ18+BZ28</f>
        <v>5994.5936583813891</v>
      </c>
    </row>
    <row r="31" spans="1:78">
      <c r="B31" s="160"/>
      <c r="C31" s="169"/>
      <c r="D31" s="132"/>
      <c r="E31" s="132"/>
      <c r="F31" s="132"/>
      <c r="H31" s="132"/>
      <c r="I31" s="132"/>
      <c r="J31" s="132"/>
      <c r="L31" s="132"/>
      <c r="M31" s="132"/>
      <c r="N31" s="132"/>
      <c r="P31" s="132"/>
      <c r="Q31" s="132"/>
      <c r="R31" s="132"/>
      <c r="T31" s="132"/>
      <c r="U31" s="132"/>
      <c r="V31" s="132"/>
      <c r="X31" s="132"/>
      <c r="Y31" s="132"/>
      <c r="Z31" s="132"/>
      <c r="AB31" s="132"/>
      <c r="AC31" s="132"/>
      <c r="AD31" s="132"/>
      <c r="AF31" s="132"/>
      <c r="AG31" s="132"/>
      <c r="AH31" s="132"/>
      <c r="AJ31" s="132"/>
      <c r="AK31" s="132"/>
      <c r="AL31" s="132"/>
      <c r="AN31" s="132"/>
      <c r="AO31" s="132"/>
      <c r="AP31" s="132"/>
      <c r="AR31" s="132"/>
      <c r="AS31" s="132"/>
      <c r="AT31" s="132"/>
      <c r="AV31" s="132"/>
      <c r="AW31" s="132"/>
      <c r="AX31" s="132"/>
      <c r="AZ31" s="132"/>
      <c r="BA31" s="132"/>
      <c r="BB31" s="132"/>
      <c r="BD31" s="132"/>
      <c r="BE31" s="132"/>
      <c r="BF31" s="132"/>
      <c r="BH31" s="132"/>
      <c r="BI31" s="132"/>
      <c r="BJ31" s="132"/>
      <c r="BL31" s="132"/>
      <c r="BM31" s="132"/>
      <c r="BN31" s="132"/>
      <c r="BP31" s="132"/>
      <c r="BQ31" s="132"/>
      <c r="BR31" s="132"/>
      <c r="BT31" s="132"/>
      <c r="BU31" s="132"/>
      <c r="BV31" s="132"/>
      <c r="BX31" s="132"/>
      <c r="BY31" s="132"/>
      <c r="BZ31" s="132"/>
    </row>
    <row r="32" spans="1:78">
      <c r="B32" s="162" t="s">
        <v>9</v>
      </c>
      <c r="C32" s="169"/>
      <c r="D32" s="132"/>
      <c r="E32" s="132"/>
      <c r="F32" s="132"/>
      <c r="H32" s="132"/>
      <c r="I32" s="132"/>
      <c r="J32" s="132"/>
      <c r="L32" s="132"/>
      <c r="M32" s="132"/>
      <c r="N32" s="132"/>
      <c r="P32" s="132"/>
      <c r="Q32" s="132"/>
      <c r="R32" s="132"/>
      <c r="T32" s="132"/>
      <c r="U32" s="132"/>
      <c r="V32" s="132"/>
      <c r="X32" s="132"/>
      <c r="Y32" s="132"/>
      <c r="Z32" s="132"/>
      <c r="AB32" s="132"/>
      <c r="AC32" s="132"/>
      <c r="AD32" s="132"/>
      <c r="AF32" s="132"/>
      <c r="AG32" s="132"/>
      <c r="AH32" s="132"/>
      <c r="AJ32" s="132"/>
      <c r="AK32" s="132"/>
      <c r="AL32" s="132"/>
      <c r="AN32" s="132"/>
      <c r="AO32" s="132"/>
      <c r="AP32" s="132"/>
      <c r="AR32" s="132"/>
      <c r="AS32" s="132"/>
      <c r="AT32" s="132"/>
      <c r="AV32" s="132"/>
      <c r="AW32" s="132"/>
      <c r="AX32" s="132"/>
      <c r="AZ32" s="132"/>
      <c r="BA32" s="132"/>
      <c r="BB32" s="132"/>
      <c r="BD32" s="132"/>
      <c r="BE32" s="132"/>
      <c r="BF32" s="132"/>
      <c r="BH32" s="132"/>
      <c r="BI32" s="132"/>
      <c r="BJ32" s="132"/>
      <c r="BL32" s="132"/>
      <c r="BM32" s="132"/>
      <c r="BN32" s="132"/>
      <c r="BP32" s="132"/>
      <c r="BQ32" s="132"/>
      <c r="BR32" s="132"/>
      <c r="BT32" s="132"/>
      <c r="BU32" s="132"/>
      <c r="BV32" s="132"/>
      <c r="BX32" s="132"/>
      <c r="BY32" s="132"/>
      <c r="BZ32" s="132"/>
    </row>
    <row r="33" spans="1:78">
      <c r="A33" s="823" cm="1">
        <f t="array" ref="A33">COUNT(IF(K33:DT33&lt;0,1,""))</f>
        <v>0</v>
      </c>
      <c r="B33" s="160" t="s">
        <v>230</v>
      </c>
      <c r="C33" s="155" t="s">
        <v>406</v>
      </c>
      <c r="D33" s="195">
        <f>D198</f>
        <v>187.46199999999999</v>
      </c>
      <c r="E33" s="195">
        <f>E198</f>
        <v>239.51</v>
      </c>
      <c r="F33" s="195">
        <f>F198</f>
        <v>239.51</v>
      </c>
      <c r="H33" s="195">
        <f>H198</f>
        <v>193.67500000000001</v>
      </c>
      <c r="I33" s="195">
        <f>I198</f>
        <v>253.41200000000001</v>
      </c>
      <c r="J33" s="195">
        <f>J198</f>
        <v>253.41200000000001</v>
      </c>
      <c r="L33" s="195">
        <f>L198</f>
        <v>195.709</v>
      </c>
      <c r="M33" s="195">
        <f>M198</f>
        <v>244.637</v>
      </c>
      <c r="N33" s="195">
        <f>N198</f>
        <v>244.637</v>
      </c>
      <c r="P33" s="195">
        <f>P198</f>
        <v>220.738</v>
      </c>
      <c r="Q33" s="195">
        <f>Q198</f>
        <v>216.52799999999999</v>
      </c>
      <c r="R33" s="195">
        <f>R198</f>
        <v>216.52799999999999</v>
      </c>
      <c r="T33" s="195">
        <f>T198</f>
        <v>196.16200000000001</v>
      </c>
      <c r="U33" s="195">
        <f>U198</f>
        <v>215.18600000000001</v>
      </c>
      <c r="V33" s="195">
        <f>V198</f>
        <v>215.18600000000001</v>
      </c>
      <c r="X33" s="195">
        <f>X198</f>
        <v>195.78200000000001</v>
      </c>
      <c r="Y33" s="195">
        <f>Y198</f>
        <v>242.904</v>
      </c>
      <c r="Z33" s="195">
        <f>Z198</f>
        <v>242.904</v>
      </c>
      <c r="AB33" s="195">
        <f>AB198</f>
        <v>238.70400000000001</v>
      </c>
      <c r="AC33" s="195">
        <f>AC198</f>
        <v>425.625</v>
      </c>
      <c r="AD33" s="195">
        <f>AD198</f>
        <v>425.625</v>
      </c>
      <c r="AE33" s="455"/>
      <c r="AF33" s="195">
        <f>AF198</f>
        <v>958.52099999999996</v>
      </c>
      <c r="AG33" s="195">
        <f>AG198</f>
        <v>1086.2549999999999</v>
      </c>
      <c r="AH33" s="195">
        <f>AH198</f>
        <v>1086.2549999999999</v>
      </c>
      <c r="AI33" s="195"/>
      <c r="AJ33" s="195">
        <f>AJ198</f>
        <v>987.20799999999997</v>
      </c>
      <c r="AK33" s="195">
        <f>AK198</f>
        <v>1206.1610000000001</v>
      </c>
      <c r="AL33" s="195">
        <f>AL198</f>
        <v>1206.1610000000001</v>
      </c>
      <c r="AN33" s="195">
        <f>AN198</f>
        <v>1339.6279999999999</v>
      </c>
      <c r="AO33" s="195">
        <f>AO198</f>
        <v>1295.855</v>
      </c>
      <c r="AP33" s="195">
        <f>AP198</f>
        <v>1295.855</v>
      </c>
      <c r="AR33" s="195">
        <f>AR198</f>
        <v>1249.3321535928551</v>
      </c>
      <c r="AS33" s="195">
        <f>AS198</f>
        <v>1348.7409094924326</v>
      </c>
      <c r="AT33" s="195">
        <f>AT198</f>
        <v>1348.7409094924326</v>
      </c>
      <c r="AV33" s="195">
        <f>AV198</f>
        <v>1301.4300938594911</v>
      </c>
      <c r="AW33" s="195">
        <f>AW198</f>
        <v>1408.0514624734817</v>
      </c>
      <c r="AX33" s="195">
        <f>AX198</f>
        <v>1408.0514624734817</v>
      </c>
      <c r="AZ33" s="195">
        <f>AZ198</f>
        <v>1340.402413857302</v>
      </c>
      <c r="BA33" s="195">
        <f>BA198</f>
        <v>1444.9211554223541</v>
      </c>
      <c r="BB33" s="195">
        <f>BB198</f>
        <v>1444.9211554223541</v>
      </c>
      <c r="BD33" s="195">
        <f>BD198</f>
        <v>1365.7353569213008</v>
      </c>
      <c r="BE33" s="195">
        <f>BE198</f>
        <v>1482.805176666152</v>
      </c>
      <c r="BF33" s="195">
        <f>BF198</f>
        <v>1482.805176666152</v>
      </c>
      <c r="BH33" s="195">
        <f>BH198</f>
        <v>1395.4613233220989</v>
      </c>
      <c r="BI33" s="195">
        <f>BI198</f>
        <v>1517.5073531949661</v>
      </c>
      <c r="BJ33" s="195">
        <f>BJ198</f>
        <v>1517.5073531949661</v>
      </c>
      <c r="BL33" s="195">
        <f>BL198</f>
        <v>1425.9202611401397</v>
      </c>
      <c r="BM33" s="195">
        <f>BM198</f>
        <v>1553.041751313677</v>
      </c>
      <c r="BN33" s="195">
        <f>BN198</f>
        <v>1553.041751313677</v>
      </c>
      <c r="BP33" s="195">
        <f>BP198</f>
        <v>1461.1048853385655</v>
      </c>
      <c r="BQ33" s="195">
        <f>BQ198</f>
        <v>1585.0047150593844</v>
      </c>
      <c r="BR33" s="195">
        <f>BR198</f>
        <v>1585.0047150593844</v>
      </c>
      <c r="BT33" s="195">
        <f>BT198</f>
        <v>1489.0377517908726</v>
      </c>
      <c r="BU33" s="195">
        <f>BU198</f>
        <v>1626.5999216531072</v>
      </c>
      <c r="BV33" s="195">
        <f>BV198</f>
        <v>1626.5999216531072</v>
      </c>
      <c r="BX33" s="195">
        <f>BX198</f>
        <v>1521.6919668150626</v>
      </c>
      <c r="BY33" s="195">
        <f>BY198</f>
        <v>1664.6142323767635</v>
      </c>
      <c r="BZ33" s="195">
        <f>BZ198</f>
        <v>1664.6142323767635</v>
      </c>
    </row>
    <row r="34" spans="1:78">
      <c r="A34" s="823" cm="1">
        <f t="array" ref="A34">COUNT(IF(K34:DT34&lt;0,1,""))</f>
        <v>0</v>
      </c>
      <c r="B34" s="160" t="s">
        <v>231</v>
      </c>
      <c r="C34" s="155" t="s">
        <v>406</v>
      </c>
      <c r="D34" s="195">
        <f>D201</f>
        <v>0</v>
      </c>
      <c r="E34" s="195">
        <f>E201</f>
        <v>0</v>
      </c>
      <c r="F34" s="195">
        <f>F201</f>
        <v>0</v>
      </c>
      <c r="H34" s="195">
        <f>H201</f>
        <v>0</v>
      </c>
      <c r="I34" s="195">
        <f>I201</f>
        <v>0</v>
      </c>
      <c r="J34" s="195">
        <f>J201</f>
        <v>0</v>
      </c>
      <c r="L34" s="195">
        <f>L201</f>
        <v>0</v>
      </c>
      <c r="M34" s="195">
        <f>M201</f>
        <v>0</v>
      </c>
      <c r="N34" s="195">
        <f>N201</f>
        <v>0</v>
      </c>
      <c r="P34" s="195">
        <f>P201</f>
        <v>0</v>
      </c>
      <c r="Q34" s="195">
        <f>Q201</f>
        <v>5.59</v>
      </c>
      <c r="R34" s="195">
        <f>R201</f>
        <v>5.59</v>
      </c>
      <c r="T34" s="195">
        <f>T201</f>
        <v>0</v>
      </c>
      <c r="U34" s="195">
        <f>U201</f>
        <v>6.2430000000000003</v>
      </c>
      <c r="V34" s="195">
        <f>V201</f>
        <v>6.2430000000000003</v>
      </c>
      <c r="X34" s="195">
        <f>X201</f>
        <v>6.44</v>
      </c>
      <c r="Y34" s="195">
        <f>Y201</f>
        <v>7.1660000000000004</v>
      </c>
      <c r="Z34" s="195">
        <f>Z201</f>
        <v>7.1660000000000004</v>
      </c>
      <c r="AB34" s="195">
        <f>AB201</f>
        <v>7.2679999999999998</v>
      </c>
      <c r="AC34" s="195">
        <f>AC201</f>
        <v>10.384</v>
      </c>
      <c r="AD34" s="195">
        <f>AD201</f>
        <v>10.384</v>
      </c>
      <c r="AE34" s="455"/>
      <c r="AF34" s="195">
        <f>AF201</f>
        <v>23.151</v>
      </c>
      <c r="AG34" s="195">
        <f>AG201</f>
        <v>30.827000000000002</v>
      </c>
      <c r="AH34" s="195">
        <f>AH201</f>
        <v>30.827000000000002</v>
      </c>
      <c r="AI34" s="455"/>
      <c r="AJ34" s="195">
        <f>AJ201</f>
        <v>30.417999999999999</v>
      </c>
      <c r="AK34" s="195">
        <f>AK201</f>
        <v>31.016999999999999</v>
      </c>
      <c r="AL34" s="195">
        <f>AL201</f>
        <v>31.016999999999999</v>
      </c>
      <c r="AN34" s="195">
        <f>AN201</f>
        <v>32.015000000000001</v>
      </c>
      <c r="AO34" s="195">
        <f>AO201</f>
        <v>32.465000000000003</v>
      </c>
      <c r="AP34" s="195">
        <f>AP201</f>
        <v>32.465000000000003</v>
      </c>
      <c r="AR34" s="195">
        <f>AR201</f>
        <v>30.919967759208699</v>
      </c>
      <c r="AS34" s="195">
        <f>AS201</f>
        <v>33.893948086017794</v>
      </c>
      <c r="AT34" s="195">
        <f>AT201</f>
        <v>33.893948086017794</v>
      </c>
      <c r="AV34" s="195">
        <f>AV201</f>
        <v>32.307279158840629</v>
      </c>
      <c r="AW34" s="195">
        <f>AW201</f>
        <v>35.493669611450429</v>
      </c>
      <c r="AX34" s="195">
        <f>AX201</f>
        <v>35.493669611450429</v>
      </c>
      <c r="AZ34" s="195">
        <f>AZ201</f>
        <v>33.788396015204398</v>
      </c>
      <c r="BA34" s="195">
        <f>BA201</f>
        <v>36.994133518568717</v>
      </c>
      <c r="BB34" s="195">
        <f>BB201</f>
        <v>36.994133518568717</v>
      </c>
      <c r="BD34" s="195">
        <f>BD201</f>
        <v>34.966749538806738</v>
      </c>
      <c r="BE34" s="195">
        <f>BE201</f>
        <v>38.568780823776649</v>
      </c>
      <c r="BF34" s="195">
        <f>BF201</f>
        <v>38.568780823776649</v>
      </c>
      <c r="BH34" s="195">
        <f>BH201</f>
        <v>36.296907223021527</v>
      </c>
      <c r="BI34" s="195">
        <f>BI201</f>
        <v>40.110301783439887</v>
      </c>
      <c r="BJ34" s="195">
        <f>BJ201</f>
        <v>40.110301783439887</v>
      </c>
      <c r="BL34" s="195">
        <f>BL201</f>
        <v>37.689499080868202</v>
      </c>
      <c r="BM34" s="195">
        <f>BM201</f>
        <v>41.724905554932121</v>
      </c>
      <c r="BN34" s="195">
        <f>BN201</f>
        <v>41.724905554932121</v>
      </c>
      <c r="BP34" s="195">
        <f>BP201</f>
        <v>39.254877272316307</v>
      </c>
      <c r="BQ34" s="195">
        <f>BQ201</f>
        <v>43.295969459700139</v>
      </c>
      <c r="BR34" s="195">
        <f>BR201</f>
        <v>43.295969459700139</v>
      </c>
      <c r="BT34" s="195">
        <f>BT201</f>
        <v>40.674537061842578</v>
      </c>
      <c r="BU34" s="195">
        <f>BU201</f>
        <v>45.188078702832634</v>
      </c>
      <c r="BV34" s="195">
        <f>BV201</f>
        <v>45.188078702832634</v>
      </c>
      <c r="BX34" s="195">
        <f>BX201</f>
        <v>42.273662652107063</v>
      </c>
      <c r="BY34" s="195">
        <f>BY201</f>
        <v>47.044479056849745</v>
      </c>
      <c r="BZ34" s="195">
        <f>BZ201</f>
        <v>47.044479056849745</v>
      </c>
    </row>
    <row r="35" spans="1:78">
      <c r="A35" s="823" cm="1">
        <f t="array" ref="A35">COUNT(IF(K35:DT35&lt;0,1,""))</f>
        <v>0</v>
      </c>
      <c r="B35" s="160" t="s">
        <v>232</v>
      </c>
      <c r="C35" s="155" t="s">
        <v>406</v>
      </c>
      <c r="D35" s="195">
        <f>D204</f>
        <v>3.25</v>
      </c>
      <c r="E35" s="195">
        <f>E204</f>
        <v>5.593</v>
      </c>
      <c r="F35" s="195">
        <f>F204</f>
        <v>5.593</v>
      </c>
      <c r="H35" s="195">
        <f>H204</f>
        <v>2.6659999999999999</v>
      </c>
      <c r="I35" s="195">
        <f>I204</f>
        <v>4.7060000000000004</v>
      </c>
      <c r="J35" s="195">
        <f>J204</f>
        <v>4.7060000000000004</v>
      </c>
      <c r="L35" s="195">
        <f>L204</f>
        <v>4.6589999999999998</v>
      </c>
      <c r="M35" s="195">
        <f>M204</f>
        <v>5.14</v>
      </c>
      <c r="N35" s="195">
        <f>N204</f>
        <v>5.14</v>
      </c>
      <c r="P35" s="195">
        <f>P204</f>
        <v>3.8039999999999998</v>
      </c>
      <c r="Q35" s="195">
        <f>Q204</f>
        <v>6.5330000000000004</v>
      </c>
      <c r="R35" s="195">
        <f>R204</f>
        <v>6.5330000000000004</v>
      </c>
      <c r="T35" s="195">
        <f>T204</f>
        <v>5.4610000000000003</v>
      </c>
      <c r="U35" s="195">
        <f>U204</f>
        <v>9.3659999999999997</v>
      </c>
      <c r="V35" s="195">
        <f>V204</f>
        <v>9.3659999999999997</v>
      </c>
      <c r="X35" s="195">
        <f>X204</f>
        <v>5.9790000000000001</v>
      </c>
      <c r="Y35" s="195">
        <f>Y204</f>
        <v>9.7059999999999995</v>
      </c>
      <c r="Z35" s="195">
        <f>Z204</f>
        <v>9.7059999999999995</v>
      </c>
      <c r="AB35" s="195">
        <f>AB204</f>
        <v>6.3559999999999999</v>
      </c>
      <c r="AC35" s="195">
        <f>AC204</f>
        <v>7.9669999999999996</v>
      </c>
      <c r="AD35" s="195">
        <f>AD204</f>
        <v>7.9669999999999996</v>
      </c>
      <c r="AE35" s="455"/>
      <c r="AF35" s="195">
        <f>AF204</f>
        <v>17.219000000000001</v>
      </c>
      <c r="AG35" s="195">
        <f>AG204</f>
        <v>26.481999999999999</v>
      </c>
      <c r="AH35" s="195">
        <f>AH204</f>
        <v>26.481999999999999</v>
      </c>
      <c r="AI35" s="455"/>
      <c r="AJ35" s="195">
        <f>AJ204</f>
        <v>17.707999999999998</v>
      </c>
      <c r="AK35" s="195">
        <f>AK204</f>
        <v>25.378</v>
      </c>
      <c r="AL35" s="195">
        <f>AL204</f>
        <v>25.378</v>
      </c>
      <c r="AN35" s="195">
        <f>AN204</f>
        <v>18.004999999999999</v>
      </c>
      <c r="AO35" s="195">
        <f>AO204</f>
        <v>30.006</v>
      </c>
      <c r="AP35" s="195">
        <f>AP204</f>
        <v>30.006</v>
      </c>
      <c r="AR35" s="195">
        <f>AR204</f>
        <v>28.577993303028375</v>
      </c>
      <c r="AS35" s="195">
        <f>AS204</f>
        <v>31.326715116865849</v>
      </c>
      <c r="AT35" s="195">
        <f>AT204</f>
        <v>31.326715116865849</v>
      </c>
      <c r="AV35" s="195">
        <f>AV204</f>
        <v>29.860225425540484</v>
      </c>
      <c r="AW35" s="195">
        <f>AW204</f>
        <v>32.805268762087834</v>
      </c>
      <c r="AX35" s="195">
        <f>AX204</f>
        <v>32.805268762087834</v>
      </c>
      <c r="AZ35" s="195">
        <f>AZ204</f>
        <v>31.229157887947732</v>
      </c>
      <c r="BA35" s="195">
        <f>BA204</f>
        <v>34.192082869495543</v>
      </c>
      <c r="BB35" s="195">
        <f>BB204</f>
        <v>34.192082869495543</v>
      </c>
      <c r="BD35" s="195">
        <f>BD204</f>
        <v>32.318259253393961</v>
      </c>
      <c r="BE35" s="195">
        <f>BE204</f>
        <v>35.647461493862373</v>
      </c>
      <c r="BF35" s="195">
        <f>BF204</f>
        <v>35.647461493862373</v>
      </c>
      <c r="BH35" s="195">
        <f>BH204</f>
        <v>33.547666660526225</v>
      </c>
      <c r="BI35" s="195">
        <f>BI204</f>
        <v>37.072222865051508</v>
      </c>
      <c r="BJ35" s="195">
        <f>BJ204</f>
        <v>37.072222865051508</v>
      </c>
      <c r="BL35" s="195">
        <f>BL204</f>
        <v>34.834779282936438</v>
      </c>
      <c r="BM35" s="195">
        <f>BM204</f>
        <v>38.564531528763069</v>
      </c>
      <c r="BN35" s="195">
        <f>BN204</f>
        <v>38.564531528763069</v>
      </c>
      <c r="BP35" s="195">
        <f>BP204</f>
        <v>36.281590865027667</v>
      </c>
      <c r="BQ35" s="195">
        <f>BQ204</f>
        <v>40.01659817057638</v>
      </c>
      <c r="BR35" s="195">
        <f>BR204</f>
        <v>40.01659817057638</v>
      </c>
      <c r="BT35" s="195">
        <f>BT204</f>
        <v>37.593721209845938</v>
      </c>
      <c r="BU35" s="195">
        <f>BU204</f>
        <v>41.765393179029594</v>
      </c>
      <c r="BV35" s="195">
        <f>BV204</f>
        <v>41.765393179029594</v>
      </c>
      <c r="BX35" s="195">
        <f>BX204</f>
        <v>39.071724057881553</v>
      </c>
      <c r="BY35" s="195">
        <f>BY204</f>
        <v>43.481184000610924</v>
      </c>
      <c r="BZ35" s="195">
        <f>BZ204</f>
        <v>43.481184000610924</v>
      </c>
    </row>
    <row r="36" spans="1:78">
      <c r="A36" s="823" cm="1">
        <f t="array" ref="A36">COUNT(IF(K36:DT36&lt;0,1,""))</f>
        <v>0</v>
      </c>
      <c r="B36" s="160" t="s">
        <v>233</v>
      </c>
      <c r="C36" s="155" t="s">
        <v>406</v>
      </c>
      <c r="D36" s="195">
        <f>D207</f>
        <v>10.951000000000001</v>
      </c>
      <c r="E36" s="195">
        <f>E207</f>
        <v>12.414999999999999</v>
      </c>
      <c r="F36" s="195">
        <f>F207</f>
        <v>12.414999999999999</v>
      </c>
      <c r="H36" s="195">
        <f>H207</f>
        <v>11.699</v>
      </c>
      <c r="I36" s="195">
        <f>I207</f>
        <v>15.244</v>
      </c>
      <c r="J36" s="195">
        <f>J207</f>
        <v>15.244</v>
      </c>
      <c r="L36" s="195">
        <f>L207</f>
        <v>12.558999999999999</v>
      </c>
      <c r="M36" s="195">
        <f>M207</f>
        <v>14.568</v>
      </c>
      <c r="N36" s="195">
        <f>N207</f>
        <v>14.568</v>
      </c>
      <c r="P36" s="195">
        <f>P207</f>
        <v>12.851000000000001</v>
      </c>
      <c r="Q36" s="195">
        <f>Q207</f>
        <v>15.432</v>
      </c>
      <c r="R36" s="195">
        <f>R207</f>
        <v>15.432</v>
      </c>
      <c r="T36" s="195">
        <f>T207</f>
        <v>15.464</v>
      </c>
      <c r="U36" s="195">
        <f>U207</f>
        <v>17.494</v>
      </c>
      <c r="V36" s="195">
        <f>V207</f>
        <v>17.494</v>
      </c>
      <c r="X36" s="195">
        <f>X207</f>
        <v>18.309999999999999</v>
      </c>
      <c r="Y36" s="195">
        <f>Y207</f>
        <v>20.68</v>
      </c>
      <c r="Z36" s="195">
        <f>Z207</f>
        <v>20.68</v>
      </c>
      <c r="AB36" s="195">
        <f>AB207</f>
        <v>20.157</v>
      </c>
      <c r="AC36" s="195">
        <f>AC207</f>
        <v>29.103999999999999</v>
      </c>
      <c r="AD36" s="195">
        <f>AD207</f>
        <v>29.103999999999999</v>
      </c>
      <c r="AE36" s="455"/>
      <c r="AF36" s="195">
        <f>AF207</f>
        <v>158.852</v>
      </c>
      <c r="AG36" s="195">
        <f>AG207</f>
        <v>204.547</v>
      </c>
      <c r="AH36" s="195">
        <f>AH207</f>
        <v>204.547</v>
      </c>
      <c r="AI36" s="455"/>
      <c r="AJ36" s="195">
        <f>AJ207</f>
        <v>120.45099999999999</v>
      </c>
      <c r="AK36" s="195">
        <f>AK207</f>
        <v>86.085999999999999</v>
      </c>
      <c r="AL36" s="195">
        <f>AL207</f>
        <v>86.085999999999999</v>
      </c>
      <c r="AN36" s="195">
        <f>AN207</f>
        <v>85.177000000000007</v>
      </c>
      <c r="AO36" s="195">
        <f>AO207</f>
        <v>100.202</v>
      </c>
      <c r="AP36" s="195">
        <f>AP207</f>
        <v>100.202</v>
      </c>
      <c r="AR36" s="195">
        <f>AR207</f>
        <v>95.433316168434615</v>
      </c>
      <c r="AS36" s="195">
        <f>AS207</f>
        <v>104.61239445911457</v>
      </c>
      <c r="AT36" s="195">
        <f>AT207</f>
        <v>104.61239445911457</v>
      </c>
      <c r="AV36" s="195">
        <f>AV207</f>
        <v>99.715200562887659</v>
      </c>
      <c r="AW36" s="195">
        <f>AW207</f>
        <v>109.54987470834915</v>
      </c>
      <c r="AX36" s="195">
        <f>AX207</f>
        <v>109.54987470834915</v>
      </c>
      <c r="AZ36" s="195">
        <f>AZ207</f>
        <v>104.28661196721117</v>
      </c>
      <c r="BA36" s="195">
        <f>BA207</f>
        <v>114.18100005629515</v>
      </c>
      <c r="BB36" s="195">
        <f>BB207</f>
        <v>114.18100005629515</v>
      </c>
      <c r="BD36" s="195">
        <f>BD207</f>
        <v>107.92355574580354</v>
      </c>
      <c r="BE36" s="195">
        <f>BE207</f>
        <v>119.04108966899945</v>
      </c>
      <c r="BF36" s="195">
        <f>BF207</f>
        <v>119.04108966899945</v>
      </c>
      <c r="BH36" s="195">
        <f>BH207</f>
        <v>112.02903734979832</v>
      </c>
      <c r="BI36" s="195">
        <f>BI207</f>
        <v>123.79893606358365</v>
      </c>
      <c r="BJ36" s="195">
        <f>BJ207</f>
        <v>123.79893606358365</v>
      </c>
      <c r="BL36" s="195">
        <f>BL207</f>
        <v>116.32721967969061</v>
      </c>
      <c r="BM36" s="195">
        <f>BM207</f>
        <v>128.78234980487628</v>
      </c>
      <c r="BN36" s="195">
        <f>BN207</f>
        <v>128.78234980487628</v>
      </c>
      <c r="BP36" s="195">
        <f>BP207</f>
        <v>121.15870052181235</v>
      </c>
      <c r="BQ36" s="195">
        <f>BQ207</f>
        <v>133.63137938705907</v>
      </c>
      <c r="BR36" s="195">
        <f>BR207</f>
        <v>133.63137938705907</v>
      </c>
      <c r="BT36" s="195">
        <f>BT207</f>
        <v>125.54042700356536</v>
      </c>
      <c r="BU36" s="195">
        <f>BU207</f>
        <v>139.47130331684073</v>
      </c>
      <c r="BV36" s="195">
        <f>BV207</f>
        <v>139.47130331684073</v>
      </c>
      <c r="BX36" s="195">
        <f>BX207</f>
        <v>130.47606792134394</v>
      </c>
      <c r="BY36" s="195">
        <f>BY207</f>
        <v>145.20101310501951</v>
      </c>
      <c r="BZ36" s="195">
        <f>BZ207</f>
        <v>145.20101310501951</v>
      </c>
    </row>
    <row r="37" spans="1:78">
      <c r="A37" s="823" cm="1">
        <f t="array" ref="A37">COUNT(IF(K37:DT37&lt;0,1,""))</f>
        <v>0</v>
      </c>
      <c r="B37" s="160" t="s">
        <v>234</v>
      </c>
      <c r="C37" s="155" t="s">
        <v>406</v>
      </c>
      <c r="D37" s="195">
        <f>D210</f>
        <v>0</v>
      </c>
      <c r="E37" s="195">
        <f>E210</f>
        <v>0</v>
      </c>
      <c r="F37" s="195">
        <f>F210</f>
        <v>0</v>
      </c>
      <c r="H37" s="195">
        <f>H210</f>
        <v>0</v>
      </c>
      <c r="I37" s="195">
        <f>I210</f>
        <v>0</v>
      </c>
      <c r="J37" s="195">
        <f>J210</f>
        <v>0</v>
      </c>
      <c r="L37" s="195">
        <f>L210</f>
        <v>0</v>
      </c>
      <c r="M37" s="195">
        <f>M210</f>
        <v>0</v>
      </c>
      <c r="N37" s="195">
        <f>N210</f>
        <v>0</v>
      </c>
      <c r="P37" s="195">
        <f>P210</f>
        <v>0</v>
      </c>
      <c r="Q37" s="195">
        <f>Q210</f>
        <v>0</v>
      </c>
      <c r="R37" s="195">
        <f>R210</f>
        <v>0</v>
      </c>
      <c r="T37" s="195">
        <f>T210</f>
        <v>8.92</v>
      </c>
      <c r="U37" s="195">
        <f>U210</f>
        <v>8.2240000000000002</v>
      </c>
      <c r="V37" s="195">
        <f>V210</f>
        <v>8.2240000000000002</v>
      </c>
      <c r="X37" s="195">
        <f>X210</f>
        <v>8.8420000000000005</v>
      </c>
      <c r="Y37" s="195">
        <f>Y210</f>
        <v>7.7859999999999996</v>
      </c>
      <c r="Z37" s="195">
        <f>Z210</f>
        <v>7.7859999999999996</v>
      </c>
      <c r="AB37" s="195">
        <f>AB210</f>
        <v>7.73</v>
      </c>
      <c r="AC37" s="195">
        <f>AC210</f>
        <v>8.1869999999999994</v>
      </c>
      <c r="AD37" s="195">
        <f>AD210</f>
        <v>8.1869999999999994</v>
      </c>
      <c r="AE37" s="455"/>
      <c r="AF37" s="195">
        <f>AF210</f>
        <v>12.276999999999999</v>
      </c>
      <c r="AG37" s="195">
        <f>AG210</f>
        <v>14.743</v>
      </c>
      <c r="AH37" s="195">
        <f>AH210</f>
        <v>14.743</v>
      </c>
      <c r="AI37" s="455"/>
      <c r="AJ37" s="195">
        <f>AJ210</f>
        <v>14.532</v>
      </c>
      <c r="AK37" s="195">
        <f>AK210</f>
        <v>14.154999999999999</v>
      </c>
      <c r="AL37" s="195">
        <f>AL210</f>
        <v>14.154999999999999</v>
      </c>
      <c r="AN37" s="195">
        <f>AN210</f>
        <v>17.818000000000001</v>
      </c>
      <c r="AO37" s="195">
        <f>AO210</f>
        <v>18.867999999999999</v>
      </c>
      <c r="AP37" s="195">
        <f>AP210</f>
        <v>18.867999999999999</v>
      </c>
      <c r="AR37" s="195">
        <f>AR210</f>
        <v>17.970058576336044</v>
      </c>
      <c r="AS37" s="195">
        <f>AS210</f>
        <v>19.698475665701018</v>
      </c>
      <c r="AT37" s="195">
        <f>AT210</f>
        <v>19.698475665701018</v>
      </c>
      <c r="AV37" s="195">
        <f>AV210</f>
        <v>18.776335843801164</v>
      </c>
      <c r="AW37" s="195">
        <f>AW210</f>
        <v>20.628201393157138</v>
      </c>
      <c r="AX37" s="195">
        <f>AX210</f>
        <v>20.628201393157138</v>
      </c>
      <c r="AZ37" s="195">
        <f>AZ210</f>
        <v>19.637130941471629</v>
      </c>
      <c r="BA37" s="195">
        <f>BA210</f>
        <v>21.500240604600471</v>
      </c>
      <c r="BB37" s="195">
        <f>BB210</f>
        <v>21.500240604600471</v>
      </c>
      <c r="BD37" s="195">
        <f>BD210</f>
        <v>20.321966126542595</v>
      </c>
      <c r="BE37" s="195">
        <f>BE210</f>
        <v>22.415393703465814</v>
      </c>
      <c r="BF37" s="195">
        <f>BF210</f>
        <v>22.415393703465814</v>
      </c>
      <c r="BH37" s="195">
        <f>BH210</f>
        <v>21.095026812997688</v>
      </c>
      <c r="BI37" s="195">
        <f>BI210</f>
        <v>23.311294441704717</v>
      </c>
      <c r="BJ37" s="195">
        <f>BJ210</f>
        <v>23.311294441704717</v>
      </c>
      <c r="BL37" s="195">
        <f>BL210</f>
        <v>21.904372975753002</v>
      </c>
      <c r="BM37" s="195">
        <f>BM210</f>
        <v>24.249669428937597</v>
      </c>
      <c r="BN37" s="195">
        <f>BN210</f>
        <v>24.249669428937597</v>
      </c>
      <c r="BP37" s="195">
        <f>BP210</f>
        <v>22.814139053567349</v>
      </c>
      <c r="BQ37" s="195">
        <f>BQ210</f>
        <v>25.162739928095547</v>
      </c>
      <c r="BR37" s="195">
        <f>BR210</f>
        <v>25.162739928095547</v>
      </c>
      <c r="BT37" s="195">
        <f>BT210</f>
        <v>23.639216549602512</v>
      </c>
      <c r="BU37" s="195">
        <f>BU210</f>
        <v>26.262395470970151</v>
      </c>
      <c r="BV37" s="195">
        <f>BV210</f>
        <v>26.262395470970151</v>
      </c>
      <c r="BX37" s="195">
        <f>BX210</f>
        <v>24.568595931617306</v>
      </c>
      <c r="BY37" s="195">
        <f>BY210</f>
        <v>27.341297731237976</v>
      </c>
      <c r="BZ37" s="195">
        <f>BZ210</f>
        <v>27.341297731237976</v>
      </c>
    </row>
    <row r="38" spans="1:78">
      <c r="A38" s="823" cm="1">
        <f t="array" ref="A38">COUNT(IF(K38:DT38&lt;0,1,""))</f>
        <v>0</v>
      </c>
      <c r="B38" s="160" t="s">
        <v>235</v>
      </c>
      <c r="C38" s="155" t="s">
        <v>406</v>
      </c>
      <c r="D38" s="195">
        <f>D213</f>
        <v>5.8920000000000003</v>
      </c>
      <c r="E38" s="195">
        <f>E213</f>
        <v>4.4610000000000003</v>
      </c>
      <c r="F38" s="195">
        <f>F213</f>
        <v>4.4610000000000003</v>
      </c>
      <c r="H38" s="195">
        <f>H213</f>
        <v>4.6020000000000003</v>
      </c>
      <c r="I38" s="195">
        <f>I213</f>
        <v>6.1689999999999996</v>
      </c>
      <c r="J38" s="195">
        <f>J213</f>
        <v>6.1689999999999996</v>
      </c>
      <c r="L38" s="195">
        <f>L213</f>
        <v>7.0990000000000002</v>
      </c>
      <c r="M38" s="195">
        <f>M213</f>
        <v>8.9169999999999998</v>
      </c>
      <c r="N38" s="195">
        <f>N213</f>
        <v>8.9169999999999998</v>
      </c>
      <c r="P38" s="195">
        <f>P213</f>
        <v>17.111999999999998</v>
      </c>
      <c r="Q38" s="195">
        <f>Q213</f>
        <v>18.945</v>
      </c>
      <c r="R38" s="195">
        <f>R213</f>
        <v>18.945</v>
      </c>
      <c r="T38" s="195">
        <f>T213</f>
        <v>13.29</v>
      </c>
      <c r="U38" s="195">
        <f>U213</f>
        <v>11.103999999999999</v>
      </c>
      <c r="V38" s="195">
        <f>V213</f>
        <v>11.103999999999999</v>
      </c>
      <c r="X38" s="195">
        <f>X213</f>
        <v>4.0039999999999996</v>
      </c>
      <c r="Y38" s="195">
        <f>Y213</f>
        <v>11.474</v>
      </c>
      <c r="Z38" s="195">
        <f>Z213</f>
        <v>11.474</v>
      </c>
      <c r="AB38" s="195">
        <f>AB213</f>
        <v>5.2619999999999996</v>
      </c>
      <c r="AC38" s="195">
        <f>AC213</f>
        <v>8.9410000000000007</v>
      </c>
      <c r="AD38" s="195">
        <f>AD213</f>
        <v>8.9410000000000007</v>
      </c>
      <c r="AE38" s="455"/>
      <c r="AF38" s="195">
        <f>AF213</f>
        <v>16.72</v>
      </c>
      <c r="AG38" s="195">
        <f>AG213</f>
        <v>19.768999999999998</v>
      </c>
      <c r="AH38" s="195">
        <f>AH213</f>
        <v>19.768999999999998</v>
      </c>
      <c r="AI38" s="455"/>
      <c r="AJ38" s="195">
        <f>AJ213</f>
        <v>16.940000000000001</v>
      </c>
      <c r="AK38" s="195">
        <f>AK213</f>
        <v>6.1189999999999998</v>
      </c>
      <c r="AL38" s="195">
        <f>AL213</f>
        <v>6.1189999999999998</v>
      </c>
      <c r="AN38" s="195">
        <f>AN213</f>
        <v>7.93</v>
      </c>
      <c r="AO38" s="195">
        <f>AO213</f>
        <v>7.242</v>
      </c>
      <c r="AP38" s="195">
        <f>AP213</f>
        <v>7.242</v>
      </c>
      <c r="AR38" s="195">
        <f>AR213</f>
        <v>7.242</v>
      </c>
      <c r="AS38" s="195">
        <f>AS213</f>
        <v>7.242</v>
      </c>
      <c r="AT38" s="195">
        <f>AT213</f>
        <v>7.242</v>
      </c>
      <c r="AV38" s="195">
        <f>AV213</f>
        <v>7.242</v>
      </c>
      <c r="AW38" s="195">
        <f>AW213</f>
        <v>7.242</v>
      </c>
      <c r="AX38" s="195">
        <f>AX213</f>
        <v>7.242</v>
      </c>
      <c r="AZ38" s="195">
        <f>AZ213</f>
        <v>7.242</v>
      </c>
      <c r="BA38" s="195">
        <f>BA213</f>
        <v>7.242</v>
      </c>
      <c r="BB38" s="195">
        <f>BB213</f>
        <v>7.242</v>
      </c>
      <c r="BD38" s="195">
        <f>BD213</f>
        <v>7.242</v>
      </c>
      <c r="BE38" s="195">
        <f>BE213</f>
        <v>7.242</v>
      </c>
      <c r="BF38" s="195">
        <f>BF213</f>
        <v>7.242</v>
      </c>
      <c r="BH38" s="195">
        <f>BH213</f>
        <v>7.242</v>
      </c>
      <c r="BI38" s="195">
        <f>BI213</f>
        <v>7.242</v>
      </c>
      <c r="BJ38" s="195">
        <f>BJ213</f>
        <v>7.242</v>
      </c>
      <c r="BL38" s="195">
        <f>BL213</f>
        <v>7.242</v>
      </c>
      <c r="BM38" s="195">
        <f>BM213</f>
        <v>7.242</v>
      </c>
      <c r="BN38" s="195">
        <f>BN213</f>
        <v>7.242</v>
      </c>
      <c r="BP38" s="195">
        <f>BP213</f>
        <v>7.242</v>
      </c>
      <c r="BQ38" s="195">
        <f>BQ213</f>
        <v>7.242</v>
      </c>
      <c r="BR38" s="195">
        <f>BR213</f>
        <v>7.242</v>
      </c>
      <c r="BT38" s="195">
        <f>BT213</f>
        <v>7.242</v>
      </c>
      <c r="BU38" s="195">
        <f>BU213</f>
        <v>7.242</v>
      </c>
      <c r="BV38" s="195">
        <f>BV213</f>
        <v>7.242</v>
      </c>
      <c r="BX38" s="195">
        <f>BX213</f>
        <v>7.242</v>
      </c>
      <c r="BY38" s="195">
        <f>BY213</f>
        <v>7.242</v>
      </c>
      <c r="BZ38" s="195">
        <f>BZ213</f>
        <v>7.242</v>
      </c>
    </row>
    <row r="39" spans="1:78" s="140" customFormat="1">
      <c r="A39" s="132"/>
      <c r="B39" s="159" t="s">
        <v>10</v>
      </c>
      <c r="C39" s="155" t="s">
        <v>406</v>
      </c>
      <c r="D39" s="140">
        <f>SUM(D33:D38)</f>
        <v>207.55499999999998</v>
      </c>
      <c r="E39" s="140">
        <f>SUM(E33:E38)</f>
        <v>261.97899999999998</v>
      </c>
      <c r="F39" s="140">
        <f>SUM(F33:F38)</f>
        <v>261.97899999999998</v>
      </c>
      <c r="H39" s="140">
        <f>SUM(H33:H38)</f>
        <v>212.64200000000002</v>
      </c>
      <c r="I39" s="140">
        <f>SUM(I33:I38)</f>
        <v>279.53099999999995</v>
      </c>
      <c r="J39" s="140">
        <f>SUM(J33:J38)</f>
        <v>279.53099999999995</v>
      </c>
      <c r="L39" s="140">
        <f>SUM(L33:L38)</f>
        <v>220.02599999999998</v>
      </c>
      <c r="M39" s="140">
        <f>SUM(M33:M38)</f>
        <v>273.26199999999994</v>
      </c>
      <c r="N39" s="140">
        <f>SUM(N33:N38)</f>
        <v>273.26199999999994</v>
      </c>
      <c r="P39" s="140">
        <f>SUM(P33:P38)</f>
        <v>254.505</v>
      </c>
      <c r="Q39" s="140">
        <f>SUM(Q33:Q38)</f>
        <v>263.02799999999996</v>
      </c>
      <c r="R39" s="140">
        <f>SUM(R33:R38)</f>
        <v>263.02799999999996</v>
      </c>
      <c r="T39" s="140">
        <f>SUM(T33:T38)</f>
        <v>239.297</v>
      </c>
      <c r="U39" s="140">
        <f>SUM(U33:U38)</f>
        <v>267.61700000000002</v>
      </c>
      <c r="V39" s="140">
        <f>SUM(V33:V38)</f>
        <v>267.61700000000002</v>
      </c>
      <c r="X39" s="140">
        <f>SUM(X33:X38)</f>
        <v>239.35700000000003</v>
      </c>
      <c r="Y39" s="140">
        <f>SUM(Y33:Y38)</f>
        <v>299.71600000000001</v>
      </c>
      <c r="Z39" s="140">
        <f>SUM(Z33:Z38)</f>
        <v>299.71600000000001</v>
      </c>
      <c r="AB39" s="140">
        <f>SUM(AB33:AB38)</f>
        <v>285.47700000000003</v>
      </c>
      <c r="AC39" s="140">
        <f>SUM(AC33:AC38)</f>
        <v>490.20799999999997</v>
      </c>
      <c r="AD39" s="140">
        <f>SUM(AD33:AD38)</f>
        <v>490.20799999999997</v>
      </c>
      <c r="AE39" s="456"/>
      <c r="AF39" s="140">
        <f>SUM(AF33:AF38)</f>
        <v>1186.74</v>
      </c>
      <c r="AG39" s="140">
        <f>SUM(AG33:AG38)</f>
        <v>1382.6229999999998</v>
      </c>
      <c r="AH39" s="140">
        <f>SUM(AH33:AH38)</f>
        <v>1382.6229999999998</v>
      </c>
      <c r="AI39" s="456"/>
      <c r="AJ39" s="140">
        <f>SUM(AJ33:AJ38)</f>
        <v>1187.2570000000001</v>
      </c>
      <c r="AK39" s="140">
        <f>SUM(AK33:AK38)</f>
        <v>1368.9159999999999</v>
      </c>
      <c r="AL39" s="140">
        <f>SUM(AL33:AL38)</f>
        <v>1368.9159999999999</v>
      </c>
      <c r="AN39" s="140">
        <f>SUM(AN33:AN38)</f>
        <v>1500.5730000000001</v>
      </c>
      <c r="AO39" s="140">
        <f>SUM(AO33:AO38)</f>
        <v>1484.6379999999999</v>
      </c>
      <c r="AP39" s="140">
        <f>SUM(AP33:AP38)</f>
        <v>1484.6379999999999</v>
      </c>
      <c r="AR39" s="140">
        <f>SUM(AR33:AR38)</f>
        <v>1429.4754893998627</v>
      </c>
      <c r="AS39" s="140">
        <f>SUM(AS33:AS38)</f>
        <v>1545.5144428201318</v>
      </c>
      <c r="AT39" s="140">
        <f>SUM(AT33:AT38)</f>
        <v>1545.5144428201318</v>
      </c>
      <c r="AV39" s="140">
        <f>SUM(AV33:AV38)</f>
        <v>1489.3311348505611</v>
      </c>
      <c r="AW39" s="140">
        <f>SUM(AW33:AW38)</f>
        <v>1613.770476948526</v>
      </c>
      <c r="AX39" s="140">
        <f>SUM(AX33:AX38)</f>
        <v>1613.770476948526</v>
      </c>
      <c r="AZ39" s="140">
        <f>SUM(AZ33:AZ38)</f>
        <v>1536.5857106691369</v>
      </c>
      <c r="BA39" s="140">
        <f>SUM(BA33:BA38)</f>
        <v>1659.030612471314</v>
      </c>
      <c r="BB39" s="140">
        <f>SUM(BB33:BB38)</f>
        <v>1659.030612471314</v>
      </c>
      <c r="BD39" s="140">
        <f>SUM(BD33:BD38)</f>
        <v>1568.5078875858474</v>
      </c>
      <c r="BE39" s="140">
        <f>SUM(BE33:BE38)</f>
        <v>1705.7199023562562</v>
      </c>
      <c r="BF39" s="140">
        <f>SUM(BF33:BF38)</f>
        <v>1705.7199023562562</v>
      </c>
      <c r="BH39" s="140">
        <f>SUM(BH33:BH38)</f>
        <v>1605.6719613684425</v>
      </c>
      <c r="BI39" s="140">
        <f>SUM(BI33:BI38)</f>
        <v>1749.0421083487456</v>
      </c>
      <c r="BJ39" s="140">
        <f>SUM(BJ33:BJ38)</f>
        <v>1749.0421083487456</v>
      </c>
      <c r="BL39" s="140">
        <f>SUM(BL33:BL38)</f>
        <v>1643.9181321593878</v>
      </c>
      <c r="BM39" s="140">
        <f>SUM(BM33:BM38)</f>
        <v>1793.605207631186</v>
      </c>
      <c r="BN39" s="140">
        <f>SUM(BN33:BN38)</f>
        <v>1793.605207631186</v>
      </c>
      <c r="BP39" s="140">
        <f>SUM(BP33:BP38)</f>
        <v>1687.856193051289</v>
      </c>
      <c r="BQ39" s="140">
        <f>SUM(BQ33:BQ38)</f>
        <v>1834.3534020048155</v>
      </c>
      <c r="BR39" s="140">
        <f>SUM(BR33:BR38)</f>
        <v>1834.3534020048155</v>
      </c>
      <c r="BT39" s="140">
        <f>SUM(BT33:BT38)</f>
        <v>1723.7276536157287</v>
      </c>
      <c r="BU39" s="140">
        <f>SUM(BU33:BU38)</f>
        <v>1886.5290923227803</v>
      </c>
      <c r="BV39" s="140">
        <f>SUM(BV33:BV38)</f>
        <v>1886.5290923227803</v>
      </c>
      <c r="BX39" s="140">
        <f>SUM(BX33:BX38)</f>
        <v>1765.3240173780123</v>
      </c>
      <c r="BY39" s="140">
        <f>SUM(BY33:BY38)</f>
        <v>1934.9242062704816</v>
      </c>
      <c r="BZ39" s="140">
        <f>SUM(BZ33:BZ38)</f>
        <v>1934.9242062704816</v>
      </c>
    </row>
    <row r="40" spans="1:78">
      <c r="B40" s="160"/>
      <c r="C40" s="169"/>
      <c r="D40" s="132"/>
      <c r="E40" s="132"/>
      <c r="F40" s="132"/>
      <c r="H40" s="132"/>
      <c r="I40" s="132"/>
      <c r="J40" s="132"/>
      <c r="L40" s="132"/>
      <c r="M40" s="132"/>
      <c r="N40" s="132"/>
      <c r="P40" s="132"/>
      <c r="Q40" s="132"/>
      <c r="R40" s="132"/>
      <c r="T40" s="132"/>
      <c r="U40" s="132"/>
      <c r="V40" s="132"/>
      <c r="X40" s="132"/>
      <c r="Y40" s="132"/>
      <c r="Z40" s="132"/>
      <c r="AB40" s="132"/>
      <c r="AC40" s="132"/>
      <c r="AD40" s="132"/>
      <c r="AF40" s="132"/>
      <c r="AG40" s="132"/>
      <c r="AH40" s="132"/>
      <c r="AJ40" s="132"/>
      <c r="AK40" s="132"/>
      <c r="AL40" s="132"/>
      <c r="AN40" s="132"/>
      <c r="AO40" s="132"/>
      <c r="AP40" s="132"/>
      <c r="AR40" s="132"/>
      <c r="AS40" s="132"/>
      <c r="AT40" s="132"/>
      <c r="AV40" s="132"/>
      <c r="AW40" s="132"/>
      <c r="AX40" s="132"/>
      <c r="AZ40" s="132"/>
      <c r="BA40" s="132"/>
      <c r="BB40" s="132"/>
      <c r="BD40" s="132"/>
      <c r="BE40" s="132"/>
      <c r="BF40" s="132"/>
      <c r="BH40" s="132"/>
      <c r="BI40" s="132"/>
      <c r="BJ40" s="132"/>
      <c r="BL40" s="132"/>
      <c r="BM40" s="132"/>
      <c r="BN40" s="132"/>
      <c r="BP40" s="132"/>
      <c r="BQ40" s="132"/>
      <c r="BR40" s="132"/>
      <c r="BT40" s="132"/>
      <c r="BU40" s="132"/>
      <c r="BV40" s="132"/>
      <c r="BX40" s="132"/>
      <c r="BY40" s="132"/>
      <c r="BZ40" s="132"/>
    </row>
    <row r="41" spans="1:78">
      <c r="B41" s="162" t="s">
        <v>11</v>
      </c>
      <c r="C41" s="169"/>
      <c r="D41" s="132"/>
      <c r="E41" s="132"/>
      <c r="F41" s="132"/>
      <c r="H41" s="132"/>
      <c r="I41" s="132"/>
      <c r="J41" s="132"/>
      <c r="L41" s="132"/>
      <c r="M41" s="132"/>
      <c r="N41" s="132"/>
      <c r="P41" s="132"/>
      <c r="Q41" s="132"/>
      <c r="R41" s="132"/>
      <c r="T41" s="132"/>
      <c r="U41" s="132"/>
      <c r="V41" s="132"/>
      <c r="X41" s="132"/>
      <c r="Y41" s="132"/>
      <c r="Z41" s="132"/>
      <c r="AB41" s="132"/>
      <c r="AC41" s="132"/>
      <c r="AD41" s="132"/>
      <c r="AF41" s="132"/>
      <c r="AG41" s="132"/>
      <c r="AH41" s="132"/>
      <c r="AJ41" s="132"/>
      <c r="AK41" s="132"/>
      <c r="AL41" s="132"/>
      <c r="AN41" s="132"/>
      <c r="AO41" s="132"/>
      <c r="AP41" s="132"/>
      <c r="AR41" s="132"/>
      <c r="AS41" s="132"/>
      <c r="AT41" s="132"/>
      <c r="AV41" s="132"/>
      <c r="AW41" s="132"/>
      <c r="AX41" s="132"/>
      <c r="AZ41" s="132"/>
      <c r="BA41" s="132"/>
      <c r="BB41" s="132"/>
      <c r="BD41" s="132"/>
      <c r="BE41" s="132"/>
      <c r="BF41" s="132"/>
      <c r="BH41" s="132"/>
      <c r="BI41" s="132"/>
      <c r="BJ41" s="132"/>
      <c r="BL41" s="132"/>
      <c r="BM41" s="132"/>
      <c r="BN41" s="132"/>
      <c r="BP41" s="132"/>
      <c r="BQ41" s="132"/>
      <c r="BR41" s="132"/>
      <c r="BT41" s="132"/>
      <c r="BU41" s="132"/>
      <c r="BV41" s="132"/>
      <c r="BX41" s="132"/>
      <c r="BY41" s="132"/>
      <c r="BZ41" s="132"/>
    </row>
    <row r="42" spans="1:78">
      <c r="A42" s="823" cm="1">
        <f t="array" ref="A42">COUNT(IF(K42:DT42&lt;0,1,""))</f>
        <v>0</v>
      </c>
      <c r="B42" s="160" t="s">
        <v>230</v>
      </c>
      <c r="C42" s="155" t="s">
        <v>406</v>
      </c>
      <c r="D42" s="195">
        <f>D216</f>
        <v>15.721</v>
      </c>
      <c r="E42" s="195">
        <f>E216</f>
        <v>11.452</v>
      </c>
      <c r="F42" s="195">
        <f>F216</f>
        <v>11.452</v>
      </c>
      <c r="H42" s="195">
        <f>H216</f>
        <v>9.2710000000000008</v>
      </c>
      <c r="I42" s="195">
        <f>I216</f>
        <v>26.844999999999999</v>
      </c>
      <c r="J42" s="195">
        <f>J216</f>
        <v>26.844999999999999</v>
      </c>
      <c r="L42" s="195">
        <f>L216</f>
        <v>0.23</v>
      </c>
      <c r="M42" s="195">
        <f>M216</f>
        <v>26.402999999999999</v>
      </c>
      <c r="N42" s="195">
        <f>N216</f>
        <v>26.402999999999999</v>
      </c>
      <c r="P42" s="195">
        <f>P216</f>
        <v>26.783000000000001</v>
      </c>
      <c r="Q42" s="195">
        <f>Q216</f>
        <v>1.0209999999999999</v>
      </c>
      <c r="R42" s="195">
        <f>R216</f>
        <v>1.0209999999999999</v>
      </c>
      <c r="T42" s="195">
        <f>T216</f>
        <v>0.66</v>
      </c>
      <c r="U42" s="195">
        <f>U216</f>
        <v>0.54700000000000004</v>
      </c>
      <c r="V42" s="195">
        <f>V216</f>
        <v>0.54700000000000004</v>
      </c>
      <c r="X42" s="195">
        <f>X216</f>
        <v>19.718</v>
      </c>
      <c r="Y42" s="195">
        <f>Y216</f>
        <v>10.53</v>
      </c>
      <c r="Z42" s="195">
        <f>Z216</f>
        <v>10.53</v>
      </c>
      <c r="AB42" s="195">
        <f>AB216</f>
        <v>16.138000000000002</v>
      </c>
      <c r="AC42" s="195">
        <f>AC216</f>
        <v>67.626999999999995</v>
      </c>
      <c r="AD42" s="195">
        <f>AD216</f>
        <v>67.626999999999995</v>
      </c>
      <c r="AE42" s="455"/>
      <c r="AF42" s="195">
        <f>AF216</f>
        <v>220.98</v>
      </c>
      <c r="AG42" s="195">
        <f>AG216</f>
        <v>237.94</v>
      </c>
      <c r="AH42" s="195">
        <f>AH216</f>
        <v>237.94</v>
      </c>
      <c r="AI42" s="455"/>
      <c r="AJ42" s="195">
        <f>AJ216</f>
        <v>227.43100000000001</v>
      </c>
      <c r="AK42" s="195">
        <f>AK216</f>
        <v>87.504999999999995</v>
      </c>
      <c r="AL42" s="195">
        <f>AL216</f>
        <v>87.504999999999995</v>
      </c>
      <c r="AN42" s="195">
        <f>AN216</f>
        <v>83.722999999999999</v>
      </c>
      <c r="AO42" s="195">
        <f>AO216</f>
        <v>70.516000000000005</v>
      </c>
      <c r="AP42" s="195">
        <f>AP216</f>
        <v>70.516000000000005</v>
      </c>
      <c r="AR42" s="195">
        <f>AR216</f>
        <v>121.1824539122517</v>
      </c>
      <c r="AS42" s="195">
        <f>AS216</f>
        <v>132.83816573886418</v>
      </c>
      <c r="AT42" s="195">
        <f>AT216</f>
        <v>132.83816573886418</v>
      </c>
      <c r="AV42" s="195">
        <f>AV216</f>
        <v>126.61964586073839</v>
      </c>
      <c r="AW42" s="195">
        <f>AW216</f>
        <v>139.10784174686853</v>
      </c>
      <c r="AX42" s="195">
        <f>AX216</f>
        <v>139.10784174686853</v>
      </c>
      <c r="AZ42" s="195">
        <f>AZ216</f>
        <v>132.42448293504313</v>
      </c>
      <c r="BA42" s="195">
        <f>BA216</f>
        <v>144.98850435581335</v>
      </c>
      <c r="BB42" s="195">
        <f>BB216</f>
        <v>144.98850435581335</v>
      </c>
      <c r="BD42" s="195">
        <f>BD216</f>
        <v>137.04272098361781</v>
      </c>
      <c r="BE42" s="195">
        <f>BE216</f>
        <v>151.15990873687326</v>
      </c>
      <c r="BF42" s="195">
        <f>BF216</f>
        <v>151.15990873687326</v>
      </c>
      <c r="BH42" s="195">
        <f>BH216</f>
        <v>142.25591439697052</v>
      </c>
      <c r="BI42" s="195">
        <f>BI216</f>
        <v>157.20148336282111</v>
      </c>
      <c r="BJ42" s="195">
        <f>BJ216</f>
        <v>157.20148336282111</v>
      </c>
      <c r="BL42" s="195">
        <f>BL216</f>
        <v>147.71380167377154</v>
      </c>
      <c r="BM42" s="195">
        <f>BM216</f>
        <v>163.52948631059689</v>
      </c>
      <c r="BN42" s="195">
        <f>BN216</f>
        <v>163.52948631059689</v>
      </c>
      <c r="BP42" s="195">
        <f>BP216</f>
        <v>153.8488782695066</v>
      </c>
      <c r="BQ42" s="195">
        <f>BQ216</f>
        <v>169.68684652246358</v>
      </c>
      <c r="BR42" s="195">
        <f>BR216</f>
        <v>169.68684652246358</v>
      </c>
      <c r="BT42" s="195">
        <f>BT216</f>
        <v>159.41285098626685</v>
      </c>
      <c r="BU42" s="195">
        <f>BU216</f>
        <v>177.10245713818168</v>
      </c>
      <c r="BV42" s="195">
        <f>BV216</f>
        <v>177.10245713818168</v>
      </c>
      <c r="BX42" s="195">
        <f>BX216</f>
        <v>165.68019138750043</v>
      </c>
      <c r="BY42" s="195">
        <f>BY216</f>
        <v>184.37811641749536</v>
      </c>
      <c r="BZ42" s="195">
        <f>BZ216</f>
        <v>184.37811641749536</v>
      </c>
    </row>
    <row r="43" spans="1:78">
      <c r="A43" s="823" cm="1">
        <f t="array" ref="A43">COUNT(IF(K43:DT43&lt;0,1,""))</f>
        <v>0</v>
      </c>
      <c r="B43" s="160" t="s">
        <v>236</v>
      </c>
      <c r="C43" s="155" t="s">
        <v>406</v>
      </c>
      <c r="D43" s="195">
        <f>D222</f>
        <v>2.407</v>
      </c>
      <c r="E43" s="195">
        <f>E222</f>
        <v>2.73</v>
      </c>
      <c r="F43" s="195">
        <f>F222</f>
        <v>2.73</v>
      </c>
      <c r="H43" s="195">
        <f>H222</f>
        <v>3.5760000000000001</v>
      </c>
      <c r="I43" s="195">
        <f>I222</f>
        <v>3.6059999999999999</v>
      </c>
      <c r="J43" s="195">
        <f>J222</f>
        <v>3.6059999999999999</v>
      </c>
      <c r="L43" s="195">
        <f>L222</f>
        <v>3.2869999999999999</v>
      </c>
      <c r="M43" s="195">
        <f>M222</f>
        <v>3.165</v>
      </c>
      <c r="N43" s="195">
        <f>N222</f>
        <v>3.165</v>
      </c>
      <c r="P43" s="195">
        <f>P222</f>
        <v>3.7810000000000001</v>
      </c>
      <c r="Q43" s="195">
        <f>Q222</f>
        <v>3.3620000000000001</v>
      </c>
      <c r="R43" s="195">
        <f>R222</f>
        <v>3.3620000000000001</v>
      </c>
      <c r="T43" s="195">
        <f>T222</f>
        <v>2.86</v>
      </c>
      <c r="U43" s="195">
        <f>U222</f>
        <v>3.6640000000000001</v>
      </c>
      <c r="V43" s="195">
        <f>V222</f>
        <v>3.6640000000000001</v>
      </c>
      <c r="X43" s="195">
        <f>X222</f>
        <v>4.4029999999999996</v>
      </c>
      <c r="Y43" s="195">
        <f>Y222</f>
        <v>3.7669999999999999</v>
      </c>
      <c r="Z43" s="195">
        <f>Z222</f>
        <v>3.7669999999999999</v>
      </c>
      <c r="AB43" s="195">
        <f>AB222</f>
        <v>6.6239999999999997</v>
      </c>
      <c r="AC43" s="195">
        <f>AC222</f>
        <v>9.7539999999999996</v>
      </c>
      <c r="AD43" s="195">
        <f>AD222</f>
        <v>9.7539999999999996</v>
      </c>
      <c r="AE43" s="455"/>
      <c r="AF43" s="195">
        <f>AF222</f>
        <v>9.4169999999999998</v>
      </c>
      <c r="AG43" s="195">
        <f>AG222</f>
        <v>5.4749999999999996</v>
      </c>
      <c r="AH43" s="195">
        <f>AH222</f>
        <v>5.4749999999999996</v>
      </c>
      <c r="AI43" s="455"/>
      <c r="AJ43" s="195">
        <f>AJ222</f>
        <v>18.154</v>
      </c>
      <c r="AK43" s="195">
        <f>AK222</f>
        <v>19.919</v>
      </c>
      <c r="AL43" s="195">
        <f>AL222</f>
        <v>19.919</v>
      </c>
      <c r="AN43" s="195">
        <f>AN222</f>
        <v>33.231000000000002</v>
      </c>
      <c r="AO43" s="195">
        <f>AO222</f>
        <v>23.613</v>
      </c>
      <c r="AP43" s="195">
        <f>AP222</f>
        <v>23.613</v>
      </c>
      <c r="AR43" s="195">
        <f>AR222</f>
        <v>22.489240680677494</v>
      </c>
      <c r="AS43" s="195">
        <f>AS222</f>
        <v>24.652327003084491</v>
      </c>
      <c r="AT43" s="195">
        <f>AT222</f>
        <v>24.652327003084491</v>
      </c>
      <c r="AV43" s="195">
        <f>AV222</f>
        <v>23.498283775687774</v>
      </c>
      <c r="AW43" s="195">
        <f>AW222</f>
        <v>25.815863869865357</v>
      </c>
      <c r="AX43" s="195">
        <f>AX222</f>
        <v>25.815863869865357</v>
      </c>
      <c r="AZ43" s="195">
        <f>AZ222</f>
        <v>24.575555062591139</v>
      </c>
      <c r="BA43" s="195">
        <f>BA222</f>
        <v>26.907206985182899</v>
      </c>
      <c r="BB43" s="195">
        <f>BB222</f>
        <v>26.907206985182899</v>
      </c>
      <c r="BD43" s="195">
        <f>BD222</f>
        <v>25.43261533527933</v>
      </c>
      <c r="BE43" s="195">
        <f>BE222</f>
        <v>28.052506440530966</v>
      </c>
      <c r="BF43" s="195">
        <f>BF222</f>
        <v>28.052506440530966</v>
      </c>
      <c r="BH43" s="195">
        <f>BH222</f>
        <v>26.400088410818025</v>
      </c>
      <c r="BI43" s="195">
        <f>BI222</f>
        <v>29.173711874707099</v>
      </c>
      <c r="BJ43" s="195">
        <f>BJ222</f>
        <v>29.173711874707099</v>
      </c>
      <c r="BL43" s="195">
        <f>BL222</f>
        <v>27.412972179163432</v>
      </c>
      <c r="BM43" s="195">
        <f>BM222</f>
        <v>30.348073151659076</v>
      </c>
      <c r="BN43" s="195">
        <f>BN222</f>
        <v>30.348073151659076</v>
      </c>
      <c r="BP43" s="195">
        <f>BP222</f>
        <v>28.551529863890494</v>
      </c>
      <c r="BQ43" s="195">
        <f>BQ222</f>
        <v>31.490766266807306</v>
      </c>
      <c r="BR43" s="195">
        <f>BR222</f>
        <v>31.490766266807306</v>
      </c>
      <c r="BT43" s="195">
        <f>BT222</f>
        <v>29.584101144040922</v>
      </c>
      <c r="BU43" s="195">
        <f>BU222</f>
        <v>32.866967577698652</v>
      </c>
      <c r="BV43" s="195">
        <f>BV222</f>
        <v>32.866967577698652</v>
      </c>
      <c r="BX43" s="195">
        <f>BX222</f>
        <v>30.74720456504555</v>
      </c>
      <c r="BY43" s="195">
        <f>BY222</f>
        <v>34.217196487583337</v>
      </c>
      <c r="BZ43" s="195">
        <f>BZ222</f>
        <v>34.217196487583337</v>
      </c>
    </row>
    <row r="44" spans="1:78">
      <c r="A44" s="823" cm="1">
        <f t="array" ref="A44">COUNT(IF(K44:DT44&lt;0,1,""))</f>
        <v>0</v>
      </c>
      <c r="B44" s="160" t="s">
        <v>237</v>
      </c>
      <c r="C44" s="155" t="s">
        <v>406</v>
      </c>
      <c r="D44" s="195">
        <f>D225</f>
        <v>6.6269999999999998</v>
      </c>
      <c r="E44" s="195">
        <f>E225</f>
        <v>9.52</v>
      </c>
      <c r="F44" s="195">
        <f>F225</f>
        <v>9.52</v>
      </c>
      <c r="H44" s="195">
        <f>H225</f>
        <v>8.8179999999999996</v>
      </c>
      <c r="I44" s="195">
        <f>I225</f>
        <v>9.6720000000000006</v>
      </c>
      <c r="J44" s="195">
        <f>J225</f>
        <v>9.6720000000000006</v>
      </c>
      <c r="L44" s="195">
        <f>L225</f>
        <v>8.4329999999999998</v>
      </c>
      <c r="M44" s="195">
        <f>M225</f>
        <v>8.7959999999999994</v>
      </c>
      <c r="N44" s="195">
        <f>N225</f>
        <v>8.7959999999999994</v>
      </c>
      <c r="P44" s="195">
        <f>P225</f>
        <v>11.831</v>
      </c>
      <c r="Q44" s="195">
        <f>Q225</f>
        <v>19.587</v>
      </c>
      <c r="R44" s="195">
        <f>R225</f>
        <v>19.587</v>
      </c>
      <c r="T44" s="381">
        <f>T225</f>
        <v>18.033999999999999</v>
      </c>
      <c r="U44" s="195">
        <f>U225</f>
        <v>15.999000000000001</v>
      </c>
      <c r="V44" s="195">
        <f>V225</f>
        <v>15.999000000000001</v>
      </c>
      <c r="X44" s="195">
        <f>X225</f>
        <v>18.173999999999999</v>
      </c>
      <c r="Y44" s="195">
        <f>Y225</f>
        <v>14.929</v>
      </c>
      <c r="Z44" s="195">
        <f>Z225</f>
        <v>14.929</v>
      </c>
      <c r="AB44" s="195">
        <f>AB225</f>
        <v>19.263000000000002</v>
      </c>
      <c r="AC44" s="195">
        <f>AC225</f>
        <v>17.603000000000002</v>
      </c>
      <c r="AD44" s="195">
        <f>AD225</f>
        <v>17.603000000000002</v>
      </c>
      <c r="AE44" s="455"/>
      <c r="AF44" s="195">
        <f>AF225</f>
        <v>125.381</v>
      </c>
      <c r="AG44" s="195">
        <f>AG225</f>
        <v>118.31699999999999</v>
      </c>
      <c r="AH44" s="195">
        <f>AH225</f>
        <v>118.31699999999999</v>
      </c>
      <c r="AI44" s="455"/>
      <c r="AJ44" s="195">
        <f>AJ225</f>
        <v>116.10899999999999</v>
      </c>
      <c r="AK44" s="195">
        <f>AK225</f>
        <v>119.28100000000001</v>
      </c>
      <c r="AL44" s="195">
        <f>AL225</f>
        <v>119.28100000000001</v>
      </c>
      <c r="AN44" s="195">
        <f>AN225</f>
        <v>119.2</v>
      </c>
      <c r="AO44" s="195">
        <f>AO225</f>
        <v>148.791</v>
      </c>
      <c r="AP44" s="195">
        <f>AP225</f>
        <v>148.791</v>
      </c>
      <c r="AR44" s="195">
        <f>AR225</f>
        <v>141.70993139875006</v>
      </c>
      <c r="AS44" s="195">
        <f>AS225</f>
        <v>155.34004095692814</v>
      </c>
      <c r="AT44" s="195">
        <f>AT225</f>
        <v>155.34004095692814</v>
      </c>
      <c r="AV44" s="195">
        <f>AV225</f>
        <v>148.06814641377036</v>
      </c>
      <c r="AW44" s="195">
        <f>AW225</f>
        <v>162.67175712790143</v>
      </c>
      <c r="AX44" s="195">
        <f>AX225</f>
        <v>162.67175712790143</v>
      </c>
      <c r="AZ44" s="195">
        <f>AZ225</f>
        <v>154.8562831202303</v>
      </c>
      <c r="BA44" s="195">
        <f>BA225</f>
        <v>169.54856369509801</v>
      </c>
      <c r="BB44" s="195">
        <f>BB225</f>
        <v>169.54856369509801</v>
      </c>
      <c r="BD44" s="195">
        <f>BD225</f>
        <v>160.25681905524695</v>
      </c>
      <c r="BE44" s="195">
        <f>BE225</f>
        <v>176.76536169876945</v>
      </c>
      <c r="BF44" s="195">
        <f>BF225</f>
        <v>176.76536169876945</v>
      </c>
      <c r="BH44" s="195">
        <f>BH225</f>
        <v>166.35309171786832</v>
      </c>
      <c r="BI44" s="195">
        <f>BI225</f>
        <v>183.83033767626071</v>
      </c>
      <c r="BJ44" s="195">
        <f>BJ225</f>
        <v>183.83033767626071</v>
      </c>
      <c r="BL44" s="195">
        <f>BL225</f>
        <v>172.73550770803823</v>
      </c>
      <c r="BM44" s="195">
        <f>BM225</f>
        <v>191.23026097101197</v>
      </c>
      <c r="BN44" s="195">
        <f>BN225</f>
        <v>191.23026097101197</v>
      </c>
      <c r="BP44" s="195">
        <f>BP225</f>
        <v>179.90982424842801</v>
      </c>
      <c r="BQ44" s="195">
        <f>BQ225</f>
        <v>198.43063581944378</v>
      </c>
      <c r="BR44" s="195">
        <f>BR225</f>
        <v>198.43063581944378</v>
      </c>
      <c r="BT44" s="195">
        <f>BT225</f>
        <v>186.4162958253078</v>
      </c>
      <c r="BU44" s="195">
        <f>BU225</f>
        <v>207.10240007001906</v>
      </c>
      <c r="BV44" s="195">
        <f>BV225</f>
        <v>207.10240007001906</v>
      </c>
      <c r="BX44" s="195">
        <f>BX225</f>
        <v>193.74528075372433</v>
      </c>
      <c r="BY44" s="195">
        <f>BY225</f>
        <v>215.61050618659263</v>
      </c>
      <c r="BZ44" s="195">
        <f>BZ225</f>
        <v>215.61050618659263</v>
      </c>
    </row>
    <row r="45" spans="1:78">
      <c r="A45" s="823" cm="1">
        <f t="array" ref="A45">COUNT(IF(K45:DT45&lt;0,1,""))</f>
        <v>0</v>
      </c>
      <c r="B45" s="160" t="s">
        <v>234</v>
      </c>
      <c r="C45" s="155" t="s">
        <v>406</v>
      </c>
      <c r="D45" s="195">
        <f>D228</f>
        <v>0</v>
      </c>
      <c r="E45" s="195">
        <f>E228</f>
        <v>0</v>
      </c>
      <c r="F45" s="195">
        <f>F228</f>
        <v>0</v>
      </c>
      <c r="H45" s="195">
        <f>H228</f>
        <v>0</v>
      </c>
      <c r="I45" s="195">
        <f>I228</f>
        <v>0</v>
      </c>
      <c r="J45" s="195">
        <f>J228</f>
        <v>0</v>
      </c>
      <c r="L45" s="195">
        <f>L228</f>
        <v>0</v>
      </c>
      <c r="M45" s="195">
        <f>M228</f>
        <v>0</v>
      </c>
      <c r="N45" s="195">
        <f>N228</f>
        <v>0</v>
      </c>
      <c r="P45" s="195">
        <f>P228</f>
        <v>0</v>
      </c>
      <c r="Q45" s="195">
        <f>Q228</f>
        <v>0</v>
      </c>
      <c r="R45" s="195">
        <f>R228</f>
        <v>0</v>
      </c>
      <c r="T45" s="195">
        <f>T228</f>
        <v>24.029</v>
      </c>
      <c r="U45" s="195">
        <f>U228</f>
        <v>21.443000000000001</v>
      </c>
      <c r="V45" s="195">
        <f>V228</f>
        <v>21.443000000000001</v>
      </c>
      <c r="X45" s="195">
        <f>X228</f>
        <v>19.385000000000002</v>
      </c>
      <c r="Y45" s="195">
        <f>Y228</f>
        <v>18.079999999999998</v>
      </c>
      <c r="Z45" s="195">
        <f>Z228</f>
        <v>18.079999999999998</v>
      </c>
      <c r="AB45" s="195">
        <f>AB228</f>
        <v>18.638000000000002</v>
      </c>
      <c r="AC45" s="195">
        <f>AC228</f>
        <v>18.751999999999999</v>
      </c>
      <c r="AD45" s="195">
        <f>AD228</f>
        <v>18.751999999999999</v>
      </c>
      <c r="AE45" s="455"/>
      <c r="AF45" s="195">
        <f>AF228</f>
        <v>54.548999999999999</v>
      </c>
      <c r="AG45" s="195">
        <f>AG228</f>
        <v>62.134</v>
      </c>
      <c r="AH45" s="195">
        <f>AH228</f>
        <v>62.134</v>
      </c>
      <c r="AI45" s="455"/>
      <c r="AJ45" s="195">
        <f>AJ228</f>
        <v>59.463000000000001</v>
      </c>
      <c r="AK45" s="195">
        <f>AK228</f>
        <v>64.536000000000001</v>
      </c>
      <c r="AL45" s="195">
        <f>AL228</f>
        <v>64.536000000000001</v>
      </c>
      <c r="AN45" s="195">
        <f>AN228</f>
        <v>65.016999999999996</v>
      </c>
      <c r="AO45" s="195">
        <f>AO228</f>
        <v>66.423000000000002</v>
      </c>
      <c r="AP45" s="195">
        <f>AP228</f>
        <v>66.423000000000002</v>
      </c>
      <c r="AR45" s="195">
        <f>AR228</f>
        <v>63.261882595715967</v>
      </c>
      <c r="AS45" s="195">
        <f>AS228</f>
        <v>69.346610618129034</v>
      </c>
      <c r="AT45" s="195">
        <f>AT228</f>
        <v>69.346610618129034</v>
      </c>
      <c r="AV45" s="195">
        <f>AV228</f>
        <v>66.100305053678426</v>
      </c>
      <c r="AW45" s="195">
        <f>AW228</f>
        <v>72.619621641810298</v>
      </c>
      <c r="AX45" s="195">
        <f>AX228</f>
        <v>72.619621641810298</v>
      </c>
      <c r="AZ45" s="195">
        <f>AZ228</f>
        <v>69.13065234923522</v>
      </c>
      <c r="BA45" s="195">
        <f>BA228</f>
        <v>75.689552770795899</v>
      </c>
      <c r="BB45" s="195">
        <f>BB228</f>
        <v>75.689552770795899</v>
      </c>
      <c r="BD45" s="195">
        <f>BD228</f>
        <v>71.541549503038937</v>
      </c>
      <c r="BE45" s="195">
        <f>BE228</f>
        <v>78.911262241112453</v>
      </c>
      <c r="BF45" s="195">
        <f>BF228</f>
        <v>78.911262241112453</v>
      </c>
      <c r="BH45" s="195">
        <f>BH228</f>
        <v>74.263036145841923</v>
      </c>
      <c r="BI45" s="195">
        <f>BI228</f>
        <v>82.065195606389253</v>
      </c>
      <c r="BJ45" s="195">
        <f>BJ228</f>
        <v>82.065195606389253</v>
      </c>
      <c r="BL45" s="195">
        <f>BL228</f>
        <v>77.112262357877967</v>
      </c>
      <c r="BM45" s="195">
        <f>BM228</f>
        <v>85.368655526728958</v>
      </c>
      <c r="BN45" s="195">
        <f>BN228</f>
        <v>85.368655526728958</v>
      </c>
      <c r="BP45" s="195">
        <f>BP228</f>
        <v>80.315007332791183</v>
      </c>
      <c r="BQ45" s="195">
        <f>BQ228</f>
        <v>88.58303340279258</v>
      </c>
      <c r="BR45" s="195">
        <f>BR228</f>
        <v>88.58303340279258</v>
      </c>
      <c r="BT45" s="195">
        <f>BT228</f>
        <v>83.219614207878294</v>
      </c>
      <c r="BU45" s="195">
        <f>BU228</f>
        <v>92.454266184452521</v>
      </c>
      <c r="BV45" s="195">
        <f>BV228</f>
        <v>92.454266184452521</v>
      </c>
      <c r="BX45" s="195">
        <f>BX228</f>
        <v>86.491405955364442</v>
      </c>
      <c r="BY45" s="195">
        <f>BY228</f>
        <v>96.252439007951025</v>
      </c>
      <c r="BZ45" s="195">
        <f>BZ228</f>
        <v>96.252439007951025</v>
      </c>
    </row>
    <row r="46" spans="1:78">
      <c r="A46" s="823" cm="1">
        <f t="array" ref="A46">COUNT(IF(K46:DT46&lt;0,1,""))</f>
        <v>0</v>
      </c>
      <c r="B46" s="160" t="s">
        <v>235</v>
      </c>
      <c r="C46" s="155" t="s">
        <v>406</v>
      </c>
      <c r="D46" s="195">
        <f>D231</f>
        <v>82.724999999999994</v>
      </c>
      <c r="E46" s="195">
        <f>E231</f>
        <v>84.185000000000002</v>
      </c>
      <c r="F46" s="195">
        <f>F231</f>
        <v>84.185000000000002</v>
      </c>
      <c r="H46" s="195">
        <f>H231</f>
        <v>84.024000000000001</v>
      </c>
      <c r="I46" s="195">
        <f>I231</f>
        <v>88.927000000000007</v>
      </c>
      <c r="J46" s="195">
        <f>J231</f>
        <v>88.927000000000007</v>
      </c>
      <c r="L46" s="195">
        <f>L231</f>
        <v>106.858</v>
      </c>
      <c r="M46" s="195">
        <f>M231</f>
        <v>112.285</v>
      </c>
      <c r="N46" s="195">
        <f>N231</f>
        <v>112.285</v>
      </c>
      <c r="P46" s="195">
        <f>P231</f>
        <v>43.545999999999999</v>
      </c>
      <c r="Q46" s="195">
        <f>Q231</f>
        <v>85.53</v>
      </c>
      <c r="R46" s="195">
        <f>R231</f>
        <v>85.53</v>
      </c>
      <c r="T46" s="381">
        <f>T231</f>
        <v>76.504000000000005</v>
      </c>
      <c r="U46" s="195">
        <f>U231</f>
        <v>220.666</v>
      </c>
      <c r="V46" s="195">
        <f>V231</f>
        <v>220.666</v>
      </c>
      <c r="X46" s="195">
        <f>X231</f>
        <v>258.95499999999998</v>
      </c>
      <c r="Y46" s="195">
        <f>Y231</f>
        <v>200.809</v>
      </c>
      <c r="Z46" s="195">
        <f>Z231</f>
        <v>200.809</v>
      </c>
      <c r="AB46" s="195">
        <f>AB231</f>
        <v>225.453</v>
      </c>
      <c r="AC46" s="195">
        <f>AC231</f>
        <v>38.860999999999997</v>
      </c>
      <c r="AD46" s="195">
        <f>AD231</f>
        <v>38.860999999999997</v>
      </c>
      <c r="AE46" s="455"/>
      <c r="AF46" s="195">
        <f>AF231</f>
        <v>684.68799999999999</v>
      </c>
      <c r="AG46" s="195">
        <f>AG231</f>
        <v>564.46100000000001</v>
      </c>
      <c r="AH46" s="195">
        <f>AH231</f>
        <v>564.46100000000001</v>
      </c>
      <c r="AI46" s="455"/>
      <c r="AJ46" s="195">
        <f>AJ231</f>
        <v>662.86900000000003</v>
      </c>
      <c r="AK46" s="195">
        <f>AK231</f>
        <v>639.88199999999995</v>
      </c>
      <c r="AL46" s="195">
        <f>AL231</f>
        <v>639.88199999999995</v>
      </c>
      <c r="AN46" s="195">
        <f>AN231</f>
        <v>765.95899999999995</v>
      </c>
      <c r="AO46" s="195">
        <f>AO231</f>
        <v>865.529</v>
      </c>
      <c r="AP46" s="195">
        <f>AP231</f>
        <v>865.529</v>
      </c>
      <c r="AR46" s="195">
        <f>AR231</f>
        <v>863.44564249999996</v>
      </c>
      <c r="AS46" s="195">
        <f>AS231</f>
        <v>861.37645750000001</v>
      </c>
      <c r="AT46" s="195">
        <f>AT231</f>
        <v>861.37645750000001</v>
      </c>
      <c r="AV46" s="195">
        <f>AV231</f>
        <v>859.26588879999997</v>
      </c>
      <c r="AW46" s="195">
        <f>AW231</f>
        <v>857.15532009999993</v>
      </c>
      <c r="AX46" s="195">
        <f>AX231</f>
        <v>857.15532009999993</v>
      </c>
      <c r="AZ46" s="195">
        <f>AZ231</f>
        <v>852.84975995199989</v>
      </c>
      <c r="BA46" s="195">
        <f>BA231</f>
        <v>848.54419980399985</v>
      </c>
      <c r="BB46" s="195">
        <f>BB231</f>
        <v>848.54419980399985</v>
      </c>
      <c r="BD46" s="195">
        <f>BD231</f>
        <v>844.15252845303985</v>
      </c>
      <c r="BE46" s="195">
        <f>BE231</f>
        <v>839.76085710207985</v>
      </c>
      <c r="BF46" s="195">
        <f>BF231</f>
        <v>839.76085710207985</v>
      </c>
      <c r="BH46" s="195">
        <f>BH231</f>
        <v>835.28135232410068</v>
      </c>
      <c r="BI46" s="195">
        <f>BI231</f>
        <v>830.80184754612151</v>
      </c>
      <c r="BJ46" s="195">
        <f>BJ231</f>
        <v>830.80184754612151</v>
      </c>
      <c r="BL46" s="195">
        <f>BL231</f>
        <v>826.23275267258271</v>
      </c>
      <c r="BM46" s="195">
        <f>BM231</f>
        <v>821.6636577990439</v>
      </c>
      <c r="BN46" s="195">
        <f>BN231</f>
        <v>821.6636577990439</v>
      </c>
      <c r="BP46" s="195">
        <f>BP231</f>
        <v>817.00318102803431</v>
      </c>
      <c r="BQ46" s="195">
        <f>BQ231</f>
        <v>812.34270425702471</v>
      </c>
      <c r="BR46" s="195">
        <f>BR231</f>
        <v>812.34270425702471</v>
      </c>
      <c r="BT46" s="195">
        <f>BT231</f>
        <v>807.58901795059501</v>
      </c>
      <c r="BU46" s="195">
        <f>BU231</f>
        <v>802.83533164416531</v>
      </c>
      <c r="BV46" s="195">
        <f>BV231</f>
        <v>802.83533164416531</v>
      </c>
      <c r="BX46" s="195">
        <f>BX231</f>
        <v>797.98657161160691</v>
      </c>
      <c r="BY46" s="195">
        <f>BY231</f>
        <v>793.1378115790485</v>
      </c>
      <c r="BZ46" s="195">
        <f>BZ231</f>
        <v>793.1378115790485</v>
      </c>
    </row>
    <row r="47" spans="1:78" s="140" customFormat="1">
      <c r="A47" s="132"/>
      <c r="B47" s="159" t="s">
        <v>12</v>
      </c>
      <c r="C47" s="155" t="s">
        <v>406</v>
      </c>
      <c r="D47" s="140">
        <f>SUM(D42:D46)</f>
        <v>107.47999999999999</v>
      </c>
      <c r="E47" s="140">
        <f>SUM(E42:E46)</f>
        <v>107.887</v>
      </c>
      <c r="F47" s="140">
        <f>SUM(F42:F46)</f>
        <v>107.887</v>
      </c>
      <c r="H47" s="140">
        <f>SUM(H42:H46)</f>
        <v>105.68899999999999</v>
      </c>
      <c r="I47" s="140">
        <f>SUM(I42:I46)</f>
        <v>129.05000000000001</v>
      </c>
      <c r="J47" s="140">
        <f>SUM(J42:J46)</f>
        <v>129.05000000000001</v>
      </c>
      <c r="L47" s="140">
        <f>SUM(L42:L46)</f>
        <v>118.80800000000001</v>
      </c>
      <c r="M47" s="140">
        <f>SUM(M42:M46)</f>
        <v>150.649</v>
      </c>
      <c r="N47" s="140">
        <f>SUM(N42:N46)</f>
        <v>150.649</v>
      </c>
      <c r="P47" s="140">
        <f>SUM(P42:P46)</f>
        <v>85.941000000000003</v>
      </c>
      <c r="Q47" s="140">
        <f>SUM(Q42:Q46)</f>
        <v>109.5</v>
      </c>
      <c r="R47" s="140">
        <f>SUM(R42:R46)</f>
        <v>109.5</v>
      </c>
      <c r="T47" s="140">
        <f>SUM(T42:T46)</f>
        <v>122.087</v>
      </c>
      <c r="U47" s="140">
        <f>SUM(U42:U46)</f>
        <v>262.31900000000002</v>
      </c>
      <c r="V47" s="140">
        <f>SUM(V42:V46)</f>
        <v>262.31900000000002</v>
      </c>
      <c r="X47" s="140">
        <f>SUM(X42:X46)</f>
        <v>320.63499999999999</v>
      </c>
      <c r="Y47" s="140">
        <f>SUM(Y42:Y46)</f>
        <v>248.11500000000001</v>
      </c>
      <c r="Z47" s="140">
        <f>SUM(Z42:Z46)</f>
        <v>248.11500000000001</v>
      </c>
      <c r="AB47" s="140">
        <f>SUM(AB42:AB46)</f>
        <v>286.11599999999999</v>
      </c>
      <c r="AC47" s="140">
        <f>SUM(AC42:AC46)</f>
        <v>152.59700000000001</v>
      </c>
      <c r="AD47" s="140">
        <f>SUM(AD42:AD46)</f>
        <v>152.59700000000001</v>
      </c>
      <c r="AE47" s="456"/>
      <c r="AF47" s="140">
        <f>SUM(AF42:AF46)</f>
        <v>1095.0149999999999</v>
      </c>
      <c r="AG47" s="140">
        <f>SUM(AG42:AG46)</f>
        <v>988.327</v>
      </c>
      <c r="AH47" s="140">
        <f>SUM(AH42:AH46)</f>
        <v>988.327</v>
      </c>
      <c r="AI47" s="456"/>
      <c r="AJ47" s="140">
        <f>SUM(AJ42:AJ46)</f>
        <v>1084.0260000000001</v>
      </c>
      <c r="AK47" s="140">
        <f>SUM(AK42:AK46)</f>
        <v>931.12299999999993</v>
      </c>
      <c r="AL47" s="140">
        <f>SUM(AL42:AL46)</f>
        <v>931.12299999999993</v>
      </c>
      <c r="AN47" s="140">
        <f>SUM(AN42:AN46)</f>
        <v>1067.1299999999999</v>
      </c>
      <c r="AO47" s="140">
        <f>SUM(AO42:AO46)</f>
        <v>1174.8720000000001</v>
      </c>
      <c r="AP47" s="140">
        <f>SUM(AP42:AP46)</f>
        <v>1174.8720000000001</v>
      </c>
      <c r="AR47" s="140">
        <f>SUM(AR42:AR46)</f>
        <v>1212.0891510873953</v>
      </c>
      <c r="AS47" s="140">
        <f>SUM(AS42:AS46)</f>
        <v>1243.553601817006</v>
      </c>
      <c r="AT47" s="140">
        <f>SUM(AT42:AT46)</f>
        <v>1243.553601817006</v>
      </c>
      <c r="AV47" s="140">
        <f>SUM(AV42:AV46)</f>
        <v>1223.552269903875</v>
      </c>
      <c r="AW47" s="140">
        <f>SUM(AW42:AW46)</f>
        <v>1257.3704044864455</v>
      </c>
      <c r="AX47" s="140">
        <f>SUM(AX42:AX46)</f>
        <v>1257.3704044864455</v>
      </c>
      <c r="AZ47" s="140">
        <f>SUM(AZ42:AZ46)</f>
        <v>1233.8367334190998</v>
      </c>
      <c r="BA47" s="140">
        <f>SUM(BA42:BA46)</f>
        <v>1265.67802761089</v>
      </c>
      <c r="BB47" s="140">
        <f>SUM(BB42:BB46)</f>
        <v>1265.67802761089</v>
      </c>
      <c r="BD47" s="140">
        <f>SUM(BD42:BD46)</f>
        <v>1238.4262333302229</v>
      </c>
      <c r="BE47" s="140">
        <f>SUM(BE42:BE46)</f>
        <v>1274.6498962193659</v>
      </c>
      <c r="BF47" s="140">
        <f>SUM(BF42:BF46)</f>
        <v>1274.6498962193659</v>
      </c>
      <c r="BH47" s="140">
        <f>SUM(BH42:BH46)</f>
        <v>1244.5534829955996</v>
      </c>
      <c r="BI47" s="140">
        <f>SUM(BI42:BI46)</f>
        <v>1283.0725760662997</v>
      </c>
      <c r="BJ47" s="140">
        <f>SUM(BJ42:BJ46)</f>
        <v>1283.0725760662997</v>
      </c>
      <c r="BL47" s="140">
        <f>SUM(BL42:BL46)</f>
        <v>1251.207296591434</v>
      </c>
      <c r="BM47" s="140">
        <f>SUM(BM42:BM46)</f>
        <v>1292.1401337590407</v>
      </c>
      <c r="BN47" s="140">
        <f>SUM(BN42:BN46)</f>
        <v>1292.1401337590407</v>
      </c>
      <c r="BP47" s="140">
        <f>SUM(BP42:BP46)</f>
        <v>1259.6284207426506</v>
      </c>
      <c r="BQ47" s="140">
        <f>SUM(BQ42:BQ46)</f>
        <v>1300.5339862685319</v>
      </c>
      <c r="BR47" s="140">
        <f>SUM(BR42:BR46)</f>
        <v>1300.5339862685319</v>
      </c>
      <c r="BT47" s="140">
        <f>SUM(BT42:BT46)</f>
        <v>1266.2218801140889</v>
      </c>
      <c r="BU47" s="140">
        <f>SUM(BU42:BU46)</f>
        <v>1312.3614226145173</v>
      </c>
      <c r="BV47" s="140">
        <f>SUM(BV42:BV46)</f>
        <v>1312.3614226145173</v>
      </c>
      <c r="BX47" s="140">
        <f>SUM(BX42:BX46)</f>
        <v>1274.6506542732416</v>
      </c>
      <c r="BY47" s="140">
        <f>SUM(BY42:BY46)</f>
        <v>1323.5960696786708</v>
      </c>
      <c r="BZ47" s="140">
        <f>SUM(BZ42:BZ46)</f>
        <v>1323.5960696786708</v>
      </c>
    </row>
    <row r="48" spans="1:78" s="140" customFormat="1">
      <c r="A48" s="149"/>
      <c r="B48" s="159"/>
      <c r="C48" s="175"/>
    </row>
    <row r="49" spans="1:78" s="140" customFormat="1">
      <c r="A49" s="149"/>
      <c r="B49" s="159" t="s">
        <v>13</v>
      </c>
      <c r="C49" s="155" t="s">
        <v>406</v>
      </c>
      <c r="D49" s="140">
        <f>D39+D47</f>
        <v>315.03499999999997</v>
      </c>
      <c r="E49" s="140">
        <f>E39+E47</f>
        <v>369.86599999999999</v>
      </c>
      <c r="F49" s="140">
        <f>F39+F47</f>
        <v>369.86599999999999</v>
      </c>
      <c r="H49" s="140">
        <f>H39+H47</f>
        <v>318.33100000000002</v>
      </c>
      <c r="I49" s="140">
        <f>I39+I47</f>
        <v>408.58099999999996</v>
      </c>
      <c r="J49" s="140">
        <f>J39+J47</f>
        <v>408.58099999999996</v>
      </c>
      <c r="L49" s="140">
        <f>L39+L47</f>
        <v>338.834</v>
      </c>
      <c r="M49" s="140">
        <f>M39+M47</f>
        <v>423.91099999999994</v>
      </c>
      <c r="N49" s="140">
        <f>N39+N47</f>
        <v>423.91099999999994</v>
      </c>
      <c r="P49" s="140">
        <f>P39+P47</f>
        <v>340.44600000000003</v>
      </c>
      <c r="Q49" s="140">
        <f>Q39+Q47</f>
        <v>372.52799999999996</v>
      </c>
      <c r="R49" s="140">
        <f>R39+R47</f>
        <v>372.52799999999996</v>
      </c>
      <c r="T49" s="140">
        <f>T39+T47</f>
        <v>361.38400000000001</v>
      </c>
      <c r="U49" s="140">
        <f>U39+U47</f>
        <v>529.93600000000004</v>
      </c>
      <c r="V49" s="140">
        <f>V39+V47</f>
        <v>529.93600000000004</v>
      </c>
      <c r="X49" s="140">
        <f>X39+X47</f>
        <v>559.99199999999996</v>
      </c>
      <c r="Y49" s="140">
        <f>Y39+Y47</f>
        <v>547.83100000000002</v>
      </c>
      <c r="Z49" s="140">
        <f>Z39+Z47</f>
        <v>547.83100000000002</v>
      </c>
      <c r="AB49" s="140">
        <f>AB39+AB47</f>
        <v>571.59300000000007</v>
      </c>
      <c r="AC49" s="140">
        <f>AC39+AC47</f>
        <v>642.80499999999995</v>
      </c>
      <c r="AD49" s="140">
        <f>AD39+AD47</f>
        <v>642.80499999999995</v>
      </c>
      <c r="AE49" s="456"/>
      <c r="AF49" s="140">
        <f>AF39+AF47</f>
        <v>2281.7550000000001</v>
      </c>
      <c r="AG49" s="140">
        <f>AG39+AG47</f>
        <v>2370.9499999999998</v>
      </c>
      <c r="AH49" s="140">
        <f>AH39+AH47</f>
        <v>2370.9499999999998</v>
      </c>
      <c r="AI49" s="456"/>
      <c r="AJ49" s="140">
        <f>AJ39+AJ47</f>
        <v>2271.2830000000004</v>
      </c>
      <c r="AK49" s="140">
        <f>AK39+AK47</f>
        <v>2300.0389999999998</v>
      </c>
      <c r="AL49" s="140">
        <f>AL39+AL47</f>
        <v>2300.0389999999998</v>
      </c>
      <c r="AN49" s="140">
        <f>AN39+AN47</f>
        <v>2567.703</v>
      </c>
      <c r="AO49" s="140">
        <f>AO39+AO47</f>
        <v>2659.51</v>
      </c>
      <c r="AP49" s="140">
        <f>AP39+AP47</f>
        <v>2659.51</v>
      </c>
      <c r="AR49" s="140">
        <f>AR39+AR47</f>
        <v>2641.5646404872577</v>
      </c>
      <c r="AS49" s="140">
        <f>AS39+AS47</f>
        <v>2789.068044637138</v>
      </c>
      <c r="AT49" s="140">
        <f>AT39+AT47</f>
        <v>2789.068044637138</v>
      </c>
      <c r="AV49" s="140">
        <f>AV39+AV47</f>
        <v>2712.883404754436</v>
      </c>
      <c r="AW49" s="140">
        <f>AW39+AW47</f>
        <v>2871.1408814349716</v>
      </c>
      <c r="AX49" s="140">
        <f>AX39+AX47</f>
        <v>2871.1408814349716</v>
      </c>
      <c r="AZ49" s="140">
        <f>AZ39+AZ47</f>
        <v>2770.4224440882367</v>
      </c>
      <c r="BA49" s="140">
        <f>BA39+BA47</f>
        <v>2924.7086400822041</v>
      </c>
      <c r="BB49" s="140">
        <f>BB39+BB47</f>
        <v>2924.7086400822041</v>
      </c>
      <c r="BD49" s="140">
        <f>BD39+BD47</f>
        <v>2806.9341209160702</v>
      </c>
      <c r="BE49" s="140">
        <f>BE39+BE47</f>
        <v>2980.3697985756221</v>
      </c>
      <c r="BF49" s="140">
        <f>BF39+BF47</f>
        <v>2980.3697985756221</v>
      </c>
      <c r="BH49" s="140">
        <f>BH39+BH47</f>
        <v>2850.2254443640422</v>
      </c>
      <c r="BI49" s="140">
        <f>BI39+BI47</f>
        <v>3032.1146844150453</v>
      </c>
      <c r="BJ49" s="140">
        <f>BJ39+BJ47</f>
        <v>3032.1146844150453</v>
      </c>
      <c r="BL49" s="140">
        <f>BL39+BL47</f>
        <v>2895.1254287508218</v>
      </c>
      <c r="BM49" s="140">
        <f>BM39+BM47</f>
        <v>3085.7453413902267</v>
      </c>
      <c r="BN49" s="140">
        <f>BN39+BN47</f>
        <v>3085.7453413902267</v>
      </c>
      <c r="BP49" s="140">
        <f>BP39+BP47</f>
        <v>2947.4846137939394</v>
      </c>
      <c r="BQ49" s="140">
        <f>BQ39+BQ47</f>
        <v>3134.8873882733474</v>
      </c>
      <c r="BR49" s="140">
        <f>BR39+BR47</f>
        <v>3134.8873882733474</v>
      </c>
      <c r="BT49" s="140">
        <f>BT39+BT47</f>
        <v>2989.9495337298176</v>
      </c>
      <c r="BU49" s="140">
        <f>BU39+BU47</f>
        <v>3198.8905149372977</v>
      </c>
      <c r="BV49" s="140">
        <f>BV39+BV47</f>
        <v>3198.8905149372977</v>
      </c>
      <c r="BX49" s="140">
        <f>BX39+BX47</f>
        <v>3039.9746716512536</v>
      </c>
      <c r="BY49" s="140">
        <f>BY39+BY47</f>
        <v>3258.5202759491522</v>
      </c>
      <c r="BZ49" s="140">
        <f>BZ39+BZ47</f>
        <v>3258.5202759491522</v>
      </c>
    </row>
    <row r="50" spans="1:78" s="161" customFormat="1">
      <c r="A50" s="148"/>
      <c r="B50" s="160"/>
      <c r="C50" s="181"/>
    </row>
    <row r="51" spans="1:78" s="140" customFormat="1">
      <c r="A51" s="149"/>
      <c r="B51" s="159" t="s">
        <v>14</v>
      </c>
      <c r="C51" s="155" t="s">
        <v>406</v>
      </c>
      <c r="D51" s="140">
        <f>D30-D49</f>
        <v>337.46600000000001</v>
      </c>
      <c r="E51" s="140">
        <f>E30-E49</f>
        <v>351.23500000000013</v>
      </c>
      <c r="F51" s="140">
        <f>F30-F49</f>
        <v>351.23500000000013</v>
      </c>
      <c r="H51" s="140">
        <f>H30-H49</f>
        <v>354.35399999999993</v>
      </c>
      <c r="I51" s="140">
        <f>I30-I49</f>
        <v>345.78100000000001</v>
      </c>
      <c r="J51" s="140">
        <f>J30-J49</f>
        <v>345.78100000000001</v>
      </c>
      <c r="L51" s="140">
        <f>L30-L49</f>
        <v>372.08299999999991</v>
      </c>
      <c r="M51" s="140">
        <f>M30-M49</f>
        <v>357.23</v>
      </c>
      <c r="N51" s="140">
        <f>N30-N49</f>
        <v>357.23</v>
      </c>
      <c r="P51" s="140">
        <f>P30-P49</f>
        <v>474.45099999999991</v>
      </c>
      <c r="Q51" s="140">
        <f>Q30-Q49</f>
        <v>483.39800000000008</v>
      </c>
      <c r="R51" s="140">
        <f>R30-R49</f>
        <v>483.39800000000008</v>
      </c>
      <c r="T51" s="140">
        <f>T30-T49</f>
        <v>475.096</v>
      </c>
      <c r="U51" s="140">
        <f>U30-U49</f>
        <v>490.41799999999978</v>
      </c>
      <c r="V51" s="140">
        <f>V30-V49</f>
        <v>490.41799999999978</v>
      </c>
      <c r="X51" s="140">
        <f>X30-X49</f>
        <v>555.34300000000007</v>
      </c>
      <c r="Y51" s="140">
        <f>Y30-Y49</f>
        <v>598.28699999999992</v>
      </c>
      <c r="Z51" s="140">
        <f>Z30-Z49</f>
        <v>598.28699999999992</v>
      </c>
      <c r="AB51" s="140">
        <f>AB30-AB49</f>
        <v>614.35299999999984</v>
      </c>
      <c r="AC51" s="140">
        <f>AC30-AC49</f>
        <v>997.67700000000002</v>
      </c>
      <c r="AD51" s="140">
        <f>AD30-AD49</f>
        <v>997.67700000000002</v>
      </c>
      <c r="AE51" s="456"/>
      <c r="AF51" s="140">
        <f>AF30-AF49</f>
        <v>1201.7289999999998</v>
      </c>
      <c r="AG51" s="140">
        <f>AG30-AG49</f>
        <v>1513.3680000000004</v>
      </c>
      <c r="AH51" s="140">
        <f>AH30-AH49</f>
        <v>1513.3680000000004</v>
      </c>
      <c r="AI51" s="456"/>
      <c r="AJ51" s="140">
        <f>AJ30-AJ49</f>
        <v>1485.8389999999995</v>
      </c>
      <c r="AK51" s="140">
        <f>AK30-AK49</f>
        <v>1749.2110000000002</v>
      </c>
      <c r="AL51" s="140">
        <f>AL30-AL49</f>
        <v>1749.2110000000002</v>
      </c>
      <c r="AN51" s="140">
        <f>AN30-AN49</f>
        <v>1863.7930000000001</v>
      </c>
      <c r="AO51" s="140">
        <f>AO30-AO49</f>
        <v>2073.8469999999998</v>
      </c>
      <c r="AP51" s="140">
        <f>AP30-AP49</f>
        <v>2073.8469999999998</v>
      </c>
      <c r="AR51" s="140">
        <f>AR30-AR49</f>
        <v>2062.2339172486745</v>
      </c>
      <c r="AS51" s="140">
        <f>AS30-AS49</f>
        <v>2131.0550689932552</v>
      </c>
      <c r="AT51" s="140">
        <f>AT30-AT49</f>
        <v>2131.0550689932552</v>
      </c>
      <c r="AV51" s="140">
        <f>AV30-AV49</f>
        <v>2111.0643158515286</v>
      </c>
      <c r="AW51" s="140">
        <f>AW30-AW49</f>
        <v>2188.7104339485941</v>
      </c>
      <c r="AX51" s="140">
        <f>AX30-AX49</f>
        <v>2188.7104339485941</v>
      </c>
      <c r="AZ51" s="140">
        <f>AZ30-AZ49</f>
        <v>2168.715356141191</v>
      </c>
      <c r="BA51" s="140">
        <f>BA30-BA49</f>
        <v>2254.1146782734727</v>
      </c>
      <c r="BB51" s="140">
        <f>BB30-BB49</f>
        <v>2254.1146782734727</v>
      </c>
      <c r="BD51" s="140">
        <f>BD30-BD49</f>
        <v>2230.7445339380265</v>
      </c>
      <c r="BE51" s="140">
        <f>BE30-BE49</f>
        <v>2321.0394760529239</v>
      </c>
      <c r="BF51" s="140">
        <f>BF30-BF49</f>
        <v>2321.0394760529239</v>
      </c>
      <c r="BH51" s="140">
        <f>BH30-BH49</f>
        <v>2297.5531182797122</v>
      </c>
      <c r="BI51" s="140">
        <f>BI30-BI49</f>
        <v>2392.9814881089696</v>
      </c>
      <c r="BJ51" s="140">
        <f>BJ30-BJ49</f>
        <v>2392.9814881089696</v>
      </c>
      <c r="BL51" s="140">
        <f>BL30-BL49</f>
        <v>2369.3773331668071</v>
      </c>
      <c r="BM51" s="140">
        <f>BM30-BM49</f>
        <v>2470.1887580564307</v>
      </c>
      <c r="BN51" s="140">
        <f>BN30-BN49</f>
        <v>2470.1887580564307</v>
      </c>
      <c r="BP51" s="140">
        <f>BP30-BP49</f>
        <v>2446.465272665906</v>
      </c>
      <c r="BQ51" s="140">
        <f>BQ30-BQ49</f>
        <v>2552.9217956192574</v>
      </c>
      <c r="BR51" s="140">
        <f>BR30-BR49</f>
        <v>2552.9217956192574</v>
      </c>
      <c r="BT51" s="140">
        <f>BT30-BT49</f>
        <v>2529.0775049985332</v>
      </c>
      <c r="BU51" s="140">
        <f>BU30-BU49</f>
        <v>2641.4542110941647</v>
      </c>
      <c r="BV51" s="140">
        <f>BV30-BV49</f>
        <v>2641.4542110941647</v>
      </c>
      <c r="BX51" s="140">
        <f>BX30-BX49</f>
        <v>2617.4877076863968</v>
      </c>
      <c r="BY51" s="140">
        <f>BY30-BY49</f>
        <v>2736.0733824322369</v>
      </c>
      <c r="BZ51" s="140">
        <f>BZ30-BZ49</f>
        <v>2736.0733824322369</v>
      </c>
    </row>
    <row r="52" spans="1:78" s="140" customFormat="1">
      <c r="A52" s="149"/>
      <c r="B52" s="159" t="s">
        <v>136</v>
      </c>
      <c r="C52" s="155" t="s">
        <v>406</v>
      </c>
      <c r="D52" s="140">
        <f>D51</f>
        <v>337.46600000000001</v>
      </c>
      <c r="E52" s="140">
        <f>E51</f>
        <v>351.23500000000013</v>
      </c>
      <c r="F52" s="140">
        <f>F51</f>
        <v>351.23500000000013</v>
      </c>
      <c r="H52" s="140">
        <f>H51</f>
        <v>354.35399999999993</v>
      </c>
      <c r="I52" s="140">
        <f>I51</f>
        <v>345.78100000000001</v>
      </c>
      <c r="J52" s="140">
        <f>J51</f>
        <v>345.78100000000001</v>
      </c>
      <c r="L52" s="140">
        <f>L51</f>
        <v>372.08299999999991</v>
      </c>
      <c r="M52" s="140">
        <f>M51</f>
        <v>357.23</v>
      </c>
      <c r="N52" s="140">
        <f>N51</f>
        <v>357.23</v>
      </c>
      <c r="P52" s="140">
        <f>P51</f>
        <v>474.45099999999991</v>
      </c>
      <c r="Q52" s="140">
        <f>Q51</f>
        <v>483.39800000000008</v>
      </c>
      <c r="R52" s="140">
        <f>R51</f>
        <v>483.39800000000008</v>
      </c>
      <c r="T52" s="140">
        <f>T51</f>
        <v>475.096</v>
      </c>
      <c r="U52" s="140">
        <f>U51</f>
        <v>490.41799999999978</v>
      </c>
      <c r="V52" s="140">
        <f>V51</f>
        <v>490.41799999999978</v>
      </c>
      <c r="X52" s="140">
        <f>X51</f>
        <v>555.34300000000007</v>
      </c>
      <c r="Y52" s="140">
        <f>Y51</f>
        <v>598.28699999999992</v>
      </c>
      <c r="Z52" s="140">
        <f>Z51</f>
        <v>598.28699999999992</v>
      </c>
      <c r="AB52" s="140">
        <f>AB51</f>
        <v>614.35299999999984</v>
      </c>
      <c r="AC52" s="140">
        <f>AC51</f>
        <v>997.67700000000002</v>
      </c>
      <c r="AD52" s="140">
        <f>AD51</f>
        <v>997.67700000000002</v>
      </c>
      <c r="AF52" s="140">
        <f>AF51</f>
        <v>1201.7289999999998</v>
      </c>
      <c r="AG52" s="140">
        <f>AG51</f>
        <v>1513.3680000000004</v>
      </c>
      <c r="AH52" s="140">
        <f>AH51</f>
        <v>1513.3680000000004</v>
      </c>
      <c r="AJ52" s="140">
        <f>AJ51</f>
        <v>1485.8389999999995</v>
      </c>
      <c r="AK52" s="140">
        <f>AK51</f>
        <v>1749.2110000000002</v>
      </c>
      <c r="AL52" s="140">
        <f>AL51</f>
        <v>1749.2110000000002</v>
      </c>
      <c r="AN52" s="140">
        <f>AN51</f>
        <v>1863.7930000000001</v>
      </c>
      <c r="AO52" s="140">
        <f>AO51</f>
        <v>2073.8469999999998</v>
      </c>
      <c r="AP52" s="140">
        <f>AP51</f>
        <v>2073.8469999999998</v>
      </c>
      <c r="AR52" s="140">
        <f>AR51</f>
        <v>2062.2339172486745</v>
      </c>
      <c r="AS52" s="140">
        <f>AS51</f>
        <v>2131.0550689932552</v>
      </c>
      <c r="AT52" s="140">
        <f>AT51</f>
        <v>2131.0550689932552</v>
      </c>
      <c r="AV52" s="140">
        <f>AV51</f>
        <v>2111.0643158515286</v>
      </c>
      <c r="AW52" s="140">
        <f>AW51</f>
        <v>2188.7104339485941</v>
      </c>
      <c r="AX52" s="140">
        <f>AX51</f>
        <v>2188.7104339485941</v>
      </c>
      <c r="AZ52" s="140">
        <f>AZ51</f>
        <v>2168.715356141191</v>
      </c>
      <c r="BA52" s="140">
        <f>BA51</f>
        <v>2254.1146782734727</v>
      </c>
      <c r="BB52" s="140">
        <f>BB51</f>
        <v>2254.1146782734727</v>
      </c>
      <c r="BD52" s="140">
        <f>BD51</f>
        <v>2230.7445339380265</v>
      </c>
      <c r="BE52" s="140">
        <f>BE51</f>
        <v>2321.0394760529239</v>
      </c>
      <c r="BF52" s="140">
        <f>BF51</f>
        <v>2321.0394760529239</v>
      </c>
      <c r="BH52" s="140">
        <f>BH51</f>
        <v>2297.5531182797122</v>
      </c>
      <c r="BI52" s="140">
        <f>BI51</f>
        <v>2392.9814881089696</v>
      </c>
      <c r="BJ52" s="140">
        <f>BJ51</f>
        <v>2392.9814881089696</v>
      </c>
      <c r="BL52" s="140">
        <f>BL51</f>
        <v>2369.3773331668071</v>
      </c>
      <c r="BM52" s="140">
        <f>BM51</f>
        <v>2470.1887580564307</v>
      </c>
      <c r="BN52" s="140">
        <f>BN51</f>
        <v>2470.1887580564307</v>
      </c>
      <c r="BP52" s="140">
        <f>BP51</f>
        <v>2446.465272665906</v>
      </c>
      <c r="BQ52" s="140">
        <f>BQ51</f>
        <v>2552.9217956192574</v>
      </c>
      <c r="BR52" s="140">
        <f>BR51</f>
        <v>2552.9217956192574</v>
      </c>
      <c r="BT52" s="140">
        <f>BT51</f>
        <v>2529.0775049985332</v>
      </c>
      <c r="BU52" s="140">
        <f>BU51</f>
        <v>2641.4542110941647</v>
      </c>
      <c r="BV52" s="140">
        <f>BV51</f>
        <v>2641.4542110941647</v>
      </c>
      <c r="BX52" s="140">
        <f>BX51</f>
        <v>2617.4877076863968</v>
      </c>
      <c r="BY52" s="140">
        <f>BY51</f>
        <v>2736.0733824322369</v>
      </c>
      <c r="BZ52" s="140">
        <f>BZ51</f>
        <v>2736.0733824322369</v>
      </c>
    </row>
    <row r="53" spans="1:78" s="140" customFormat="1">
      <c r="B53" s="244" t="s">
        <v>107</v>
      </c>
      <c r="C53" s="243"/>
      <c r="D53" s="243">
        <f>+D51-D52</f>
        <v>0</v>
      </c>
      <c r="E53" s="243">
        <f>+E51-E52</f>
        <v>0</v>
      </c>
      <c r="F53" s="243">
        <f>+F51-F52</f>
        <v>0</v>
      </c>
      <c r="G53" s="243"/>
      <c r="H53" s="243">
        <f>+H51-H52</f>
        <v>0</v>
      </c>
      <c r="I53" s="243">
        <f>+I51-I52</f>
        <v>0</v>
      </c>
      <c r="J53" s="243">
        <f>+J51-J52</f>
        <v>0</v>
      </c>
      <c r="K53" s="243"/>
      <c r="L53" s="243">
        <f>+L51-L52</f>
        <v>0</v>
      </c>
      <c r="M53" s="243">
        <f>+M51-M52</f>
        <v>0</v>
      </c>
      <c r="N53" s="243">
        <f>+N51-N52</f>
        <v>0</v>
      </c>
      <c r="O53" s="243"/>
      <c r="P53" s="243">
        <f>+P51-P52</f>
        <v>0</v>
      </c>
      <c r="Q53" s="243">
        <f>+Q51-Q52</f>
        <v>0</v>
      </c>
      <c r="R53" s="243">
        <f>+R51-R52</f>
        <v>0</v>
      </c>
      <c r="S53" s="243"/>
      <c r="T53" s="243">
        <f>+T51-T52</f>
        <v>0</v>
      </c>
      <c r="U53" s="243">
        <f>+U51-U52</f>
        <v>0</v>
      </c>
      <c r="V53" s="243">
        <f>+V51-V52</f>
        <v>0</v>
      </c>
      <c r="W53" s="243"/>
      <c r="X53" s="243">
        <f>+X51-X52</f>
        <v>0</v>
      </c>
      <c r="Y53" s="243">
        <f>+Y51-Y52</f>
        <v>0</v>
      </c>
      <c r="Z53" s="243">
        <f>+Z51-Z52</f>
        <v>0</v>
      </c>
      <c r="AA53" s="243"/>
      <c r="AB53" s="243">
        <f>+AB51-AB52</f>
        <v>0</v>
      </c>
      <c r="AC53" s="243">
        <f>+AC51-AC52</f>
        <v>0</v>
      </c>
      <c r="AD53" s="243">
        <f>+AD51-AD52</f>
        <v>0</v>
      </c>
      <c r="AE53" s="243"/>
      <c r="AF53" s="243">
        <f>+AF51-AF52</f>
        <v>0</v>
      </c>
      <c r="AG53" s="243">
        <f>+AG51-AG52</f>
        <v>0</v>
      </c>
      <c r="AH53" s="243">
        <f>+AH51-AH52</f>
        <v>0</v>
      </c>
      <c r="AI53" s="243"/>
      <c r="AJ53" s="243">
        <f>+AJ51-AJ52</f>
        <v>0</v>
      </c>
      <c r="AK53" s="243">
        <f>+AK51-AK52</f>
        <v>0</v>
      </c>
      <c r="AL53" s="243">
        <f>+AL51-AL52</f>
        <v>0</v>
      </c>
      <c r="AM53" s="243"/>
      <c r="AN53" s="243">
        <f>+AN51-AN52</f>
        <v>0</v>
      </c>
      <c r="AO53" s="243">
        <f>+AO51-AO52</f>
        <v>0</v>
      </c>
      <c r="AP53" s="243">
        <f>+AP51-AP52</f>
        <v>0</v>
      </c>
      <c r="AQ53" s="243"/>
      <c r="AR53" s="243">
        <f>+AR51-AR52</f>
        <v>0</v>
      </c>
      <c r="AS53" s="243">
        <f>+AS51-AS52</f>
        <v>0</v>
      </c>
      <c r="AT53" s="243">
        <f>+AT51-AT52</f>
        <v>0</v>
      </c>
      <c r="AU53" s="243"/>
      <c r="AV53" s="243">
        <f>+AV51-AV52</f>
        <v>0</v>
      </c>
      <c r="AW53" s="243">
        <f>+AW51-AW52</f>
        <v>0</v>
      </c>
      <c r="AX53" s="243">
        <f>+AX51-AX52</f>
        <v>0</v>
      </c>
      <c r="AY53" s="243"/>
      <c r="AZ53" s="243">
        <f>+AZ51-AZ52</f>
        <v>0</v>
      </c>
      <c r="BA53" s="243">
        <f>+BA51-BA52</f>
        <v>0</v>
      </c>
      <c r="BB53" s="243">
        <f>+BB51-BB52</f>
        <v>0</v>
      </c>
      <c r="BC53" s="243"/>
      <c r="BD53" s="243">
        <f>+BD51-BD52</f>
        <v>0</v>
      </c>
      <c r="BE53" s="243">
        <f>+BE51-BE52</f>
        <v>0</v>
      </c>
      <c r="BF53" s="243">
        <f>+BF51-BF52</f>
        <v>0</v>
      </c>
      <c r="BG53" s="243"/>
      <c r="BH53" s="243">
        <f>+BH51-BH52</f>
        <v>0</v>
      </c>
      <c r="BI53" s="243">
        <f>+BI51-BI52</f>
        <v>0</v>
      </c>
      <c r="BJ53" s="243">
        <f>+BJ51-BJ52</f>
        <v>0</v>
      </c>
      <c r="BK53" s="243"/>
      <c r="BL53" s="243">
        <f>+BL51-BL52</f>
        <v>0</v>
      </c>
      <c r="BM53" s="243">
        <f>+BM51-BM52</f>
        <v>0</v>
      </c>
      <c r="BN53" s="243">
        <f>+BN51-BN52</f>
        <v>0</v>
      </c>
      <c r="BO53" s="243"/>
      <c r="BP53" s="243">
        <f>+BP51-BP52</f>
        <v>0</v>
      </c>
      <c r="BQ53" s="243">
        <f>+BQ51-BQ52</f>
        <v>0</v>
      </c>
      <c r="BR53" s="243">
        <f>+BR51-BR52</f>
        <v>0</v>
      </c>
      <c r="BS53" s="243"/>
      <c r="BT53" s="243">
        <f>+BT51-BT52</f>
        <v>0</v>
      </c>
      <c r="BU53" s="243">
        <f>+BU51-BU52</f>
        <v>0</v>
      </c>
      <c r="BV53" s="243">
        <f>+BV51-BV52</f>
        <v>0</v>
      </c>
      <c r="BW53" s="243"/>
      <c r="BX53" s="243">
        <f>+BX51-BX52</f>
        <v>0</v>
      </c>
      <c r="BY53" s="243">
        <f>+BY51-BY52</f>
        <v>0</v>
      </c>
      <c r="BZ53" s="243">
        <f>+BZ51-BZ52</f>
        <v>0</v>
      </c>
    </row>
    <row r="54" spans="1:78">
      <c r="B54" s="160"/>
      <c r="D54" s="132"/>
      <c r="E54" s="132"/>
      <c r="F54" s="132"/>
      <c r="H54" s="132"/>
      <c r="I54" s="132"/>
      <c r="J54" s="132"/>
      <c r="L54" s="132"/>
      <c r="M54" s="132"/>
      <c r="N54" s="132"/>
      <c r="P54" s="132"/>
      <c r="Q54" s="132"/>
      <c r="R54" s="132"/>
      <c r="T54" s="132"/>
      <c r="U54" s="132"/>
      <c r="V54" s="132"/>
      <c r="X54" s="132"/>
      <c r="Y54" s="132"/>
      <c r="Z54" s="132"/>
      <c r="AB54" s="132"/>
      <c r="AC54" s="132"/>
      <c r="AD54" s="132"/>
      <c r="AF54" s="132"/>
      <c r="AG54" s="132"/>
      <c r="AH54" s="132"/>
      <c r="AJ54" s="132"/>
      <c r="AK54" s="132"/>
      <c r="AL54" s="132"/>
      <c r="AN54" s="132"/>
      <c r="AO54" s="132"/>
      <c r="AP54" s="132"/>
      <c r="AR54" s="132"/>
      <c r="AS54" s="132"/>
      <c r="AT54" s="132"/>
      <c r="AV54" s="132"/>
      <c r="AW54" s="132"/>
      <c r="AX54" s="132"/>
      <c r="AZ54" s="132"/>
      <c r="BA54" s="132"/>
      <c r="BB54" s="132"/>
      <c r="BD54" s="132"/>
      <c r="BE54" s="132"/>
      <c r="BF54" s="132"/>
      <c r="BH54" s="132"/>
      <c r="BI54" s="132"/>
      <c r="BJ54" s="132"/>
      <c r="BL54" s="132"/>
      <c r="BM54" s="132"/>
      <c r="BN54" s="132"/>
      <c r="BP54" s="132"/>
      <c r="BQ54" s="132"/>
      <c r="BR54" s="132"/>
      <c r="BT54" s="132"/>
      <c r="BU54" s="132"/>
      <c r="BV54" s="132"/>
      <c r="BX54" s="132"/>
      <c r="BY54" s="132"/>
      <c r="BZ54" s="132"/>
    </row>
    <row r="55" spans="1:78">
      <c r="B55" s="162" t="s">
        <v>253</v>
      </c>
      <c r="D55" s="132"/>
      <c r="E55" s="132"/>
      <c r="F55" s="132"/>
      <c r="H55" s="132"/>
      <c r="I55" s="132"/>
      <c r="J55" s="132"/>
      <c r="L55" s="132"/>
      <c r="M55" s="132"/>
      <c r="N55" s="132"/>
      <c r="P55" s="132"/>
      <c r="Q55" s="132"/>
      <c r="R55" s="132"/>
      <c r="T55" s="132"/>
      <c r="U55" s="132"/>
      <c r="V55" s="132"/>
      <c r="X55" s="132"/>
      <c r="Y55" s="132"/>
      <c r="Z55" s="132"/>
      <c r="AB55" s="132"/>
      <c r="AC55" s="132"/>
      <c r="AD55" s="132"/>
      <c r="AF55" s="132"/>
      <c r="AG55" s="132"/>
      <c r="AH55" s="132"/>
      <c r="AJ55" s="132"/>
      <c r="AK55" s="132"/>
      <c r="AL55" s="132"/>
      <c r="AN55" s="132"/>
      <c r="AO55" s="132"/>
      <c r="AP55" s="132"/>
      <c r="AR55" s="132"/>
      <c r="AS55" s="132"/>
      <c r="AT55" s="132"/>
      <c r="AV55" s="132"/>
      <c r="AW55" s="132"/>
      <c r="AX55" s="132"/>
      <c r="AZ55" s="132"/>
      <c r="BA55" s="132"/>
      <c r="BB55" s="132"/>
      <c r="BD55" s="132"/>
      <c r="BE55" s="132"/>
      <c r="BF55" s="132"/>
      <c r="BH55" s="132"/>
      <c r="BI55" s="132"/>
      <c r="BJ55" s="132"/>
      <c r="BL55" s="132"/>
      <c r="BM55" s="132"/>
      <c r="BN55" s="132"/>
      <c r="BP55" s="132"/>
      <c r="BQ55" s="132"/>
      <c r="BR55" s="132"/>
      <c r="BT55" s="132"/>
      <c r="BU55" s="132"/>
      <c r="BV55" s="132"/>
      <c r="BX55" s="132"/>
      <c r="BY55" s="132"/>
      <c r="BZ55" s="132"/>
    </row>
    <row r="56" spans="1:78">
      <c r="B56" s="160" t="s">
        <v>238</v>
      </c>
      <c r="C56" s="155" t="s">
        <v>406</v>
      </c>
      <c r="D56" s="195">
        <f>'P&amp;L'!D117</f>
        <v>137.53899999999999</v>
      </c>
      <c r="E56" s="195">
        <f>'P&amp;L'!E117</f>
        <v>141.708</v>
      </c>
      <c r="F56" s="195">
        <f>'P&amp;L'!F117</f>
        <v>141.708</v>
      </c>
      <c r="H56" s="195">
        <f>'P&amp;L'!H117</f>
        <v>141.708</v>
      </c>
      <c r="I56" s="195">
        <f>'P&amp;L'!I117</f>
        <v>141.708</v>
      </c>
      <c r="J56" s="195">
        <f>'P&amp;L'!J117</f>
        <v>141.708</v>
      </c>
      <c r="L56" s="195">
        <f>'P&amp;L'!L117</f>
        <v>141.708</v>
      </c>
      <c r="M56" s="195">
        <f>'P&amp;L'!M117</f>
        <v>141.708</v>
      </c>
      <c r="N56" s="195">
        <f>'P&amp;L'!N117</f>
        <v>141.708</v>
      </c>
      <c r="P56" s="195">
        <f>'P&amp;L'!P117</f>
        <v>254.97800000000001</v>
      </c>
      <c r="Q56" s="195">
        <f>'P&amp;L'!Q117</f>
        <v>255.66200000000001</v>
      </c>
      <c r="R56" s="195">
        <f>'P&amp;L'!R117</f>
        <v>255.66200000000001</v>
      </c>
      <c r="T56" s="196">
        <v>258.947</v>
      </c>
      <c r="U56" s="195">
        <f>'P&amp;L'!U117</f>
        <v>258.947</v>
      </c>
      <c r="V56" s="195">
        <f>'P&amp;L'!V117</f>
        <v>258.947</v>
      </c>
      <c r="X56" s="195">
        <f>'P&amp;L'!X117</f>
        <v>266.536</v>
      </c>
      <c r="Y56" s="195">
        <f>'P&amp;L'!Y117</f>
        <v>266.65899999999999</v>
      </c>
      <c r="Z56" s="195">
        <f>'P&amp;L'!Z117</f>
        <v>266.65899999999999</v>
      </c>
      <c r="AB56" s="195">
        <f>'P&amp;L'!AB117</f>
        <v>266.65899999999999</v>
      </c>
      <c r="AC56" s="195">
        <f>'P&amp;L'!AC117</f>
        <v>608.52</v>
      </c>
      <c r="AD56" s="195">
        <f>'P&amp;L'!AD117</f>
        <v>608.52</v>
      </c>
      <c r="AE56" s="455"/>
      <c r="AF56" s="195">
        <f>'P&amp;L'!AF117</f>
        <v>784.06500000000005</v>
      </c>
      <c r="AG56" s="195">
        <f>'P&amp;L'!AG117</f>
        <v>945.68700000000001</v>
      </c>
      <c r="AH56" s="195">
        <f>'P&amp;L'!AH117</f>
        <v>945.68700000000001</v>
      </c>
      <c r="AI56" s="455"/>
      <c r="AJ56" s="195">
        <f>'P&amp;L'!AJ117</f>
        <v>945.68700000000001</v>
      </c>
      <c r="AK56" s="195">
        <f>'P&amp;L'!AK117</f>
        <v>1141.4280000000001</v>
      </c>
      <c r="AL56" s="195">
        <f>'P&amp;L'!AL117</f>
        <v>1141.4280000000001</v>
      </c>
      <c r="AN56" s="195">
        <f>'P&amp;L'!AN117</f>
        <v>1166.2760000000001</v>
      </c>
      <c r="AO56" s="195">
        <f>'P&amp;L'!AO117</f>
        <v>1166.2760000000001</v>
      </c>
      <c r="AP56" s="195">
        <f>'P&amp;L'!AP117</f>
        <v>1166.2760000000001</v>
      </c>
      <c r="AR56" s="195">
        <f>'P&amp;L'!AR117</f>
        <v>1155.8592125</v>
      </c>
      <c r="AS56" s="195">
        <f>'P&amp;L'!AS117</f>
        <v>1145.5132874999999</v>
      </c>
      <c r="AT56" s="195">
        <f>'P&amp;L'!AT117</f>
        <v>1145.5132875000002</v>
      </c>
      <c r="AV56" s="195">
        <f>'P&amp;L'!AV117</f>
        <v>1134.9604440000001</v>
      </c>
      <c r="AW56" s="195">
        <f>'P&amp;L'!AW117</f>
        <v>1124.4076004999999</v>
      </c>
      <c r="AX56" s="195">
        <f>'P&amp;L'!AX117</f>
        <v>1124.4076005000002</v>
      </c>
      <c r="AZ56" s="195">
        <f>'P&amp;L'!AZ117</f>
        <v>1113.6437001300001</v>
      </c>
      <c r="BA56" s="195">
        <f>'P&amp;L'!BA117</f>
        <v>1102.87979976</v>
      </c>
      <c r="BB56" s="195">
        <f>'P&amp;L'!BB117</f>
        <v>1102.8797997600002</v>
      </c>
      <c r="BD56" s="195">
        <f>'P&amp;L'!BD117</f>
        <v>1091.9006213826001</v>
      </c>
      <c r="BE56" s="195">
        <f>'P&amp;L'!BE117</f>
        <v>1080.9214430052</v>
      </c>
      <c r="BF56" s="195">
        <f>'P&amp;L'!BF117</f>
        <v>1080.9214430052002</v>
      </c>
      <c r="BH56" s="195">
        <f>'P&amp;L'!BH117</f>
        <v>1069.7226810602522</v>
      </c>
      <c r="BI56" s="195">
        <f>'P&amp;L'!BI117</f>
        <v>1058.5239191153041</v>
      </c>
      <c r="BJ56" s="195">
        <f>'P&amp;L'!BJ117</f>
        <v>1058.5239191153041</v>
      </c>
      <c r="BL56" s="195">
        <f>'P&amp;L'!BL117</f>
        <v>1047.1011819314572</v>
      </c>
      <c r="BM56" s="195">
        <f>'P&amp;L'!BM117</f>
        <v>1035.6784447476102</v>
      </c>
      <c r="BN56" s="195">
        <f>'P&amp;L'!BN117</f>
        <v>1035.6784447476102</v>
      </c>
      <c r="BP56" s="195">
        <f>'P&amp;L'!BP117</f>
        <v>1024.0272528200862</v>
      </c>
      <c r="BQ56" s="195">
        <f>'P&amp;L'!BQ117</f>
        <v>1012.3760608925624</v>
      </c>
      <c r="BR56" s="195">
        <f>'P&amp;L'!BR117</f>
        <v>1012.3760608925625</v>
      </c>
      <c r="BT56" s="195">
        <f>'P&amp;L'!BT117</f>
        <v>1000.4918451264881</v>
      </c>
      <c r="BU56" s="195">
        <f>'P&amp;L'!BU117</f>
        <v>988.60762936041374</v>
      </c>
      <c r="BV56" s="195">
        <f>'P&amp;L'!BV117</f>
        <v>988.60762936041374</v>
      </c>
      <c r="BX56" s="195">
        <f>'P&amp;L'!BX117</f>
        <v>976.48572927901785</v>
      </c>
      <c r="BY56" s="195">
        <f>'P&amp;L'!BY117</f>
        <v>964.36382919762195</v>
      </c>
      <c r="BZ56" s="195">
        <f>'P&amp;L'!BZ117</f>
        <v>964.36382919762195</v>
      </c>
    </row>
    <row r="57" spans="1:78">
      <c r="B57" s="160" t="s">
        <v>239</v>
      </c>
      <c r="C57" s="155" t="s">
        <v>406</v>
      </c>
      <c r="D57" s="195">
        <f>D241</f>
        <v>135.60300000000001</v>
      </c>
      <c r="E57" s="195">
        <f>E241</f>
        <v>146.53299999999999</v>
      </c>
      <c r="F57" s="195">
        <f>F241</f>
        <v>146.53299999999999</v>
      </c>
      <c r="H57" s="195">
        <f>H241</f>
        <v>141.88999999999999</v>
      </c>
      <c r="I57" s="195">
        <f>I241</f>
        <v>154.57900000000001</v>
      </c>
      <c r="J57" s="195">
        <f>J241</f>
        <v>154.57900000000001</v>
      </c>
      <c r="L57" s="195">
        <f>L241</f>
        <v>158.71799999999999</v>
      </c>
      <c r="M57" s="195">
        <f>M241</f>
        <v>169.02199999999999</v>
      </c>
      <c r="N57" s="195">
        <f>N241</f>
        <v>169.02199999999999</v>
      </c>
      <c r="P57" s="195">
        <f>P241</f>
        <v>163.21799999999999</v>
      </c>
      <c r="Q57" s="195">
        <f>Q241</f>
        <v>171.16800000000001</v>
      </c>
      <c r="R57" s="195">
        <f>R241</f>
        <v>171.16800000000001</v>
      </c>
      <c r="T57" s="196">
        <v>164.50399999999999</v>
      </c>
      <c r="U57" s="195">
        <f>U241</f>
        <v>177.76900000000001</v>
      </c>
      <c r="V57" s="195">
        <f>V241</f>
        <v>177.76900000000001</v>
      </c>
      <c r="X57" s="196">
        <v>176.596</v>
      </c>
      <c r="Y57" s="195">
        <f>Y241</f>
        <v>210.42400000000001</v>
      </c>
      <c r="Z57" s="195">
        <f>Z241</f>
        <v>210.42400000000001</v>
      </c>
      <c r="AB57" s="195">
        <f>AB241</f>
        <v>208.297</v>
      </c>
      <c r="AC57" s="195">
        <f>AC241</f>
        <v>247.27799999999999</v>
      </c>
      <c r="AD57" s="195">
        <f>AD241</f>
        <v>247.27799999999999</v>
      </c>
      <c r="AE57" s="455"/>
      <c r="AF57" s="195">
        <f>+AF241</f>
        <v>205.12200000000001</v>
      </c>
      <c r="AG57" s="195">
        <f>AG241</f>
        <v>258.399</v>
      </c>
      <c r="AH57" s="195">
        <f>AH241</f>
        <v>258.399</v>
      </c>
      <c r="AI57" s="455"/>
      <c r="AJ57" s="195">
        <f>+AJ241</f>
        <v>244.553</v>
      </c>
      <c r="AK57" s="195">
        <f>AK241</f>
        <v>312.84699999999998</v>
      </c>
      <c r="AL57" s="195">
        <f>AL241</f>
        <v>312.84699999999998</v>
      </c>
      <c r="AN57" s="195">
        <f>+AN241</f>
        <v>244.00800000000001</v>
      </c>
      <c r="AO57" s="195">
        <f>AO241</f>
        <v>361.63799999999998</v>
      </c>
      <c r="AP57" s="195">
        <f>AP241</f>
        <v>361.63799999999998</v>
      </c>
      <c r="AR57" s="195">
        <f t="shared" ref="AR57:AT57" si="51">+AR241</f>
        <v>360.44170474867508</v>
      </c>
      <c r="AS57" s="195">
        <f t="shared" si="51"/>
        <v>439.60878149325509</v>
      </c>
      <c r="AT57" s="195">
        <f t="shared" si="51"/>
        <v>439.60878149325515</v>
      </c>
      <c r="AV57" s="195">
        <f t="shared" ref="AV57:AX57" si="52">+AV241</f>
        <v>430.170871851529</v>
      </c>
      <c r="AW57" s="195">
        <f t="shared" si="52"/>
        <v>518.36983344859448</v>
      </c>
      <c r="AX57" s="195">
        <f t="shared" si="52"/>
        <v>518.36983344859448</v>
      </c>
      <c r="AZ57" s="195">
        <f t="shared" ref="AZ57:BB57" si="53">+AZ241</f>
        <v>509.13865601119096</v>
      </c>
      <c r="BA57" s="195">
        <f t="shared" si="53"/>
        <v>605.30187851347205</v>
      </c>
      <c r="BB57" s="195">
        <f t="shared" si="53"/>
        <v>605.30187851347205</v>
      </c>
      <c r="BD57" s="195">
        <f t="shared" ref="BD57:BF57" si="54">+BD241</f>
        <v>592.91091255542688</v>
      </c>
      <c r="BE57" s="195">
        <f t="shared" si="54"/>
        <v>694.18503304772491</v>
      </c>
      <c r="BF57" s="195">
        <f t="shared" si="54"/>
        <v>694.18503304772503</v>
      </c>
      <c r="BH57" s="195">
        <f t="shared" ref="BH57:BJ57" si="55">+BH241</f>
        <v>681.89743721945979</v>
      </c>
      <c r="BI57" s="195">
        <f t="shared" si="55"/>
        <v>788.5245689936653</v>
      </c>
      <c r="BJ57" s="195">
        <f t="shared" si="55"/>
        <v>788.5245689936653</v>
      </c>
      <c r="BL57" s="195">
        <f t="shared" ref="BL57:BN57" si="56">+BL241</f>
        <v>776.34315123535021</v>
      </c>
      <c r="BM57" s="195">
        <f t="shared" si="56"/>
        <v>888.57731330882052</v>
      </c>
      <c r="BN57" s="195">
        <f t="shared" si="56"/>
        <v>888.57731330882052</v>
      </c>
      <c r="BP57" s="195">
        <f t="shared" ref="BP57:BR57" si="57">+BP241</f>
        <v>876.50501984582036</v>
      </c>
      <c r="BQ57" s="195">
        <f t="shared" si="57"/>
        <v>994.6127347266945</v>
      </c>
      <c r="BR57" s="195">
        <f t="shared" si="57"/>
        <v>994.61273472669427</v>
      </c>
      <c r="BT57" s="195">
        <f t="shared" ref="BT57:BV57" si="58">+BT241</f>
        <v>982.65265987204521</v>
      </c>
      <c r="BU57" s="195">
        <f t="shared" si="58"/>
        <v>1106.9135817337508</v>
      </c>
      <c r="BV57" s="195">
        <f t="shared" si="58"/>
        <v>1106.9135817337508</v>
      </c>
      <c r="BX57" s="195">
        <f t="shared" ref="BX57:BZ57" si="59">+BX241</f>
        <v>1095.0689784073786</v>
      </c>
      <c r="BY57" s="195">
        <f t="shared" si="59"/>
        <v>1225.7765532346154</v>
      </c>
      <c r="BZ57" s="195">
        <f t="shared" si="59"/>
        <v>1225.7765532346154</v>
      </c>
    </row>
    <row r="58" spans="1:78">
      <c r="B58" s="160" t="s">
        <v>240</v>
      </c>
      <c r="C58" s="155" t="s">
        <v>406</v>
      </c>
      <c r="D58" s="195">
        <f>D244</f>
        <v>-0.34200000000000003</v>
      </c>
      <c r="E58" s="195">
        <f>E244</f>
        <v>0.248</v>
      </c>
      <c r="F58" s="195">
        <f>F244</f>
        <v>0.248</v>
      </c>
      <c r="H58" s="195">
        <f>H244</f>
        <v>0.317</v>
      </c>
      <c r="I58" s="195">
        <f>I244</f>
        <v>0.21199999999999999</v>
      </c>
      <c r="J58" s="195">
        <f>J244</f>
        <v>0.21199999999999999</v>
      </c>
      <c r="L58" s="195">
        <f>L244</f>
        <v>-0.49099999999999999</v>
      </c>
      <c r="M58" s="195">
        <f>M244</f>
        <v>-0.45900000000000002</v>
      </c>
      <c r="N58" s="195">
        <f>N244</f>
        <v>-0.45900000000000002</v>
      </c>
      <c r="P58" s="195">
        <f>P244</f>
        <v>0.18</v>
      </c>
      <c r="Q58" s="195">
        <f>Q244</f>
        <v>0.372</v>
      </c>
      <c r="R58" s="195">
        <f>R244</f>
        <v>0.372</v>
      </c>
      <c r="T58" s="196">
        <v>0.58699999999999997</v>
      </c>
      <c r="U58" s="195">
        <f>U244</f>
        <v>-1.129</v>
      </c>
      <c r="V58" s="195">
        <f>V244</f>
        <v>-1.129</v>
      </c>
      <c r="X58" s="195">
        <f>X244</f>
        <v>-1.1919999999999999</v>
      </c>
      <c r="Y58" s="195">
        <f>Y244</f>
        <v>-1.5189999999999999</v>
      </c>
      <c r="Z58" s="195">
        <f>Z244</f>
        <v>-1.5189999999999999</v>
      </c>
      <c r="AB58" s="195">
        <f>AB244</f>
        <v>-1.02</v>
      </c>
      <c r="AC58" s="195">
        <f>AC244</f>
        <v>-5.0570000000000004</v>
      </c>
      <c r="AD58" s="195">
        <f>AD244</f>
        <v>-5.0570000000000004</v>
      </c>
      <c r="AF58" s="195">
        <f>AF244</f>
        <v>0.67400000000000004</v>
      </c>
      <c r="AG58" s="195">
        <f>AG244</f>
        <v>57.34</v>
      </c>
      <c r="AH58" s="195">
        <f>AH244</f>
        <v>57.34</v>
      </c>
      <c r="AJ58" s="195">
        <f>AJ244</f>
        <v>41.755000000000003</v>
      </c>
      <c r="AK58" s="195">
        <f>AK244</f>
        <v>51.521000000000001</v>
      </c>
      <c r="AL58" s="195">
        <f>AL244</f>
        <v>51.521000000000001</v>
      </c>
      <c r="AN58" s="195">
        <f>AN244</f>
        <v>112.514</v>
      </c>
      <c r="AO58" s="195">
        <f>AO244</f>
        <v>141.33199999999999</v>
      </c>
      <c r="AP58" s="195">
        <f>AP244</f>
        <v>141.33199999999999</v>
      </c>
      <c r="AR58" s="195">
        <f t="shared" ref="AR58:AT58" si="60">AR244</f>
        <v>141.33199999999999</v>
      </c>
      <c r="AS58" s="195">
        <f t="shared" si="60"/>
        <v>141.33199999999999</v>
      </c>
      <c r="AT58" s="195">
        <f t="shared" si="60"/>
        <v>141.33199999999999</v>
      </c>
      <c r="AV58" s="195">
        <f t="shared" ref="AV58:AX58" si="61">AV244</f>
        <v>141.33199999999999</v>
      </c>
      <c r="AW58" s="195">
        <f t="shared" si="61"/>
        <v>141.33199999999999</v>
      </c>
      <c r="AX58" s="195">
        <f t="shared" si="61"/>
        <v>141.33199999999999</v>
      </c>
      <c r="AZ58" s="195">
        <f t="shared" ref="AZ58:BB58" si="62">AZ244</f>
        <v>141.33199999999999</v>
      </c>
      <c r="BA58" s="195">
        <f t="shared" si="62"/>
        <v>141.33199999999999</v>
      </c>
      <c r="BB58" s="195">
        <f t="shared" si="62"/>
        <v>141.33199999999999</v>
      </c>
      <c r="BD58" s="195">
        <f t="shared" ref="BD58:BF58" si="63">BD244</f>
        <v>141.33199999999999</v>
      </c>
      <c r="BE58" s="195">
        <f t="shared" si="63"/>
        <v>141.33199999999999</v>
      </c>
      <c r="BF58" s="195">
        <f t="shared" si="63"/>
        <v>141.33199999999999</v>
      </c>
      <c r="BH58" s="195">
        <f t="shared" ref="BH58:BJ58" si="64">BH244</f>
        <v>141.33199999999999</v>
      </c>
      <c r="BI58" s="195">
        <f t="shared" si="64"/>
        <v>141.33199999999999</v>
      </c>
      <c r="BJ58" s="195">
        <f t="shared" si="64"/>
        <v>141.33199999999999</v>
      </c>
      <c r="BL58" s="195">
        <f t="shared" ref="BL58:BN58" si="65">BL244</f>
        <v>141.33199999999999</v>
      </c>
      <c r="BM58" s="195">
        <f t="shared" si="65"/>
        <v>141.33199999999999</v>
      </c>
      <c r="BN58" s="195">
        <f t="shared" si="65"/>
        <v>141.33199999999999</v>
      </c>
      <c r="BP58" s="195">
        <f t="shared" ref="BP58:BR58" si="66">BP244</f>
        <v>141.33199999999999</v>
      </c>
      <c r="BQ58" s="195">
        <f t="shared" si="66"/>
        <v>141.33199999999999</v>
      </c>
      <c r="BR58" s="195">
        <f t="shared" si="66"/>
        <v>141.33199999999999</v>
      </c>
      <c r="BT58" s="195">
        <f t="shared" ref="BT58:BV58" si="67">BT244</f>
        <v>141.33199999999999</v>
      </c>
      <c r="BU58" s="195">
        <f t="shared" si="67"/>
        <v>141.33199999999999</v>
      </c>
      <c r="BV58" s="195">
        <f t="shared" si="67"/>
        <v>141.33199999999999</v>
      </c>
      <c r="BX58" s="195">
        <f t="shared" ref="BX58:BZ58" si="68">BX244</f>
        <v>141.33199999999999</v>
      </c>
      <c r="BY58" s="195">
        <f t="shared" si="68"/>
        <v>141.33199999999999</v>
      </c>
      <c r="BZ58" s="195">
        <f t="shared" si="68"/>
        <v>141.33199999999999</v>
      </c>
    </row>
    <row r="59" spans="1:78">
      <c r="B59" s="160" t="s">
        <v>241</v>
      </c>
      <c r="C59" s="155" t="s">
        <v>406</v>
      </c>
      <c r="D59" s="195">
        <f>D247</f>
        <v>0</v>
      </c>
      <c r="E59" s="195">
        <f>E247</f>
        <v>0</v>
      </c>
      <c r="F59" s="195">
        <f>F247</f>
        <v>0</v>
      </c>
      <c r="H59" s="195">
        <f>H247</f>
        <v>0</v>
      </c>
      <c r="I59" s="195">
        <f>I247</f>
        <v>0</v>
      </c>
      <c r="J59" s="195">
        <f>J247</f>
        <v>0</v>
      </c>
      <c r="L59" s="195">
        <f>L247</f>
        <v>0</v>
      </c>
      <c r="M59" s="195">
        <f>M247</f>
        <v>0</v>
      </c>
      <c r="N59" s="195">
        <f>N247</f>
        <v>0</v>
      </c>
      <c r="P59" s="195">
        <f>P247</f>
        <v>0</v>
      </c>
      <c r="Q59" s="195">
        <f>Q247</f>
        <v>0</v>
      </c>
      <c r="R59" s="195">
        <f>R247</f>
        <v>0</v>
      </c>
      <c r="T59" s="195">
        <f>T247</f>
        <v>0</v>
      </c>
      <c r="U59" s="195">
        <f>U247</f>
        <v>0</v>
      </c>
      <c r="V59" s="195">
        <f>V247</f>
        <v>0</v>
      </c>
      <c r="X59" s="195">
        <f>X247</f>
        <v>0</v>
      </c>
      <c r="Y59" s="195">
        <f>Y247</f>
        <v>0.108</v>
      </c>
      <c r="Z59" s="195">
        <f>Z247</f>
        <v>0.108</v>
      </c>
      <c r="AB59" s="195">
        <f>AB247</f>
        <v>0.35799999999999998</v>
      </c>
      <c r="AC59" s="195">
        <f>AC247</f>
        <v>-0.86699999999999999</v>
      </c>
      <c r="AD59" s="195">
        <f>AD247</f>
        <v>-0.86699999999999999</v>
      </c>
      <c r="AF59" s="195">
        <f>+AF247</f>
        <v>17.570999999999998</v>
      </c>
      <c r="AG59" s="195">
        <f>AG247</f>
        <v>5.9449999999999994</v>
      </c>
      <c r="AH59" s="195">
        <f>AH247</f>
        <v>5.9449999999999994</v>
      </c>
      <c r="AJ59" s="195">
        <f>+AJ247</f>
        <v>2.1340000000000003</v>
      </c>
      <c r="AK59" s="195">
        <f>AK247</f>
        <v>-1.455000000000001</v>
      </c>
      <c r="AL59" s="195">
        <f>AL247</f>
        <v>-1.455000000000001</v>
      </c>
      <c r="AN59" s="195">
        <f>+AN247</f>
        <v>-5.7460000000000004</v>
      </c>
      <c r="AO59" s="195">
        <f>AO247</f>
        <v>-0.70800000000000018</v>
      </c>
      <c r="AP59" s="195">
        <f>AP247</f>
        <v>-0.70800000000000018</v>
      </c>
      <c r="AR59" s="195">
        <f t="shared" ref="AR59:AT59" si="69">+AR247</f>
        <v>-0.70800000000000018</v>
      </c>
      <c r="AS59" s="195">
        <f t="shared" si="69"/>
        <v>-0.70800000000000018</v>
      </c>
      <c r="AT59" s="195">
        <f t="shared" si="69"/>
        <v>-0.70800000000000018</v>
      </c>
      <c r="AV59" s="195">
        <f t="shared" ref="AV59:AX59" si="70">+AV247</f>
        <v>-0.70800000000000018</v>
      </c>
      <c r="AW59" s="195">
        <f t="shared" si="70"/>
        <v>-0.70800000000000018</v>
      </c>
      <c r="AX59" s="195">
        <f t="shared" si="70"/>
        <v>-0.70800000000000018</v>
      </c>
      <c r="AZ59" s="195">
        <f t="shared" ref="AZ59:BB59" si="71">+AZ247</f>
        <v>-0.70800000000000018</v>
      </c>
      <c r="BA59" s="195">
        <f t="shared" si="71"/>
        <v>-0.70800000000000018</v>
      </c>
      <c r="BB59" s="195">
        <f t="shared" si="71"/>
        <v>-0.70800000000000018</v>
      </c>
      <c r="BD59" s="195">
        <f t="shared" ref="BD59:BF59" si="72">+BD247</f>
        <v>-0.70800000000000018</v>
      </c>
      <c r="BE59" s="195">
        <f t="shared" si="72"/>
        <v>-0.70800000000000018</v>
      </c>
      <c r="BF59" s="195">
        <f t="shared" si="72"/>
        <v>-0.70800000000000018</v>
      </c>
      <c r="BH59" s="195">
        <f t="shared" ref="BH59:BJ59" si="73">+BH247</f>
        <v>-0.70800000000000018</v>
      </c>
      <c r="BI59" s="195">
        <f t="shared" si="73"/>
        <v>-0.70800000000000018</v>
      </c>
      <c r="BJ59" s="195">
        <f t="shared" si="73"/>
        <v>-0.70800000000000018</v>
      </c>
      <c r="BL59" s="195">
        <f t="shared" ref="BL59:BN59" si="74">+BL247</f>
        <v>-0.70800000000000018</v>
      </c>
      <c r="BM59" s="195">
        <f t="shared" si="74"/>
        <v>-0.70800000000000018</v>
      </c>
      <c r="BN59" s="195">
        <f t="shared" si="74"/>
        <v>-0.70800000000000018</v>
      </c>
      <c r="BP59" s="195">
        <f t="shared" ref="BP59:BR59" si="75">+BP247</f>
        <v>-0.70800000000000018</v>
      </c>
      <c r="BQ59" s="195">
        <f t="shared" si="75"/>
        <v>-0.70800000000000018</v>
      </c>
      <c r="BR59" s="195">
        <f t="shared" si="75"/>
        <v>-0.70800000000000018</v>
      </c>
      <c r="BT59" s="195">
        <f t="shared" ref="BT59:BV59" si="76">+BT247</f>
        <v>-0.70800000000000018</v>
      </c>
      <c r="BU59" s="195">
        <f t="shared" si="76"/>
        <v>-0.70800000000000018</v>
      </c>
      <c r="BV59" s="195">
        <f t="shared" si="76"/>
        <v>-0.70800000000000018</v>
      </c>
      <c r="BX59" s="195">
        <f t="shared" ref="BX59:BZ59" si="77">+BX247</f>
        <v>-0.70800000000000018</v>
      </c>
      <c r="BY59" s="195">
        <f t="shared" si="77"/>
        <v>-0.70800000000000018</v>
      </c>
      <c r="BZ59" s="195">
        <f t="shared" si="77"/>
        <v>-0.70800000000000018</v>
      </c>
    </row>
    <row r="60" spans="1:78">
      <c r="B60" s="160" t="s">
        <v>242</v>
      </c>
      <c r="C60" s="155" t="s">
        <v>406</v>
      </c>
      <c r="D60" s="195">
        <f>D249</f>
        <v>0.45500000000000002</v>
      </c>
      <c r="E60" s="195">
        <f>E249</f>
        <v>0</v>
      </c>
      <c r="F60" s="195">
        <f>F249</f>
        <v>0</v>
      </c>
      <c r="H60" s="195">
        <f>H249</f>
        <v>0</v>
      </c>
      <c r="I60" s="195">
        <f>I249</f>
        <v>-25.875</v>
      </c>
      <c r="J60" s="195">
        <f>J249</f>
        <v>-25.875</v>
      </c>
      <c r="L60" s="195">
        <f>L249</f>
        <v>0.127</v>
      </c>
      <c r="M60" s="195">
        <f>M249</f>
        <v>-26.402999999999999</v>
      </c>
      <c r="N60" s="195">
        <f>N249</f>
        <v>-26.402999999999999</v>
      </c>
      <c r="P60" s="195">
        <f>P249</f>
        <v>-26.672000000000001</v>
      </c>
      <c r="Q60" s="195">
        <f>Q249</f>
        <v>-19.919</v>
      </c>
      <c r="R60" s="195">
        <f>R249</f>
        <v>-19.919</v>
      </c>
      <c r="T60" s="196">
        <v>-19.157</v>
      </c>
      <c r="U60" s="195">
        <f>U249</f>
        <v>-14.778</v>
      </c>
      <c r="V60" s="195">
        <f>V249</f>
        <v>-14.778</v>
      </c>
      <c r="X60" s="195">
        <f>X249</f>
        <v>-19.663</v>
      </c>
      <c r="Y60" s="195">
        <f>Y249</f>
        <v>-7.0570000000000004</v>
      </c>
      <c r="Z60" s="195">
        <f>Z249</f>
        <v>-7.0570000000000004</v>
      </c>
      <c r="AB60" s="195">
        <f>AB249</f>
        <v>-8.0239999999999991</v>
      </c>
      <c r="AC60" s="195">
        <f>AC249</f>
        <v>-8.1609999999999996</v>
      </c>
      <c r="AD60" s="195">
        <f>AD249</f>
        <v>-8.1609999999999996</v>
      </c>
      <c r="AF60" s="195">
        <f>+AF249</f>
        <v>-8.2780000000000005</v>
      </c>
      <c r="AG60" s="195">
        <f>AG249</f>
        <v>-11.781000000000001</v>
      </c>
      <c r="AH60" s="195">
        <f>AH249</f>
        <v>-11.781000000000001</v>
      </c>
      <c r="AJ60" s="195">
        <f>+AJ249</f>
        <v>-10.318</v>
      </c>
      <c r="AK60" s="195">
        <f>AK249</f>
        <v>-10.318</v>
      </c>
      <c r="AL60" s="195">
        <f>AL249</f>
        <v>-10.318</v>
      </c>
      <c r="AN60" s="195">
        <f>+AN249</f>
        <v>-10.318</v>
      </c>
      <c r="AO60" s="195">
        <f>AO249</f>
        <v>-11.303000000000001</v>
      </c>
      <c r="AP60" s="195">
        <f>AP249</f>
        <v>-11.303000000000001</v>
      </c>
      <c r="AR60" s="195">
        <f t="shared" ref="AR60:AT60" si="78">+AR249</f>
        <v>-11.303000000000001</v>
      </c>
      <c r="AS60" s="195">
        <f t="shared" si="78"/>
        <v>-11.303000000000001</v>
      </c>
      <c r="AT60" s="195">
        <f t="shared" si="78"/>
        <v>-11.303000000000001</v>
      </c>
      <c r="AV60" s="195">
        <f t="shared" ref="AV60:AX60" si="79">+AV249</f>
        <v>-11.303000000000001</v>
      </c>
      <c r="AW60" s="195">
        <f t="shared" si="79"/>
        <v>-11.303000000000001</v>
      </c>
      <c r="AX60" s="195">
        <f t="shared" si="79"/>
        <v>-11.303000000000001</v>
      </c>
      <c r="AZ60" s="195">
        <f t="shared" ref="AZ60:BB60" si="80">+AZ249</f>
        <v>-11.303000000000001</v>
      </c>
      <c r="BA60" s="195">
        <f t="shared" si="80"/>
        <v>-11.303000000000001</v>
      </c>
      <c r="BB60" s="195">
        <f t="shared" si="80"/>
        <v>-11.303000000000001</v>
      </c>
      <c r="BD60" s="195">
        <f t="shared" ref="BD60:BF60" si="81">+BD249</f>
        <v>-11.303000000000001</v>
      </c>
      <c r="BE60" s="195">
        <f t="shared" si="81"/>
        <v>-11.303000000000001</v>
      </c>
      <c r="BF60" s="195">
        <f t="shared" si="81"/>
        <v>-11.303000000000001</v>
      </c>
      <c r="BH60" s="195">
        <f t="shared" ref="BH60:BJ60" si="82">+BH249</f>
        <v>-11.303000000000001</v>
      </c>
      <c r="BI60" s="195">
        <f t="shared" si="82"/>
        <v>-11.303000000000001</v>
      </c>
      <c r="BJ60" s="195">
        <f t="shared" si="82"/>
        <v>-11.303000000000001</v>
      </c>
      <c r="BL60" s="195">
        <f t="shared" ref="BL60:BN60" si="83">+BL249</f>
        <v>-11.303000000000001</v>
      </c>
      <c r="BM60" s="195">
        <f t="shared" si="83"/>
        <v>-11.303000000000001</v>
      </c>
      <c r="BN60" s="195">
        <f t="shared" si="83"/>
        <v>-11.303000000000001</v>
      </c>
      <c r="BP60" s="195">
        <f t="shared" ref="BP60:BR60" si="84">+BP249</f>
        <v>-11.303000000000001</v>
      </c>
      <c r="BQ60" s="195">
        <f t="shared" si="84"/>
        <v>-11.303000000000001</v>
      </c>
      <c r="BR60" s="195">
        <f t="shared" si="84"/>
        <v>-11.303000000000001</v>
      </c>
      <c r="BT60" s="195">
        <f t="shared" ref="BT60:BV60" si="85">+BT249</f>
        <v>-11.303000000000001</v>
      </c>
      <c r="BU60" s="195">
        <f t="shared" si="85"/>
        <v>-11.303000000000001</v>
      </c>
      <c r="BV60" s="195">
        <f t="shared" si="85"/>
        <v>-11.303000000000001</v>
      </c>
      <c r="BX60" s="195">
        <f t="shared" ref="BX60:BZ60" si="86">+BX249</f>
        <v>-11.303000000000001</v>
      </c>
      <c r="BY60" s="195">
        <f t="shared" si="86"/>
        <v>-11.303000000000001</v>
      </c>
      <c r="BZ60" s="195">
        <f t="shared" si="86"/>
        <v>-11.303000000000001</v>
      </c>
    </row>
    <row r="61" spans="1:78">
      <c r="B61" s="160" t="s">
        <v>243</v>
      </c>
      <c r="C61" s="155" t="s">
        <v>406</v>
      </c>
      <c r="D61" s="195">
        <f>D251</f>
        <v>6.0289999999999999</v>
      </c>
      <c r="E61" s="195">
        <f>E251</f>
        <v>5.3840000000000003</v>
      </c>
      <c r="F61" s="195">
        <f>F251</f>
        <v>5.3840000000000003</v>
      </c>
      <c r="H61" s="195">
        <f>H251</f>
        <v>5.7320000000000002</v>
      </c>
      <c r="I61" s="195">
        <f>I251</f>
        <v>6.09</v>
      </c>
      <c r="J61" s="195">
        <f>J251</f>
        <v>6.09</v>
      </c>
      <c r="L61" s="195">
        <f>L251</f>
        <v>6.6029999999999998</v>
      </c>
      <c r="M61" s="195">
        <f>M251</f>
        <v>6.8609999999999998</v>
      </c>
      <c r="N61" s="195">
        <f>N251</f>
        <v>6.8609999999999998</v>
      </c>
      <c r="P61" s="195">
        <f>P251</f>
        <v>7.1989999999999998</v>
      </c>
      <c r="Q61" s="195">
        <f>Q251</f>
        <v>7.82</v>
      </c>
      <c r="R61" s="195">
        <f>R251</f>
        <v>7.82</v>
      </c>
      <c r="T61" s="196">
        <v>8.282</v>
      </c>
      <c r="U61" s="195">
        <f>U251</f>
        <v>8.4689999999999994</v>
      </c>
      <c r="V61" s="195">
        <f>V251</f>
        <v>8.4689999999999994</v>
      </c>
      <c r="X61" s="195">
        <f>X251</f>
        <v>9.3710000000000004</v>
      </c>
      <c r="Y61" s="195">
        <f>Y251</f>
        <v>10.138999999999999</v>
      </c>
      <c r="Z61" s="195">
        <f>Z251</f>
        <v>10.138999999999999</v>
      </c>
      <c r="AB61" s="195">
        <f>AB251</f>
        <v>12.128</v>
      </c>
      <c r="AC61" s="195">
        <f>AC251</f>
        <v>12.781000000000001</v>
      </c>
      <c r="AD61" s="195">
        <f>AD251</f>
        <v>12.781000000000001</v>
      </c>
      <c r="AF61" s="195">
        <f>+AF251</f>
        <v>16.175000000000001</v>
      </c>
      <c r="AG61" s="195">
        <f>AG251</f>
        <v>24.263000000000002</v>
      </c>
      <c r="AH61" s="195">
        <f>AH251</f>
        <v>24.263000000000002</v>
      </c>
      <c r="AJ61" s="195">
        <f>+AJ251</f>
        <v>28.867999999999999</v>
      </c>
      <c r="AK61" s="195">
        <f>AK251</f>
        <v>18.297000000000001</v>
      </c>
      <c r="AL61" s="195">
        <f>AL251</f>
        <v>18.297000000000001</v>
      </c>
      <c r="AN61" s="195">
        <f>+AN251</f>
        <v>23.145</v>
      </c>
      <c r="AO61" s="195">
        <f>AO251</f>
        <v>34.533999999999999</v>
      </c>
      <c r="AP61" s="195">
        <f>AP251</f>
        <v>34.533999999999999</v>
      </c>
      <c r="AR61" s="195">
        <f t="shared" ref="AR61:AT61" si="87">+AR251</f>
        <v>34.533999999999999</v>
      </c>
      <c r="AS61" s="195">
        <f t="shared" si="87"/>
        <v>34.533999999999999</v>
      </c>
      <c r="AT61" s="195">
        <f t="shared" si="87"/>
        <v>34.533999999999999</v>
      </c>
      <c r="AV61" s="195">
        <f t="shared" ref="AV61:AX61" si="88">+AV251</f>
        <v>34.533999999999999</v>
      </c>
      <c r="AW61" s="195">
        <f t="shared" si="88"/>
        <v>34.533999999999999</v>
      </c>
      <c r="AX61" s="195">
        <f t="shared" si="88"/>
        <v>34.533999999999999</v>
      </c>
      <c r="AZ61" s="195">
        <f t="shared" ref="AZ61:BB61" si="89">+AZ251</f>
        <v>34.533999999999999</v>
      </c>
      <c r="BA61" s="195">
        <f t="shared" si="89"/>
        <v>34.533999999999999</v>
      </c>
      <c r="BB61" s="195">
        <f t="shared" si="89"/>
        <v>34.533999999999999</v>
      </c>
      <c r="BD61" s="195">
        <f t="shared" ref="BD61:BF61" si="90">+BD251</f>
        <v>34.533999999999999</v>
      </c>
      <c r="BE61" s="195">
        <f t="shared" si="90"/>
        <v>34.533999999999999</v>
      </c>
      <c r="BF61" s="195">
        <f t="shared" si="90"/>
        <v>34.533999999999999</v>
      </c>
      <c r="BH61" s="195">
        <f t="shared" ref="BH61:BJ61" si="91">+BH251</f>
        <v>34.533999999999999</v>
      </c>
      <c r="BI61" s="195">
        <f t="shared" si="91"/>
        <v>34.533999999999999</v>
      </c>
      <c r="BJ61" s="195">
        <f t="shared" si="91"/>
        <v>34.533999999999999</v>
      </c>
      <c r="BL61" s="195">
        <f t="shared" ref="BL61:BN61" si="92">+BL251</f>
        <v>34.533999999999999</v>
      </c>
      <c r="BM61" s="195">
        <f t="shared" si="92"/>
        <v>34.533999999999999</v>
      </c>
      <c r="BN61" s="195">
        <f t="shared" si="92"/>
        <v>34.533999999999999</v>
      </c>
      <c r="BP61" s="195">
        <f t="shared" ref="BP61:BR61" si="93">+BP251</f>
        <v>34.533999999999999</v>
      </c>
      <c r="BQ61" s="195">
        <f t="shared" si="93"/>
        <v>34.533999999999999</v>
      </c>
      <c r="BR61" s="195">
        <f t="shared" si="93"/>
        <v>34.533999999999999</v>
      </c>
      <c r="BT61" s="195">
        <f t="shared" ref="BT61:BV61" si="94">+BT251</f>
        <v>34.533999999999999</v>
      </c>
      <c r="BU61" s="195">
        <f t="shared" si="94"/>
        <v>34.533999999999999</v>
      </c>
      <c r="BV61" s="195">
        <f t="shared" si="94"/>
        <v>34.533999999999999</v>
      </c>
      <c r="BX61" s="195">
        <f t="shared" ref="BX61:BZ61" si="95">+BX251</f>
        <v>34.533999999999999</v>
      </c>
      <c r="BY61" s="195">
        <f t="shared" si="95"/>
        <v>34.533999999999999</v>
      </c>
      <c r="BZ61" s="195">
        <f t="shared" si="95"/>
        <v>34.533999999999999</v>
      </c>
    </row>
    <row r="62" spans="1:78" s="267" customFormat="1">
      <c r="A62" s="132"/>
      <c r="B62" s="265" t="s">
        <v>244</v>
      </c>
      <c r="C62" s="155" t="s">
        <v>406</v>
      </c>
      <c r="D62" s="252">
        <f>SUM(D56:D61)</f>
        <v>279.28399999999999</v>
      </c>
      <c r="E62" s="252">
        <f>SUM(E56:E61)</f>
        <v>293.87299999999999</v>
      </c>
      <c r="F62" s="252">
        <f>SUM(F56:F61)</f>
        <v>293.87299999999999</v>
      </c>
      <c r="H62" s="252">
        <f>SUM(H56:H61)</f>
        <v>289.64699999999999</v>
      </c>
      <c r="I62" s="252">
        <f>SUM(I56:I61)</f>
        <v>276.714</v>
      </c>
      <c r="J62" s="252">
        <f>SUM(J56:J61)</f>
        <v>276.714</v>
      </c>
      <c r="L62" s="252">
        <f>SUM(L56:L61)</f>
        <v>306.66500000000002</v>
      </c>
      <c r="M62" s="252">
        <f>SUM(M56:M61)</f>
        <v>290.72899999999998</v>
      </c>
      <c r="N62" s="252">
        <f>SUM(N56:N61)</f>
        <v>290.72899999999998</v>
      </c>
      <c r="P62" s="252">
        <f>SUM(P56:P61)</f>
        <v>398.90300000000002</v>
      </c>
      <c r="Q62" s="252">
        <f>SUM(Q56:Q61)</f>
        <v>415.10300000000007</v>
      </c>
      <c r="R62" s="252">
        <f>SUM(R56:R61)</f>
        <v>415.10300000000007</v>
      </c>
      <c r="T62" s="252">
        <f>SUM(T56:T61)</f>
        <v>413.16300000000001</v>
      </c>
      <c r="U62" s="252">
        <f>SUM(U56:U61)</f>
        <v>429.27799999999996</v>
      </c>
      <c r="V62" s="252">
        <f>SUM(V56:V61)</f>
        <v>429.27799999999996</v>
      </c>
      <c r="X62" s="252">
        <f>SUM(X56:X61)</f>
        <v>431.64799999999997</v>
      </c>
      <c r="Y62" s="252">
        <f>SUM(Y56:Y61)</f>
        <v>478.75399999999996</v>
      </c>
      <c r="Z62" s="252">
        <f>SUM(Z56:Z61)</f>
        <v>478.75399999999996</v>
      </c>
      <c r="AB62" s="252">
        <f>SUM(AB56:AB61)</f>
        <v>478.39800000000002</v>
      </c>
      <c r="AC62" s="252">
        <f>SUM(AC56:AC61)</f>
        <v>854.49400000000003</v>
      </c>
      <c r="AD62" s="252">
        <f>SUM(AD56:AD61)</f>
        <v>854.49400000000003</v>
      </c>
      <c r="AE62" s="455"/>
      <c r="AF62" s="252">
        <f>SUM(AF56:AF61)</f>
        <v>1015.3290000000001</v>
      </c>
      <c r="AG62" s="252">
        <f>SUM(AG56:AG61)</f>
        <v>1279.8529999999998</v>
      </c>
      <c r="AH62" s="252">
        <f>SUM(AH56:AH61)</f>
        <v>1279.8529999999998</v>
      </c>
      <c r="AI62" s="455"/>
      <c r="AJ62" s="252">
        <f>SUM(AJ56:AJ61)</f>
        <v>1252.6790000000001</v>
      </c>
      <c r="AK62" s="252">
        <f>SUM(AK56:AK61)</f>
        <v>1512.3200000000002</v>
      </c>
      <c r="AL62" s="252">
        <f>SUM(AL56:AL61)</f>
        <v>1512.3200000000002</v>
      </c>
      <c r="AN62" s="252">
        <f>SUM(AN56:AN61)</f>
        <v>1529.8789999999999</v>
      </c>
      <c r="AO62" s="252">
        <f>SUM(AO56:AO61)</f>
        <v>1691.769</v>
      </c>
      <c r="AP62" s="252">
        <f>SUM(AP56:AP61)</f>
        <v>1691.769</v>
      </c>
      <c r="AR62" s="252">
        <f t="shared" ref="AR62:AT62" si="96">SUM(AR56:AR61)</f>
        <v>1680.1559172486748</v>
      </c>
      <c r="AS62" s="252">
        <f t="shared" si="96"/>
        <v>1748.977068993255</v>
      </c>
      <c r="AT62" s="252">
        <f t="shared" si="96"/>
        <v>1748.977068993255</v>
      </c>
      <c r="AV62" s="252">
        <f t="shared" ref="AV62:AX62" si="97">SUM(AV56:AV61)</f>
        <v>1728.9863158515288</v>
      </c>
      <c r="AW62" s="252">
        <f t="shared" si="97"/>
        <v>1806.6324339485943</v>
      </c>
      <c r="AX62" s="252">
        <f t="shared" si="97"/>
        <v>1806.6324339485943</v>
      </c>
      <c r="AZ62" s="252">
        <f t="shared" ref="AZ62:BB62" si="98">SUM(AZ56:AZ61)</f>
        <v>1786.6373561411908</v>
      </c>
      <c r="BA62" s="252">
        <f t="shared" si="98"/>
        <v>1872.036678273472</v>
      </c>
      <c r="BB62" s="252">
        <f t="shared" si="98"/>
        <v>1872.036678273472</v>
      </c>
      <c r="BD62" s="252">
        <f t="shared" ref="BD62:BF62" si="99">SUM(BD56:BD61)</f>
        <v>1848.6665339380268</v>
      </c>
      <c r="BE62" s="252">
        <f t="shared" si="99"/>
        <v>1938.9614760529246</v>
      </c>
      <c r="BF62" s="252">
        <f t="shared" si="99"/>
        <v>1938.961476052925</v>
      </c>
      <c r="BH62" s="252">
        <f t="shared" ref="BH62:BJ62" si="100">SUM(BH56:BH61)</f>
        <v>1915.475118279712</v>
      </c>
      <c r="BI62" s="252">
        <f t="shared" si="100"/>
        <v>2010.9034881089694</v>
      </c>
      <c r="BJ62" s="252">
        <f t="shared" si="100"/>
        <v>2010.9034881089694</v>
      </c>
      <c r="BL62" s="252">
        <f t="shared" ref="BL62:BN62" si="101">SUM(BL56:BL61)</f>
        <v>1987.2993331668074</v>
      </c>
      <c r="BM62" s="252">
        <f t="shared" si="101"/>
        <v>2088.1107580564308</v>
      </c>
      <c r="BN62" s="252">
        <f t="shared" si="101"/>
        <v>2088.1107580564308</v>
      </c>
      <c r="BP62" s="252">
        <f t="shared" ref="BP62:BR62" si="102">SUM(BP56:BP61)</f>
        <v>2064.387272665906</v>
      </c>
      <c r="BQ62" s="252">
        <f t="shared" si="102"/>
        <v>2170.843795619257</v>
      </c>
      <c r="BR62" s="252">
        <f t="shared" si="102"/>
        <v>2170.843795619257</v>
      </c>
      <c r="BT62" s="252">
        <f t="shared" ref="BT62:BV62" si="103">SUM(BT56:BT61)</f>
        <v>2146.9995049985332</v>
      </c>
      <c r="BU62" s="252">
        <f t="shared" si="103"/>
        <v>2259.3762110941648</v>
      </c>
      <c r="BV62" s="252">
        <f t="shared" si="103"/>
        <v>2259.3762110941648</v>
      </c>
      <c r="BX62" s="252">
        <f t="shared" ref="BX62:BZ62" si="104">SUM(BX56:BX61)</f>
        <v>2235.4097076863964</v>
      </c>
      <c r="BY62" s="252">
        <f t="shared" si="104"/>
        <v>2353.9953824322374</v>
      </c>
      <c r="BZ62" s="252">
        <f t="shared" si="104"/>
        <v>2353.9953824322374</v>
      </c>
    </row>
    <row r="63" spans="1:78" s="267" customFormat="1">
      <c r="A63" s="132"/>
      <c r="B63" s="160" t="s">
        <v>163</v>
      </c>
      <c r="C63" s="155" t="s">
        <v>406</v>
      </c>
      <c r="D63" s="195">
        <f>D254</f>
        <v>58.182000000000002</v>
      </c>
      <c r="E63" s="195">
        <f>E254</f>
        <v>56.991999999999997</v>
      </c>
      <c r="F63" s="195">
        <f>F254</f>
        <v>56.991999999999997</v>
      </c>
      <c r="H63" s="195">
        <f>H254</f>
        <v>64.423000000000002</v>
      </c>
      <c r="I63" s="195">
        <f>I254</f>
        <v>68.867999999999995</v>
      </c>
      <c r="J63" s="195">
        <f>J254</f>
        <v>68.867999999999995</v>
      </c>
      <c r="L63" s="195">
        <f>L254</f>
        <v>66.018000000000001</v>
      </c>
      <c r="M63" s="195">
        <f>M254</f>
        <v>66.501000000000005</v>
      </c>
      <c r="N63" s="195">
        <f>N254</f>
        <v>66.501000000000005</v>
      </c>
      <c r="P63" s="195">
        <f>P254</f>
        <v>75.548000000000002</v>
      </c>
      <c r="Q63" s="195">
        <f>Q254</f>
        <v>68.295000000000002</v>
      </c>
      <c r="R63" s="195">
        <f>R254</f>
        <v>68.295000000000002</v>
      </c>
      <c r="T63" s="195">
        <v>61.933</v>
      </c>
      <c r="U63" s="195">
        <f>U254</f>
        <v>61.14</v>
      </c>
      <c r="V63" s="195">
        <f>V254</f>
        <v>61.14</v>
      </c>
      <c r="X63" s="195">
        <f>X254</f>
        <v>123.69499999999999</v>
      </c>
      <c r="Y63" s="195">
        <f>Y254</f>
        <v>119.533</v>
      </c>
      <c r="Z63" s="195">
        <f>Z254</f>
        <v>119.533</v>
      </c>
      <c r="AB63" s="195">
        <f>AB254</f>
        <v>135.95500000000001</v>
      </c>
      <c r="AC63" s="195">
        <f>AC254</f>
        <v>143.18299999999999</v>
      </c>
      <c r="AD63" s="195">
        <f>AD254</f>
        <v>143.18299999999999</v>
      </c>
      <c r="AF63" s="195">
        <f>+AF254</f>
        <v>186.4</v>
      </c>
      <c r="AG63" s="195">
        <f>AG254</f>
        <v>233.51499999999999</v>
      </c>
      <c r="AH63" s="195">
        <f>AH254</f>
        <v>233.51499999999999</v>
      </c>
      <c r="AJ63" s="195">
        <f>+AJ254</f>
        <v>233.16</v>
      </c>
      <c r="AK63" s="195">
        <f>AK254</f>
        <v>236.89099999999999</v>
      </c>
      <c r="AL63" s="195">
        <f>AL254</f>
        <v>236.89099999999999</v>
      </c>
      <c r="AN63" s="195">
        <f>+AN254</f>
        <v>333.91399999999999</v>
      </c>
      <c r="AO63" s="195">
        <f>AO254</f>
        <v>382.07799999999997</v>
      </c>
      <c r="AP63" s="195">
        <f>AP254</f>
        <v>382.07799999999997</v>
      </c>
      <c r="AR63" s="195">
        <f t="shared" ref="AR63:AT63" si="105">+AR254</f>
        <v>382.07799999999997</v>
      </c>
      <c r="AS63" s="195">
        <f t="shared" si="105"/>
        <v>382.07799999999997</v>
      </c>
      <c r="AT63" s="195">
        <f t="shared" si="105"/>
        <v>382.07799999999997</v>
      </c>
      <c r="AV63" s="195">
        <f t="shared" ref="AV63:AX63" si="106">+AV254</f>
        <v>382.07799999999997</v>
      </c>
      <c r="AW63" s="195">
        <f t="shared" si="106"/>
        <v>382.07799999999997</v>
      </c>
      <c r="AX63" s="195">
        <f t="shared" si="106"/>
        <v>382.07799999999997</v>
      </c>
      <c r="AZ63" s="195">
        <f t="shared" ref="AZ63:BB63" si="107">+AZ254</f>
        <v>382.07799999999997</v>
      </c>
      <c r="BA63" s="195">
        <f t="shared" si="107"/>
        <v>382.07799999999997</v>
      </c>
      <c r="BB63" s="195">
        <f t="shared" si="107"/>
        <v>382.07799999999997</v>
      </c>
      <c r="BD63" s="195">
        <f t="shared" ref="BD63:BF63" si="108">+BD254</f>
        <v>382.07799999999997</v>
      </c>
      <c r="BE63" s="195">
        <f t="shared" si="108"/>
        <v>382.07799999999997</v>
      </c>
      <c r="BF63" s="195">
        <f t="shared" si="108"/>
        <v>382.07799999999997</v>
      </c>
      <c r="BH63" s="195">
        <f t="shared" ref="BH63:BJ63" si="109">+BH254</f>
        <v>382.07799999999997</v>
      </c>
      <c r="BI63" s="195">
        <f t="shared" si="109"/>
        <v>382.07799999999997</v>
      </c>
      <c r="BJ63" s="195">
        <f t="shared" si="109"/>
        <v>382.07799999999997</v>
      </c>
      <c r="BL63" s="195">
        <f t="shared" ref="BL63:BN63" si="110">+BL254</f>
        <v>382.07799999999997</v>
      </c>
      <c r="BM63" s="195">
        <f t="shared" si="110"/>
        <v>382.07799999999997</v>
      </c>
      <c r="BN63" s="195">
        <f t="shared" si="110"/>
        <v>382.07799999999997</v>
      </c>
      <c r="BP63" s="195">
        <f t="shared" ref="BP63:BR63" si="111">+BP254</f>
        <v>382.07799999999997</v>
      </c>
      <c r="BQ63" s="195">
        <f t="shared" si="111"/>
        <v>382.07799999999997</v>
      </c>
      <c r="BR63" s="195">
        <f t="shared" si="111"/>
        <v>382.07799999999997</v>
      </c>
      <c r="BT63" s="195">
        <f t="shared" ref="BT63:BV63" si="112">+BT254</f>
        <v>382.07799999999997</v>
      </c>
      <c r="BU63" s="195">
        <f t="shared" si="112"/>
        <v>382.07799999999997</v>
      </c>
      <c r="BV63" s="195">
        <f t="shared" si="112"/>
        <v>382.07799999999997</v>
      </c>
      <c r="BX63" s="195">
        <f t="shared" ref="BX63:BZ63" si="113">+BX254</f>
        <v>382.07799999999997</v>
      </c>
      <c r="BY63" s="195">
        <f t="shared" si="113"/>
        <v>382.07799999999997</v>
      </c>
      <c r="BZ63" s="195">
        <f t="shared" si="113"/>
        <v>382.07799999999997</v>
      </c>
    </row>
    <row r="64" spans="1:78" s="140" customFormat="1">
      <c r="A64" s="149"/>
      <c r="B64" s="159" t="s">
        <v>16</v>
      </c>
      <c r="C64" s="155" t="s">
        <v>406</v>
      </c>
      <c r="D64" s="140">
        <f>SUM(D62:D63)</f>
        <v>337.46600000000001</v>
      </c>
      <c r="E64" s="140">
        <f>SUM(E62:E63)</f>
        <v>350.86500000000001</v>
      </c>
      <c r="F64" s="140">
        <f>SUM(F62:F63)</f>
        <v>350.86500000000001</v>
      </c>
      <c r="H64" s="140">
        <f>SUM(H62:H63)</f>
        <v>354.07</v>
      </c>
      <c r="I64" s="140">
        <f>SUM(I62:I63)</f>
        <v>345.58199999999999</v>
      </c>
      <c r="J64" s="140">
        <f>SUM(J62:J63)</f>
        <v>345.58199999999999</v>
      </c>
      <c r="L64" s="140">
        <f>SUM(L62:L63)</f>
        <v>372.68299999999999</v>
      </c>
      <c r="M64" s="140">
        <f>SUM(M62:M63)</f>
        <v>357.23</v>
      </c>
      <c r="N64" s="140">
        <f>SUM(N62:N63)</f>
        <v>357.23</v>
      </c>
      <c r="P64" s="140">
        <f>SUM(P62:P63)</f>
        <v>474.45100000000002</v>
      </c>
      <c r="Q64" s="140">
        <f>SUM(Q62:Q63)</f>
        <v>483.39800000000008</v>
      </c>
      <c r="R64" s="140">
        <f>SUM(R62:R63)</f>
        <v>483.39800000000008</v>
      </c>
      <c r="T64" s="140">
        <f>SUM(T62:T63)</f>
        <v>475.096</v>
      </c>
      <c r="U64" s="140">
        <f>SUM(U62:U63)</f>
        <v>490.41799999999995</v>
      </c>
      <c r="V64" s="140">
        <f>SUM(V62:V63)</f>
        <v>490.41799999999995</v>
      </c>
      <c r="X64" s="140">
        <f>SUM(X62:X63)</f>
        <v>555.34299999999996</v>
      </c>
      <c r="Y64" s="140">
        <f>SUM(Y62:Y63)</f>
        <v>598.28699999999992</v>
      </c>
      <c r="Z64" s="140">
        <f>SUM(Z62:Z63)</f>
        <v>598.28699999999992</v>
      </c>
      <c r="AB64" s="140">
        <f>SUM(AB62:AB63)</f>
        <v>614.35300000000007</v>
      </c>
      <c r="AC64" s="140">
        <f>SUM(AC62:AC63)</f>
        <v>997.67700000000002</v>
      </c>
      <c r="AD64" s="140">
        <f>SUM(AD62:AD63)</f>
        <v>997.67700000000002</v>
      </c>
      <c r="AF64" s="140">
        <f>SUM(AF62:AF63)</f>
        <v>1201.729</v>
      </c>
      <c r="AG64" s="140">
        <f>SUM(AG62:AG63)</f>
        <v>1513.3679999999999</v>
      </c>
      <c r="AH64" s="140">
        <f>SUM(AH62:AH63)</f>
        <v>1513.3679999999999</v>
      </c>
      <c r="AJ64" s="140">
        <f>SUM(AJ62:AJ63)</f>
        <v>1485.8390000000002</v>
      </c>
      <c r="AK64" s="140">
        <f>SUM(AK62:AK63)</f>
        <v>1749.2110000000002</v>
      </c>
      <c r="AL64" s="140">
        <f>SUM(AL62:AL63)</f>
        <v>1749.2110000000002</v>
      </c>
      <c r="AN64" s="140">
        <f>SUM(AN62:AN63)</f>
        <v>1863.7929999999999</v>
      </c>
      <c r="AO64" s="140">
        <f>SUM(AO62:AO63)</f>
        <v>2073.8469999999998</v>
      </c>
      <c r="AP64" s="140">
        <f>SUM(AP62:AP63)</f>
        <v>2073.8469999999998</v>
      </c>
      <c r="AR64" s="140">
        <f t="shared" ref="AR64:AT64" si="114">SUM(AR62:AR63)</f>
        <v>2062.2339172486745</v>
      </c>
      <c r="AS64" s="140">
        <f t="shared" si="114"/>
        <v>2131.0550689932552</v>
      </c>
      <c r="AT64" s="140">
        <f t="shared" si="114"/>
        <v>2131.0550689932552</v>
      </c>
      <c r="AV64" s="140">
        <f t="shared" ref="AV64:AX64" si="115">SUM(AV62:AV63)</f>
        <v>2111.0643158515286</v>
      </c>
      <c r="AW64" s="140">
        <f t="shared" si="115"/>
        <v>2188.7104339485941</v>
      </c>
      <c r="AX64" s="140">
        <f t="shared" si="115"/>
        <v>2188.7104339485941</v>
      </c>
      <c r="AZ64" s="140">
        <f t="shared" ref="AZ64:BB64" si="116">SUM(AZ62:AZ63)</f>
        <v>2168.7153561411906</v>
      </c>
      <c r="BA64" s="140">
        <f t="shared" si="116"/>
        <v>2254.1146782734722</v>
      </c>
      <c r="BB64" s="140">
        <f t="shared" si="116"/>
        <v>2254.1146782734722</v>
      </c>
      <c r="BD64" s="140">
        <f t="shared" ref="BD64:BF64" si="117">SUM(BD62:BD63)</f>
        <v>2230.7445339380265</v>
      </c>
      <c r="BE64" s="140">
        <f t="shared" si="117"/>
        <v>2321.0394760529243</v>
      </c>
      <c r="BF64" s="140">
        <f t="shared" si="117"/>
        <v>2321.0394760529252</v>
      </c>
      <c r="BH64" s="140">
        <f t="shared" ref="BH64:BJ64" si="118">SUM(BH62:BH63)</f>
        <v>2297.5531182797122</v>
      </c>
      <c r="BI64" s="140">
        <f t="shared" si="118"/>
        <v>2392.9814881089696</v>
      </c>
      <c r="BJ64" s="140">
        <f t="shared" si="118"/>
        <v>2392.9814881089696</v>
      </c>
      <c r="BL64" s="140">
        <f t="shared" ref="BL64:BN64" si="119">SUM(BL62:BL63)</f>
        <v>2369.3773331668071</v>
      </c>
      <c r="BM64" s="140">
        <f t="shared" si="119"/>
        <v>2470.1887580564307</v>
      </c>
      <c r="BN64" s="140">
        <f t="shared" si="119"/>
        <v>2470.1887580564307</v>
      </c>
      <c r="BP64" s="140">
        <f t="shared" ref="BP64:BR64" si="120">SUM(BP62:BP63)</f>
        <v>2446.465272665906</v>
      </c>
      <c r="BQ64" s="140">
        <f t="shared" si="120"/>
        <v>2552.921795619257</v>
      </c>
      <c r="BR64" s="140">
        <f t="shared" si="120"/>
        <v>2552.921795619257</v>
      </c>
      <c r="BT64" s="140">
        <f t="shared" ref="BT64:BV64" si="121">SUM(BT62:BT63)</f>
        <v>2529.0775049985332</v>
      </c>
      <c r="BU64" s="140">
        <f t="shared" si="121"/>
        <v>2641.4542110941647</v>
      </c>
      <c r="BV64" s="140">
        <f t="shared" si="121"/>
        <v>2641.4542110941647</v>
      </c>
      <c r="BX64" s="140">
        <f t="shared" ref="BX64:BZ64" si="122">SUM(BX62:BX63)</f>
        <v>2617.4877076863963</v>
      </c>
      <c r="BY64" s="140">
        <f t="shared" si="122"/>
        <v>2736.0733824322374</v>
      </c>
      <c r="BZ64" s="140">
        <f t="shared" si="122"/>
        <v>2736.0733824322374</v>
      </c>
    </row>
    <row r="65" spans="1:78" s="198" customFormat="1">
      <c r="A65" s="149"/>
      <c r="B65" s="197" t="s">
        <v>17</v>
      </c>
      <c r="C65" s="200"/>
      <c r="D65" s="199">
        <f>D51-D64</f>
        <v>0</v>
      </c>
      <c r="E65" s="199">
        <f>E51-E64</f>
        <v>0.37000000000011823</v>
      </c>
      <c r="F65" s="199">
        <f>F51-F64</f>
        <v>0.37000000000011823</v>
      </c>
      <c r="H65" s="199">
        <f>H51-H64</f>
        <v>0.28399999999993497</v>
      </c>
      <c r="I65" s="199">
        <f>I51-I64</f>
        <v>0.19900000000001228</v>
      </c>
      <c r="J65" s="199">
        <f>J51-J64</f>
        <v>0.19900000000001228</v>
      </c>
      <c r="L65" s="199">
        <f>L51-L64</f>
        <v>-0.60000000000007958</v>
      </c>
      <c r="M65" s="199">
        <f>M51-M64</f>
        <v>0</v>
      </c>
      <c r="N65" s="199">
        <f>N51-N64</f>
        <v>0</v>
      </c>
      <c r="P65" s="199">
        <f>P51-P64</f>
        <v>0</v>
      </c>
      <c r="Q65" s="199">
        <f>Q51-Q64</f>
        <v>0</v>
      </c>
      <c r="R65" s="199">
        <f>R51-R64</f>
        <v>0</v>
      </c>
      <c r="T65" s="199">
        <f>T51-T64</f>
        <v>0</v>
      </c>
      <c r="U65" s="199">
        <f>U51-U64</f>
        <v>0</v>
      </c>
      <c r="V65" s="199">
        <f>V51-V64</f>
        <v>0</v>
      </c>
      <c r="X65" s="199">
        <f>X51-X64</f>
        <v>0</v>
      </c>
      <c r="Y65" s="199">
        <f>Y51-Y64</f>
        <v>0</v>
      </c>
      <c r="Z65" s="199">
        <f>Z51-Z64</f>
        <v>0</v>
      </c>
      <c r="AB65" s="199">
        <f>AB51-AB64</f>
        <v>0</v>
      </c>
      <c r="AC65" s="199">
        <f>AC51-AC64</f>
        <v>0</v>
      </c>
      <c r="AD65" s="199">
        <f>AD51-AD64</f>
        <v>0</v>
      </c>
      <c r="AE65" s="140"/>
      <c r="AF65" s="199">
        <f>AF51-AF64</f>
        <v>0</v>
      </c>
      <c r="AG65" s="199">
        <f>AG51-AG64</f>
        <v>0</v>
      </c>
      <c r="AH65" s="199">
        <f>AH51-AH64</f>
        <v>0</v>
      </c>
      <c r="AI65" s="140"/>
      <c r="AJ65" s="199">
        <f>AJ51-AJ64</f>
        <v>0</v>
      </c>
      <c r="AK65" s="199">
        <f>AK51-AK64</f>
        <v>0</v>
      </c>
      <c r="AL65" s="199">
        <f>AL51-AL64</f>
        <v>0</v>
      </c>
      <c r="AN65" s="199">
        <f>AN51-AN64</f>
        <v>0</v>
      </c>
      <c r="AO65" s="199">
        <f>AO51-AO64</f>
        <v>0</v>
      </c>
      <c r="AP65" s="199">
        <f>AP51-AP64</f>
        <v>0</v>
      </c>
      <c r="AR65" s="199">
        <f t="shared" ref="AR65:AT65" si="123">AR51-AR64</f>
        <v>0</v>
      </c>
      <c r="AS65" s="199">
        <f t="shared" si="123"/>
        <v>0</v>
      </c>
      <c r="AT65" s="199">
        <f t="shared" si="123"/>
        <v>0</v>
      </c>
      <c r="AV65" s="199">
        <f t="shared" ref="AV65:AX65" si="124">AV51-AV64</f>
        <v>0</v>
      </c>
      <c r="AW65" s="199">
        <f t="shared" si="124"/>
        <v>0</v>
      </c>
      <c r="AX65" s="199">
        <f t="shared" si="124"/>
        <v>0</v>
      </c>
      <c r="AZ65" s="199">
        <f t="shared" ref="AZ65:BB65" si="125">AZ51-AZ64</f>
        <v>0</v>
      </c>
      <c r="BA65" s="199">
        <f t="shared" si="125"/>
        <v>0</v>
      </c>
      <c r="BB65" s="199">
        <f t="shared" si="125"/>
        <v>0</v>
      </c>
      <c r="BD65" s="199">
        <f t="shared" ref="BD65:BF65" si="126">BD51-BD64</f>
        <v>0</v>
      </c>
      <c r="BE65" s="199">
        <f t="shared" si="126"/>
        <v>0</v>
      </c>
      <c r="BF65" s="199">
        <f t="shared" si="126"/>
        <v>0</v>
      </c>
      <c r="BH65" s="199">
        <f t="shared" ref="BH65:BJ65" si="127">BH51-BH64</f>
        <v>0</v>
      </c>
      <c r="BI65" s="199">
        <f t="shared" si="127"/>
        <v>0</v>
      </c>
      <c r="BJ65" s="199">
        <f t="shared" si="127"/>
        <v>0</v>
      </c>
      <c r="BL65" s="199">
        <f t="shared" ref="BL65:BN65" si="128">BL51-BL64</f>
        <v>0</v>
      </c>
      <c r="BM65" s="199">
        <f t="shared" si="128"/>
        <v>0</v>
      </c>
      <c r="BN65" s="199">
        <f t="shared" si="128"/>
        <v>0</v>
      </c>
      <c r="BP65" s="199">
        <f t="shared" ref="BP65:BR65" si="129">BP51-BP64</f>
        <v>0</v>
      </c>
      <c r="BQ65" s="199">
        <f t="shared" si="129"/>
        <v>0</v>
      </c>
      <c r="BR65" s="199">
        <f t="shared" si="129"/>
        <v>0</v>
      </c>
      <c r="BT65" s="199">
        <f t="shared" ref="BT65:BV65" si="130">BT51-BT64</f>
        <v>0</v>
      </c>
      <c r="BU65" s="199">
        <f t="shared" si="130"/>
        <v>0</v>
      </c>
      <c r="BV65" s="199">
        <f t="shared" si="130"/>
        <v>0</v>
      </c>
      <c r="BX65" s="199">
        <f t="shared" ref="BX65:BZ65" si="131">BX51-BX64</f>
        <v>0</v>
      </c>
      <c r="BY65" s="199">
        <f t="shared" si="131"/>
        <v>0</v>
      </c>
      <c r="BZ65" s="199">
        <f t="shared" si="131"/>
        <v>0</v>
      </c>
    </row>
    <row r="66" spans="1:78" ht="14.4">
      <c r="A66" s="149"/>
      <c r="AB66" s="518"/>
      <c r="AC66" s="518"/>
      <c r="AD66" s="518"/>
      <c r="AE66" s="518"/>
      <c r="AF66" s="518"/>
    </row>
    <row r="67" spans="1:78" s="235" customFormat="1">
      <c r="A67" s="148"/>
      <c r="B67" s="236" t="s">
        <v>57</v>
      </c>
    </row>
    <row r="68" spans="1:78">
      <c r="B68" s="548"/>
    </row>
    <row r="69" spans="1:78">
      <c r="B69" s="548"/>
    </row>
    <row r="70" spans="1:78">
      <c r="B70" s="154" t="s">
        <v>235</v>
      </c>
      <c r="C70" s="155" t="s">
        <v>406</v>
      </c>
      <c r="D70" s="155">
        <f>+D46+D38</f>
        <v>88.61699999999999</v>
      </c>
      <c r="E70" s="155">
        <f>+E46+E38</f>
        <v>88.646000000000001</v>
      </c>
      <c r="F70" s="155">
        <f>+F46+F38</f>
        <v>88.646000000000001</v>
      </c>
      <c r="H70" s="155">
        <f>+H46+H38</f>
        <v>88.626000000000005</v>
      </c>
      <c r="I70" s="155">
        <f>+I46+I38</f>
        <v>95.096000000000004</v>
      </c>
      <c r="J70" s="155">
        <f>+J46+J38</f>
        <v>95.096000000000004</v>
      </c>
      <c r="L70" s="155">
        <f>+L46+L38</f>
        <v>113.95700000000001</v>
      </c>
      <c r="M70" s="155">
        <f>+M46+M38</f>
        <v>121.202</v>
      </c>
      <c r="N70" s="155">
        <f>+N46+N38</f>
        <v>121.202</v>
      </c>
      <c r="P70" s="155">
        <f>+P46+P38</f>
        <v>60.658000000000001</v>
      </c>
      <c r="Q70" s="155">
        <f>+Q46+Q38</f>
        <v>104.47499999999999</v>
      </c>
      <c r="R70" s="155">
        <f>+R46+R38</f>
        <v>104.47499999999999</v>
      </c>
      <c r="T70" s="155">
        <f>+T46+T38</f>
        <v>89.794000000000011</v>
      </c>
      <c r="U70" s="155">
        <f>+U46+U38</f>
        <v>231.76999999999998</v>
      </c>
      <c r="V70" s="155">
        <f>+V46+V38</f>
        <v>231.76999999999998</v>
      </c>
      <c r="X70" s="155">
        <f>+X46+X38</f>
        <v>262.959</v>
      </c>
      <c r="Y70" s="155">
        <f>+Y46+Y38</f>
        <v>212.28299999999999</v>
      </c>
      <c r="Z70" s="155">
        <f>+Z46+Z38</f>
        <v>212.28299999999999</v>
      </c>
      <c r="AB70" s="155">
        <f>+AB46+AB38</f>
        <v>230.715</v>
      </c>
      <c r="AC70" s="155">
        <f>+AC46+AC38</f>
        <v>47.802</v>
      </c>
      <c r="AD70" s="155">
        <f>+AD46+AD38</f>
        <v>47.802</v>
      </c>
      <c r="AF70" s="155">
        <f>+AF46+AF38</f>
        <v>701.40800000000002</v>
      </c>
      <c r="AG70" s="155">
        <f>+AG46+AG38</f>
        <v>584.23</v>
      </c>
      <c r="AH70" s="155">
        <f>+AH46+AH38</f>
        <v>584.23</v>
      </c>
      <c r="AJ70" s="155">
        <f>+AJ46+AJ38</f>
        <v>679.80900000000008</v>
      </c>
      <c r="AK70" s="155">
        <f>+AK46+AK38</f>
        <v>646.00099999999998</v>
      </c>
      <c r="AL70" s="155">
        <f>+AL46+AL38</f>
        <v>646.00099999999998</v>
      </c>
      <c r="AN70" s="155">
        <f>+AN46+AN38</f>
        <v>773.8889999999999</v>
      </c>
      <c r="AO70" s="155">
        <f>+AO46+AO38</f>
        <v>872.77099999999996</v>
      </c>
      <c r="AP70" s="155">
        <f>+AP46+AP38</f>
        <v>872.77099999999996</v>
      </c>
      <c r="AR70" s="155">
        <f>+AR46+AR38</f>
        <v>870.68764249999992</v>
      </c>
      <c r="AS70" s="155">
        <f>+AS46+AS38</f>
        <v>868.61845749999998</v>
      </c>
      <c r="AT70" s="155">
        <f>+AT46+AT38</f>
        <v>868.61845749999998</v>
      </c>
      <c r="AV70" s="155">
        <f>+AV46+AV38</f>
        <v>866.50788879999993</v>
      </c>
      <c r="AW70" s="155">
        <f>+AW46+AW38</f>
        <v>864.39732009999989</v>
      </c>
      <c r="AX70" s="155">
        <f>+AX46+AX38</f>
        <v>864.39732009999989</v>
      </c>
      <c r="AZ70" s="155">
        <f>+AZ46+AZ38</f>
        <v>860.09175995199985</v>
      </c>
      <c r="BA70" s="155">
        <f>+BA46+BA38</f>
        <v>855.78619980399981</v>
      </c>
      <c r="BB70" s="155">
        <f>+BB46+BB38</f>
        <v>855.78619980399981</v>
      </c>
      <c r="BD70" s="155">
        <f>+BD46+BD38</f>
        <v>851.39452845303981</v>
      </c>
      <c r="BE70" s="155">
        <f>+BE46+BE38</f>
        <v>847.00285710207982</v>
      </c>
      <c r="BF70" s="155">
        <f>+BF46+BF38</f>
        <v>847.00285710207982</v>
      </c>
      <c r="BH70" s="155">
        <f>+BH46+BH38</f>
        <v>842.52335232410064</v>
      </c>
      <c r="BI70" s="155">
        <f>+BI46+BI38</f>
        <v>838.04384754612147</v>
      </c>
      <c r="BJ70" s="155">
        <f>+BJ46+BJ38</f>
        <v>838.04384754612147</v>
      </c>
      <c r="BL70" s="155">
        <f>+BL46+BL38</f>
        <v>833.47475267258267</v>
      </c>
      <c r="BM70" s="155">
        <f>+BM46+BM38</f>
        <v>828.90565779904387</v>
      </c>
      <c r="BN70" s="155">
        <f>+BN46+BN38</f>
        <v>828.90565779904387</v>
      </c>
      <c r="BP70" s="155">
        <f>+BP46+BP38</f>
        <v>824.24518102803427</v>
      </c>
      <c r="BQ70" s="155">
        <f>+BQ46+BQ38</f>
        <v>819.58470425702467</v>
      </c>
      <c r="BR70" s="155">
        <f>+BR46+BR38</f>
        <v>819.58470425702467</v>
      </c>
      <c r="BT70" s="155">
        <f>+BT46+BT38</f>
        <v>814.83101795059497</v>
      </c>
      <c r="BU70" s="155">
        <f>+BU46+BU38</f>
        <v>810.07733164416527</v>
      </c>
      <c r="BV70" s="155">
        <f>+BV46+BV38</f>
        <v>810.07733164416527</v>
      </c>
      <c r="BX70" s="155">
        <f>+BX46+BX38</f>
        <v>805.22857161160687</v>
      </c>
      <c r="BY70" s="155">
        <f>+BY46+BY38</f>
        <v>800.37981157904846</v>
      </c>
      <c r="BZ70" s="155">
        <f>+BZ46+BZ38</f>
        <v>800.37981157904846</v>
      </c>
    </row>
    <row r="71" spans="1:78">
      <c r="B71" s="154" t="s">
        <v>394</v>
      </c>
      <c r="C71" s="155" t="s">
        <v>406</v>
      </c>
      <c r="D71" s="155">
        <f>+D13</f>
        <v>50.906999999999996</v>
      </c>
      <c r="E71" s="155">
        <f>+E13</f>
        <v>70.933000000000007</v>
      </c>
      <c r="F71" s="155">
        <f>+F13</f>
        <v>70.933000000000007</v>
      </c>
      <c r="H71" s="155">
        <f>+H13</f>
        <v>61.027000000000001</v>
      </c>
      <c r="I71" s="155">
        <f>+I13</f>
        <v>60.231000000000002</v>
      </c>
      <c r="J71" s="155">
        <f>+J13</f>
        <v>60.231000000000002</v>
      </c>
      <c r="L71" s="155">
        <f>+L13</f>
        <v>65.474000000000004</v>
      </c>
      <c r="M71" s="155">
        <f>+M13</f>
        <v>58.688000000000002</v>
      </c>
      <c r="N71" s="155">
        <f>+N13</f>
        <v>58.688000000000002</v>
      </c>
      <c r="P71" s="155">
        <f>+P13</f>
        <v>71.34</v>
      </c>
      <c r="Q71" s="155">
        <f>+Q13</f>
        <v>70.016000000000005</v>
      </c>
      <c r="R71" s="155">
        <f>+R13</f>
        <v>70.016000000000005</v>
      </c>
      <c r="T71" s="155">
        <f>+T13</f>
        <v>49.972000000000001</v>
      </c>
      <c r="U71" s="155">
        <f>+U13</f>
        <v>84.373999999999995</v>
      </c>
      <c r="V71" s="155">
        <f>+V13</f>
        <v>84.373999999999995</v>
      </c>
      <c r="X71" s="155">
        <f>+X13</f>
        <v>66.302999999999997</v>
      </c>
      <c r="Y71" s="155">
        <f>+Y13</f>
        <v>76.587999999999994</v>
      </c>
      <c r="Z71" s="155">
        <f>+Z13</f>
        <v>76.587999999999994</v>
      </c>
      <c r="AB71" s="155">
        <f>+AB13</f>
        <v>75.766999999999996</v>
      </c>
      <c r="AC71" s="155">
        <f>+AC13</f>
        <v>259.32900000000001</v>
      </c>
      <c r="AD71" s="155">
        <f>+AD13</f>
        <v>259.32900000000001</v>
      </c>
      <c r="AF71" s="155">
        <f>+AF13</f>
        <v>192.94399999999999</v>
      </c>
      <c r="AG71" s="155">
        <f>+AG13</f>
        <v>260.35199999999998</v>
      </c>
      <c r="AH71" s="155">
        <f>+AH13</f>
        <v>260.35199999999998</v>
      </c>
      <c r="AJ71" s="155">
        <f>+AJ13</f>
        <v>208.77600000000001</v>
      </c>
      <c r="AK71" s="155">
        <f>+AK13</f>
        <v>377.36599999999999</v>
      </c>
      <c r="AL71" s="155">
        <f>+AL13</f>
        <v>377.36599999999999</v>
      </c>
      <c r="AN71" s="155">
        <f>+AN13</f>
        <v>210.892</v>
      </c>
      <c r="AO71" s="155">
        <f>+AO13</f>
        <v>279.26600000000002</v>
      </c>
      <c r="AP71" s="155">
        <f>+AP13</f>
        <v>279.26600000000002</v>
      </c>
      <c r="AR71" s="155">
        <f>+AR13</f>
        <v>262.99965369959091</v>
      </c>
      <c r="AS71" s="155">
        <f>+AS13</f>
        <v>449.58953350758975</v>
      </c>
      <c r="AT71" s="155">
        <f>+AT13</f>
        <v>449.58953350758975</v>
      </c>
      <c r="AV71" s="155">
        <f>+AV13</f>
        <v>368.07502975177863</v>
      </c>
      <c r="AW71" s="155">
        <f>+AW13</f>
        <v>572.14484644381105</v>
      </c>
      <c r="AX71" s="155">
        <f>+AX13</f>
        <v>572.14484644381105</v>
      </c>
      <c r="AZ71" s="155">
        <f>+AZ13</f>
        <v>450.66038517882225</v>
      </c>
      <c r="BA71" s="155">
        <f>+BA13</f>
        <v>656.60562467520867</v>
      </c>
      <c r="BB71" s="155">
        <f>+BB13</f>
        <v>656.6056246752089</v>
      </c>
      <c r="BD71" s="155">
        <f>+BD13</f>
        <v>534.54264116114837</v>
      </c>
      <c r="BE71" s="155">
        <f>+BE13</f>
        <v>759.84157743402398</v>
      </c>
      <c r="BF71" s="155">
        <f>+BF13</f>
        <v>759.84157743402398</v>
      </c>
      <c r="BH71" s="155">
        <f>+BH13</f>
        <v>626.93929922521511</v>
      </c>
      <c r="BI71" s="155">
        <f>+BI13</f>
        <v>862.8834270100383</v>
      </c>
      <c r="BJ71" s="155">
        <f>+BJ13</f>
        <v>862.8834270100383</v>
      </c>
      <c r="BL71" s="155">
        <f>+BL13</f>
        <v>723.668010716656</v>
      </c>
      <c r="BM71" s="155">
        <f>+BM13</f>
        <v>970.61309488199686</v>
      </c>
      <c r="BN71" s="155">
        <f>+BN13</f>
        <v>970.61309488199686</v>
      </c>
      <c r="BP71" s="155">
        <f>+BP13</f>
        <v>848.84544993424879</v>
      </c>
      <c r="BQ71" s="155">
        <f>+BQ13</f>
        <v>1099.133837573966</v>
      </c>
      <c r="BR71" s="155">
        <f>+BR13</f>
        <v>1099.133837573966</v>
      </c>
      <c r="BT71" s="155">
        <f>+BT13</f>
        <v>950.59170970274477</v>
      </c>
      <c r="BU71" s="155">
        <f>+BU13</f>
        <v>1222.8560519348352</v>
      </c>
      <c r="BV71" s="155">
        <f>+BV13</f>
        <v>1222.8560519348352</v>
      </c>
      <c r="BX71" s="155">
        <f>+BX13</f>
        <v>1061.9214551297878</v>
      </c>
      <c r="BY71" s="155">
        <f>+BY13</f>
        <v>1346.4385059647125</v>
      </c>
      <c r="BZ71" s="155">
        <f>+BZ13</f>
        <v>1346.4385059647125</v>
      </c>
    </row>
    <row r="72" spans="1:78" s="157" customFormat="1">
      <c r="A72" s="134"/>
      <c r="B72" s="221" t="s">
        <v>395</v>
      </c>
      <c r="C72" s="157" t="s">
        <v>406</v>
      </c>
      <c r="D72" s="157">
        <f t="shared" ref="D72:F72" si="132">+D70-D71</f>
        <v>37.709999999999994</v>
      </c>
      <c r="E72" s="157">
        <f t="shared" si="132"/>
        <v>17.712999999999994</v>
      </c>
      <c r="F72" s="157">
        <f t="shared" si="132"/>
        <v>17.712999999999994</v>
      </c>
      <c r="H72" s="157">
        <f t="shared" ref="H72:J72" si="133">+H70-H71</f>
        <v>27.599000000000004</v>
      </c>
      <c r="I72" s="157">
        <f t="shared" si="133"/>
        <v>34.865000000000002</v>
      </c>
      <c r="J72" s="157">
        <f t="shared" si="133"/>
        <v>34.865000000000002</v>
      </c>
      <c r="L72" s="157">
        <f t="shared" ref="L72:N72" si="134">+L70-L71</f>
        <v>48.483000000000004</v>
      </c>
      <c r="M72" s="157">
        <f t="shared" si="134"/>
        <v>62.513999999999996</v>
      </c>
      <c r="N72" s="157">
        <f t="shared" si="134"/>
        <v>62.513999999999996</v>
      </c>
      <c r="P72" s="157">
        <f t="shared" ref="P72:R72" si="135">+P70-P71</f>
        <v>-10.682000000000002</v>
      </c>
      <c r="Q72" s="157">
        <f t="shared" si="135"/>
        <v>34.458999999999989</v>
      </c>
      <c r="R72" s="157">
        <f t="shared" si="135"/>
        <v>34.458999999999989</v>
      </c>
      <c r="T72" s="157">
        <f t="shared" ref="T72:V72" si="136">+T70-T71</f>
        <v>39.82200000000001</v>
      </c>
      <c r="U72" s="157">
        <f t="shared" si="136"/>
        <v>147.39599999999999</v>
      </c>
      <c r="V72" s="157">
        <f t="shared" si="136"/>
        <v>147.39599999999999</v>
      </c>
      <c r="X72" s="157">
        <f t="shared" ref="X72:Z72" si="137">+X70-X71</f>
        <v>196.65600000000001</v>
      </c>
      <c r="Y72" s="157">
        <f t="shared" si="137"/>
        <v>135.69499999999999</v>
      </c>
      <c r="Z72" s="157">
        <f t="shared" si="137"/>
        <v>135.69499999999999</v>
      </c>
      <c r="AB72" s="157">
        <f>+AB70-AB71</f>
        <v>154.94800000000001</v>
      </c>
      <c r="AC72" s="157">
        <f>+AC70-AC71</f>
        <v>-211.52700000000002</v>
      </c>
      <c r="AD72" s="157">
        <f>+AD70-AD71</f>
        <v>-211.52700000000002</v>
      </c>
      <c r="AF72" s="157">
        <f>+AF70-AF71</f>
        <v>508.46400000000006</v>
      </c>
      <c r="AG72" s="157">
        <f>+AG70-AG71</f>
        <v>323.87800000000004</v>
      </c>
      <c r="AH72" s="157">
        <f>+AH70-AH71</f>
        <v>323.87800000000004</v>
      </c>
      <c r="AJ72" s="157">
        <f>+AJ70-AJ71</f>
        <v>471.03300000000007</v>
      </c>
      <c r="AK72" s="157">
        <f>+AK70-AK71</f>
        <v>268.63499999999999</v>
      </c>
      <c r="AL72" s="157">
        <f>+AL70-AL71</f>
        <v>268.63499999999999</v>
      </c>
      <c r="AN72" s="157">
        <f>+AN70-AN71</f>
        <v>562.99699999999984</v>
      </c>
      <c r="AO72" s="157">
        <f>+AO70-AO71</f>
        <v>593.50499999999988</v>
      </c>
      <c r="AP72" s="157">
        <f>+AP70-AP71</f>
        <v>593.50499999999988</v>
      </c>
      <c r="AR72" s="157">
        <f t="shared" ref="AR72:AT72" si="138">+AR70-AR71</f>
        <v>607.68798880040902</v>
      </c>
      <c r="AS72" s="157">
        <f t="shared" si="138"/>
        <v>419.02892399241023</v>
      </c>
      <c r="AT72" s="157">
        <f t="shared" si="138"/>
        <v>419.02892399241023</v>
      </c>
      <c r="AV72" s="157">
        <f t="shared" ref="AV72:AX72" si="139">+AV70-AV71</f>
        <v>498.4328590482213</v>
      </c>
      <c r="AW72" s="157">
        <f t="shared" si="139"/>
        <v>292.25247365618884</v>
      </c>
      <c r="AX72" s="157">
        <f t="shared" si="139"/>
        <v>292.25247365618884</v>
      </c>
      <c r="AZ72" s="157">
        <f t="shared" ref="AZ72:BB72" si="140">+AZ70-AZ71</f>
        <v>409.43137477317759</v>
      </c>
      <c r="BA72" s="157">
        <f t="shared" si="140"/>
        <v>199.18057512879113</v>
      </c>
      <c r="BB72" s="157">
        <f t="shared" si="140"/>
        <v>199.18057512879091</v>
      </c>
      <c r="BD72" s="157">
        <f t="shared" ref="BD72:BF72" si="141">+BD70-BD71</f>
        <v>316.85188729189144</v>
      </c>
      <c r="BE72" s="157">
        <f t="shared" si="141"/>
        <v>87.16127966805584</v>
      </c>
      <c r="BF72" s="157">
        <f t="shared" si="141"/>
        <v>87.16127966805584</v>
      </c>
      <c r="BH72" s="157">
        <f t="shared" ref="BH72:BJ72" si="142">+BH70-BH71</f>
        <v>215.58405309888553</v>
      </c>
      <c r="BI72" s="157">
        <f t="shared" si="142"/>
        <v>-24.839579463916834</v>
      </c>
      <c r="BJ72" s="157">
        <f t="shared" si="142"/>
        <v>-24.839579463916834</v>
      </c>
      <c r="BL72" s="157">
        <f t="shared" ref="BL72:BN72" si="143">+BL70-BL71</f>
        <v>109.80674195592667</v>
      </c>
      <c r="BM72" s="157">
        <f t="shared" si="143"/>
        <v>-141.70743708295299</v>
      </c>
      <c r="BN72" s="157">
        <f t="shared" si="143"/>
        <v>-141.70743708295299</v>
      </c>
      <c r="BP72" s="157">
        <f t="shared" ref="BP72:BR72" si="144">+BP70-BP71</f>
        <v>-24.600268906214524</v>
      </c>
      <c r="BQ72" s="157">
        <f t="shared" si="144"/>
        <v>-279.54913331694138</v>
      </c>
      <c r="BR72" s="157">
        <f t="shared" si="144"/>
        <v>-279.54913331694138</v>
      </c>
      <c r="BT72" s="157">
        <f t="shared" ref="BT72:BV72" si="145">+BT70-BT71</f>
        <v>-135.7606917521498</v>
      </c>
      <c r="BU72" s="157">
        <f t="shared" si="145"/>
        <v>-412.77872029066998</v>
      </c>
      <c r="BV72" s="157">
        <f t="shared" si="145"/>
        <v>-412.77872029066998</v>
      </c>
      <c r="BX72" s="157">
        <f t="shared" ref="BX72:BZ72" si="146">+BX70-BX71</f>
        <v>-256.69288351818091</v>
      </c>
      <c r="BY72" s="157">
        <f t="shared" si="146"/>
        <v>-546.05869438566401</v>
      </c>
      <c r="BZ72" s="157">
        <f t="shared" si="146"/>
        <v>-546.05869438566401</v>
      </c>
    </row>
    <row r="74" spans="1:78" s="157" customFormat="1">
      <c r="A74" s="134"/>
      <c r="B74" s="221" t="s">
        <v>671</v>
      </c>
      <c r="C74" s="157" t="s">
        <v>406</v>
      </c>
      <c r="D74" s="157">
        <f>+'P&amp;L'!D22</f>
        <v>38.600999999999949</v>
      </c>
      <c r="E74" s="157">
        <f>+'P&amp;L'!E22</f>
        <v>75.815000000000026</v>
      </c>
      <c r="F74" s="157">
        <f>+'P&amp;L'!F22</f>
        <v>114.416</v>
      </c>
      <c r="H74" s="157">
        <f>+'P&amp;L'!H22</f>
        <v>48.386000000000017</v>
      </c>
      <c r="I74" s="157">
        <f>+'P&amp;L'!I22</f>
        <v>75.127000000000038</v>
      </c>
      <c r="J74" s="157">
        <f>+'P&amp;L'!J22</f>
        <v>123.51299999999993</v>
      </c>
      <c r="L74" s="157">
        <f>+'P&amp;L'!L22</f>
        <v>52.275000000000006</v>
      </c>
      <c r="M74" s="157">
        <f>+'P&amp;L'!M22</f>
        <v>80.963000000000051</v>
      </c>
      <c r="N74" s="157">
        <f>+'P&amp;L'!N22</f>
        <v>133.23799999999997</v>
      </c>
      <c r="P74" s="157">
        <f>+'P&amp;L'!P22</f>
        <v>60.447000000000045</v>
      </c>
      <c r="Q74" s="157">
        <f>+'P&amp;L'!Q22</f>
        <v>75.714999999999989</v>
      </c>
      <c r="R74" s="157">
        <f>+'P&amp;L'!R22</f>
        <v>136.16200000000001</v>
      </c>
      <c r="T74" s="157">
        <f>+'P&amp;L'!T22</f>
        <v>63.169000000000054</v>
      </c>
      <c r="U74" s="157">
        <f>+'P&amp;L'!U22</f>
        <v>89.814999999999984</v>
      </c>
      <c r="V74" s="157">
        <f>+'P&amp;L'!V22</f>
        <v>152.98399999999998</v>
      </c>
      <c r="X74" s="157">
        <f>+'P&amp;L'!X22</f>
        <v>90.816000000000031</v>
      </c>
      <c r="Y74" s="157">
        <f>+'P&amp;L'!Y22</f>
        <v>102.95299999999996</v>
      </c>
      <c r="Z74" s="157">
        <f>+'P&amp;L'!Z22</f>
        <v>193.76900000000003</v>
      </c>
      <c r="AB74" s="157">
        <f>+'P&amp;L'!AB22</f>
        <v>92.924000000000007</v>
      </c>
      <c r="AC74" s="157">
        <f>+'P&amp;L'!AC22</f>
        <v>123.37200000000001</v>
      </c>
      <c r="AD74" s="157">
        <f>+'P&amp;L'!AD22</f>
        <v>216.29599999999991</v>
      </c>
      <c r="AF74" s="157">
        <f>+'P&amp;L'!AF22</f>
        <v>133.93799999999999</v>
      </c>
      <c r="AG74" s="157">
        <f>+'P&amp;L'!AG22</f>
        <v>210.24100000000001</v>
      </c>
      <c r="AH74" s="157">
        <f>+'P&amp;L'!AH22</f>
        <v>344.17900000000014</v>
      </c>
      <c r="AJ74" s="157">
        <f>+'P&amp;L'!AJ22</f>
        <v>193.39700000000008</v>
      </c>
      <c r="AK74" s="157">
        <f>+'P&amp;L'!AK22</f>
        <v>236.99700000000004</v>
      </c>
      <c r="AL74" s="157">
        <f>+'P&amp;L'!AL22</f>
        <v>430.41600000000011</v>
      </c>
      <c r="AN74" s="157">
        <f>+'P&amp;L'!AN22</f>
        <v>214.24300000000005</v>
      </c>
      <c r="AO74" s="157">
        <f>+'P&amp;L'!AO22</f>
        <v>282.24599999999981</v>
      </c>
      <c r="AP74" s="157">
        <f>+'P&amp;L'!AP22</f>
        <v>496.51099999999974</v>
      </c>
      <c r="AR74" s="157">
        <f>+'P&amp;L'!AR22</f>
        <v>239.21875250000005</v>
      </c>
      <c r="AS74" s="157">
        <f>+'P&amp;L'!AS22</f>
        <v>301.25348500000007</v>
      </c>
      <c r="AT74" s="157">
        <f>+'P&amp;L'!AT22</f>
        <v>540.47223749999989</v>
      </c>
      <c r="AV74" s="157">
        <f>+'P&amp;L'!AV22</f>
        <v>253.77307684961087</v>
      </c>
      <c r="AW74" s="157">
        <f>+'P&amp;L'!AW22</f>
        <v>323.04072824116923</v>
      </c>
      <c r="AX74" s="157">
        <f>+'P&amp;L'!AX22</f>
        <v>576.81380509078008</v>
      </c>
      <c r="AZ74" s="157">
        <f>+'P&amp;L'!AZ22</f>
        <v>270.58035852509772</v>
      </c>
      <c r="BA74" s="157">
        <f>+'P&amp;L'!BA22</f>
        <v>344.40898186621092</v>
      </c>
      <c r="BB74" s="157">
        <f>+'P&amp;L'!BB22</f>
        <v>614.98934039130882</v>
      </c>
      <c r="BD74" s="157">
        <f>+'P&amp;L'!BD22</f>
        <v>280.79182049936276</v>
      </c>
      <c r="BE74" s="157">
        <f>+'P&amp;L'!BE22</f>
        <v>358.18486635572413</v>
      </c>
      <c r="BF74" s="157">
        <f>+'P&amp;L'!BF22</f>
        <v>638.97668685508654</v>
      </c>
      <c r="BH74" s="157">
        <f>+'P&amp;L'!BH22</f>
        <v>291.48353734868277</v>
      </c>
      <c r="BI74" s="157">
        <f>+'P&amp;L'!BI22</f>
        <v>372.61557657930121</v>
      </c>
      <c r="BJ74" s="157">
        <f>+'P&amp;L'!BJ22</f>
        <v>664.09911392798404</v>
      </c>
      <c r="BL74" s="157">
        <f>+'P&amp;L'!BL22</f>
        <v>302.6794815838482</v>
      </c>
      <c r="BM74" s="157">
        <f>+'P&amp;L'!BM22</f>
        <v>387.73379959786126</v>
      </c>
      <c r="BN74" s="157">
        <f>+'P&amp;L'!BN22</f>
        <v>690.41328118170941</v>
      </c>
      <c r="BP74" s="157">
        <f>+'P&amp;L'!BP22</f>
        <v>314.40486161390555</v>
      </c>
      <c r="BQ74" s="157">
        <f>+'P&amp;L'!BQ22</f>
        <v>403.57389893701873</v>
      </c>
      <c r="BR74" s="157">
        <f>+'P&amp;L'!BR22</f>
        <v>717.97876055092422</v>
      </c>
      <c r="BT74" s="157">
        <f>+'P&amp;L'!BT22</f>
        <v>326.68618668848615</v>
      </c>
      <c r="BU74" s="157">
        <f>+'P&amp;L'!BU22</f>
        <v>420.17200203733648</v>
      </c>
      <c r="BV74" s="157">
        <f>+'P&amp;L'!BV22</f>
        <v>746.85818872582263</v>
      </c>
      <c r="BX74" s="157">
        <f>+'P&amp;L'!BX22</f>
        <v>339.55133529827975</v>
      </c>
      <c r="BY74" s="157">
        <f>+'P&amp;L'!BY22</f>
        <v>437.56609232390173</v>
      </c>
      <c r="BZ74" s="157">
        <f>+'P&amp;L'!BZ22</f>
        <v>777.11742762218114</v>
      </c>
    </row>
    <row r="75" spans="1:78">
      <c r="B75" s="154" t="s">
        <v>519</v>
      </c>
      <c r="C75" s="155" t="s">
        <v>406</v>
      </c>
      <c r="D75" s="155">
        <f t="shared" ref="D75:F75" si="147">+D153</f>
        <v>1.0109999999999999</v>
      </c>
      <c r="E75" s="155">
        <f t="shared" si="147"/>
        <v>1.5210000000000001</v>
      </c>
      <c r="F75" s="155">
        <f t="shared" si="147"/>
        <v>2.532</v>
      </c>
      <c r="H75" s="155">
        <f t="shared" ref="H75:J75" si="148">+H153</f>
        <v>1.3120000000000001</v>
      </c>
      <c r="I75" s="155">
        <f t="shared" si="148"/>
        <v>1.5389999999999999</v>
      </c>
      <c r="J75" s="155">
        <f t="shared" si="148"/>
        <v>2.851</v>
      </c>
      <c r="L75" s="155">
        <f t="shared" ref="L75:N75" si="149">+L153</f>
        <v>1.929</v>
      </c>
      <c r="M75" s="155">
        <f t="shared" si="149"/>
        <v>0.7609999999999999</v>
      </c>
      <c r="N75" s="155">
        <f t="shared" si="149"/>
        <v>2.69</v>
      </c>
      <c r="P75" s="155">
        <f t="shared" ref="P75:R75" si="150">+P153</f>
        <v>1.929</v>
      </c>
      <c r="Q75" s="155">
        <f t="shared" si="150"/>
        <v>1.5029999999999999</v>
      </c>
      <c r="R75" s="155">
        <f t="shared" si="150"/>
        <v>3.4319999999999999</v>
      </c>
      <c r="T75" s="155">
        <f t="shared" ref="T75:V75" si="151">+T153</f>
        <v>1.9279999999999999</v>
      </c>
      <c r="U75" s="155">
        <f t="shared" si="151"/>
        <v>1.4489999999999998</v>
      </c>
      <c r="V75" s="155">
        <f t="shared" si="151"/>
        <v>3.3769999999999998</v>
      </c>
      <c r="X75" s="155">
        <f t="shared" ref="X75:Z75" si="152">+X153</f>
        <v>1.3680000000000001</v>
      </c>
      <c r="Y75" s="155">
        <f t="shared" si="152"/>
        <v>1.7739999999999998</v>
      </c>
      <c r="Z75" s="155">
        <f t="shared" si="152"/>
        <v>3.1419999999999999</v>
      </c>
      <c r="AB75" s="155">
        <f t="shared" ref="AB75:AD75" si="153">+AB153</f>
        <v>1.097</v>
      </c>
      <c r="AC75" s="155">
        <f t="shared" si="153"/>
        <v>1.2360000000000002</v>
      </c>
      <c r="AD75" s="155">
        <f t="shared" si="153"/>
        <v>2.3330000000000002</v>
      </c>
      <c r="AF75" s="155">
        <f>+AF153</f>
        <v>1.7350000000000001</v>
      </c>
      <c r="AG75" s="155">
        <f t="shared" ref="AG75:AH75" si="154">+AG153</f>
        <v>2.141</v>
      </c>
      <c r="AH75" s="155">
        <f t="shared" si="154"/>
        <v>3.8759999999999999</v>
      </c>
      <c r="AJ75" s="155">
        <f>+AJ153</f>
        <v>1.7350000000000001</v>
      </c>
      <c r="AK75" s="155">
        <f t="shared" ref="AK75:AL75" si="155">+AK153</f>
        <v>2.9369999999999994</v>
      </c>
      <c r="AL75" s="155">
        <f t="shared" si="155"/>
        <v>4.6719999999999997</v>
      </c>
      <c r="AN75" s="155">
        <f>+AN153</f>
        <v>1.7350000000000001</v>
      </c>
      <c r="AO75" s="155">
        <f t="shared" ref="AO75:AP75" si="156">+AO153</f>
        <v>3.1415446512250629</v>
      </c>
      <c r="AP75" s="155">
        <f t="shared" si="156"/>
        <v>4.8765446512250632</v>
      </c>
      <c r="AR75" s="155">
        <f t="shared" ref="AR75:AT75" si="157">+AR153</f>
        <v>1.6469562739726027</v>
      </c>
      <c r="AS75" s="155">
        <f t="shared" si="157"/>
        <v>1.6525058005479454</v>
      </c>
      <c r="AT75" s="155">
        <f t="shared" si="157"/>
        <v>3.2994620745205481</v>
      </c>
      <c r="AV75" s="155">
        <f t="shared" ref="AV75:AX75" si="158">+AV153</f>
        <v>1.7134933074410961</v>
      </c>
      <c r="AW75" s="155">
        <f t="shared" si="158"/>
        <v>1.7192670348900823</v>
      </c>
      <c r="AX75" s="155">
        <f t="shared" si="158"/>
        <v>3.4327603423311785</v>
      </c>
      <c r="AZ75" s="155">
        <f t="shared" ref="AZ75:BB75" si="159">+AZ153</f>
        <v>1.7778476216599084</v>
      </c>
      <c r="BA75" s="155">
        <f t="shared" si="159"/>
        <v>1.7936936548094859</v>
      </c>
      <c r="BB75" s="155">
        <f t="shared" si="159"/>
        <v>3.5715412764693943</v>
      </c>
      <c r="BD75" s="155">
        <f t="shared" ref="BD75:BF75" si="160">+BD153</f>
        <v>1.8547402619190099</v>
      </c>
      <c r="BE75" s="155">
        <f t="shared" si="160"/>
        <v>1.8609899301928674</v>
      </c>
      <c r="BF75" s="155">
        <f t="shared" si="160"/>
        <v>3.7157301921118773</v>
      </c>
      <c r="BH75" s="155">
        <f t="shared" ref="BH75:BJ75" si="161">+BH153</f>
        <v>1.929671768500538</v>
      </c>
      <c r="BI75" s="155">
        <f t="shared" si="161"/>
        <v>1.9361739233726594</v>
      </c>
      <c r="BJ75" s="155">
        <f t="shared" si="161"/>
        <v>3.8658456918731972</v>
      </c>
      <c r="BL75" s="155">
        <f t="shared" ref="BL75:BN75" si="162">+BL153</f>
        <v>2.0076305079479599</v>
      </c>
      <c r="BM75" s="155">
        <f t="shared" si="162"/>
        <v>2.0143953498769145</v>
      </c>
      <c r="BN75" s="155">
        <f t="shared" si="162"/>
        <v>4.0220258578248744</v>
      </c>
      <c r="BP75" s="155">
        <f t="shared" ref="BP75:BR75" si="163">+BP153</f>
        <v>2.0830318439103985</v>
      </c>
      <c r="BQ75" s="155">
        <f t="shared" si="163"/>
        <v>2.101597997301774</v>
      </c>
      <c r="BR75" s="155">
        <f t="shared" si="163"/>
        <v>4.184629841212173</v>
      </c>
      <c r="BT75" s="155">
        <f t="shared" ref="BT75:BV75" si="164">+BT153</f>
        <v>2.1731238272000075</v>
      </c>
      <c r="BU75" s="155">
        <f t="shared" si="164"/>
        <v>2.1804463096612245</v>
      </c>
      <c r="BV75" s="155">
        <f t="shared" si="164"/>
        <v>4.3535701368612321</v>
      </c>
      <c r="BX75" s="155">
        <f t="shared" ref="BX75:BZ75" si="165">+BX153</f>
        <v>2.2609180298188876</v>
      </c>
      <c r="BY75" s="155">
        <f t="shared" si="165"/>
        <v>2.2685363405715382</v>
      </c>
      <c r="BZ75" s="155">
        <f t="shared" si="165"/>
        <v>4.5294543703904253</v>
      </c>
    </row>
    <row r="77" spans="1:78" s="157" customFormat="1">
      <c r="A77" s="134"/>
      <c r="B77" s="221" t="s">
        <v>562</v>
      </c>
      <c r="C77" s="157" t="s">
        <v>406</v>
      </c>
      <c r="D77" s="351">
        <f t="shared" ref="D77:F77" si="166">+D74+D75+D76</f>
        <v>39.611999999999952</v>
      </c>
      <c r="E77" s="351">
        <f t="shared" si="166"/>
        <v>77.336000000000027</v>
      </c>
      <c r="F77" s="351">
        <f t="shared" si="166"/>
        <v>116.94799999999999</v>
      </c>
      <c r="H77" s="351">
        <f t="shared" ref="H77:J77" si="167">+H74+H75+H76</f>
        <v>49.698000000000015</v>
      </c>
      <c r="I77" s="351">
        <f t="shared" si="167"/>
        <v>76.666000000000039</v>
      </c>
      <c r="J77" s="351">
        <f t="shared" si="167"/>
        <v>126.36399999999993</v>
      </c>
      <c r="L77" s="351">
        <f t="shared" ref="L77:N77" si="168">+L74+L75+L76</f>
        <v>54.204000000000008</v>
      </c>
      <c r="M77" s="351">
        <f t="shared" si="168"/>
        <v>81.724000000000046</v>
      </c>
      <c r="N77" s="351">
        <f t="shared" si="168"/>
        <v>135.92799999999997</v>
      </c>
      <c r="P77" s="351">
        <f t="shared" ref="P77:R77" si="169">+P74+P75+P76</f>
        <v>62.376000000000047</v>
      </c>
      <c r="Q77" s="351">
        <f t="shared" si="169"/>
        <v>77.217999999999989</v>
      </c>
      <c r="R77" s="351">
        <f t="shared" si="169"/>
        <v>139.59399999999999</v>
      </c>
      <c r="T77" s="351">
        <f t="shared" ref="T77:V77" si="170">+T74+T75+T76</f>
        <v>65.097000000000051</v>
      </c>
      <c r="U77" s="351">
        <f t="shared" si="170"/>
        <v>91.263999999999982</v>
      </c>
      <c r="V77" s="351">
        <f t="shared" si="170"/>
        <v>156.36099999999999</v>
      </c>
      <c r="X77" s="351">
        <f t="shared" ref="X77:Z77" si="171">+X74+X75+X76</f>
        <v>92.184000000000026</v>
      </c>
      <c r="Y77" s="351">
        <f t="shared" si="171"/>
        <v>104.72699999999996</v>
      </c>
      <c r="Z77" s="351">
        <f t="shared" si="171"/>
        <v>196.91100000000003</v>
      </c>
      <c r="AB77" s="351">
        <f t="shared" ref="AB77:AD77" si="172">+AB74+AB75+AB76</f>
        <v>94.021000000000001</v>
      </c>
      <c r="AC77" s="351">
        <f t="shared" si="172"/>
        <v>124.60800000000002</v>
      </c>
      <c r="AD77" s="351">
        <f t="shared" si="172"/>
        <v>218.62899999999991</v>
      </c>
      <c r="AF77" s="351">
        <f>+AF74+AF75+AF76</f>
        <v>135.673</v>
      </c>
      <c r="AG77" s="351">
        <f t="shared" ref="AG77:AH77" si="173">+AG74+AG75+AG76</f>
        <v>212.38200000000001</v>
      </c>
      <c r="AH77" s="351">
        <f t="shared" si="173"/>
        <v>348.05500000000012</v>
      </c>
      <c r="AJ77" s="351">
        <f>+AJ74+AJ75+AJ76</f>
        <v>195.13200000000009</v>
      </c>
      <c r="AK77" s="351">
        <f t="shared" ref="AK77:AL77" si="174">+AK74+AK75+AK76</f>
        <v>239.93400000000005</v>
      </c>
      <c r="AL77" s="351">
        <f t="shared" si="174"/>
        <v>435.08800000000014</v>
      </c>
      <c r="AN77" s="351">
        <f>+AN74+AN75+AN76</f>
        <v>215.97800000000007</v>
      </c>
      <c r="AO77" s="351">
        <f t="shared" ref="AO77:AP77" si="175">+AO74+AO75+AO76</f>
        <v>285.38754465122486</v>
      </c>
      <c r="AP77" s="351">
        <f t="shared" si="175"/>
        <v>501.3875446512248</v>
      </c>
      <c r="AR77" s="351">
        <f t="shared" ref="AR77:AT77" si="176">+AR74+AR75+AR76</f>
        <v>240.86570877397264</v>
      </c>
      <c r="AS77" s="351">
        <f t="shared" si="176"/>
        <v>302.90599080054801</v>
      </c>
      <c r="AT77" s="351">
        <f t="shared" si="176"/>
        <v>543.77169957452043</v>
      </c>
      <c r="AV77" s="351">
        <f t="shared" ref="AV77:AX77" si="177">+AV74+AV75+AV76</f>
        <v>255.48657015705197</v>
      </c>
      <c r="AW77" s="351">
        <f t="shared" si="177"/>
        <v>324.75999527605933</v>
      </c>
      <c r="AX77" s="351">
        <f t="shared" si="177"/>
        <v>580.2465654331113</v>
      </c>
      <c r="AZ77" s="351">
        <f t="shared" ref="AZ77:BB77" si="178">+AZ74+AZ75+AZ76</f>
        <v>272.35820614675765</v>
      </c>
      <c r="BA77" s="351">
        <f t="shared" si="178"/>
        <v>346.20267552102041</v>
      </c>
      <c r="BB77" s="351">
        <f t="shared" si="178"/>
        <v>618.56088166777818</v>
      </c>
      <c r="BD77" s="351">
        <f t="shared" ref="BD77:BF77" si="179">+BD74+BD75+BD76</f>
        <v>282.64656076128176</v>
      </c>
      <c r="BE77" s="351">
        <f t="shared" si="179"/>
        <v>360.04585628591701</v>
      </c>
      <c r="BF77" s="351">
        <f t="shared" si="179"/>
        <v>642.69241704719843</v>
      </c>
      <c r="BH77" s="351">
        <f t="shared" ref="BH77:BJ77" si="180">+BH74+BH75+BH76</f>
        <v>293.41320911718333</v>
      </c>
      <c r="BI77" s="351">
        <f t="shared" si="180"/>
        <v>374.55175050267388</v>
      </c>
      <c r="BJ77" s="351">
        <f t="shared" si="180"/>
        <v>667.96495961985727</v>
      </c>
      <c r="BL77" s="351">
        <f t="shared" ref="BL77:BN77" si="181">+BL74+BL75+BL76</f>
        <v>304.68711209179617</v>
      </c>
      <c r="BM77" s="351">
        <f t="shared" si="181"/>
        <v>389.74819494773817</v>
      </c>
      <c r="BN77" s="351">
        <f t="shared" si="181"/>
        <v>694.43530703953434</v>
      </c>
      <c r="BP77" s="351">
        <f t="shared" ref="BP77:BR77" si="182">+BP74+BP75+BP76</f>
        <v>316.48789345781597</v>
      </c>
      <c r="BQ77" s="351">
        <f t="shared" si="182"/>
        <v>405.67549693432051</v>
      </c>
      <c r="BR77" s="351">
        <f t="shared" si="182"/>
        <v>722.16339039213642</v>
      </c>
      <c r="BT77" s="351">
        <f t="shared" ref="BT77:BV77" si="183">+BT74+BT75+BT76</f>
        <v>328.85931051568616</v>
      </c>
      <c r="BU77" s="351">
        <f t="shared" si="183"/>
        <v>422.35244834699773</v>
      </c>
      <c r="BV77" s="351">
        <f t="shared" si="183"/>
        <v>751.21175886268384</v>
      </c>
      <c r="BX77" s="351">
        <f t="shared" ref="BX77:BZ77" si="184">+BX74+BX75+BX76</f>
        <v>341.81225332809862</v>
      </c>
      <c r="BY77" s="351">
        <f t="shared" si="184"/>
        <v>439.83462866447326</v>
      </c>
      <c r="BZ77" s="351">
        <f t="shared" si="184"/>
        <v>781.64688199257159</v>
      </c>
    </row>
    <row r="78" spans="1:78">
      <c r="B78" s="154" t="s">
        <v>563</v>
      </c>
      <c r="C78" s="155" t="s">
        <v>39</v>
      </c>
      <c r="D78" s="582">
        <f>+D77/'P&amp;L'!D13</f>
        <v>0.18880658906969408</v>
      </c>
      <c r="E78" s="582">
        <f>+E77/'P&amp;L'!E13</f>
        <v>0.32587086688493655</v>
      </c>
      <c r="F78" s="582">
        <f>+F77/'P&amp;L'!F13</f>
        <v>0.2615566633789807</v>
      </c>
      <c r="H78" s="582">
        <f>+H77/'P&amp;L'!H13</f>
        <v>0.23142689502947675</v>
      </c>
      <c r="I78" s="582">
        <f>+I77/'P&amp;L'!I13</f>
        <v>0.30458429841045354</v>
      </c>
      <c r="J78" s="582">
        <f>+J77/'P&amp;L'!J13</f>
        <v>0.27090403534761265</v>
      </c>
      <c r="L78" s="582">
        <f>+L77/'P&amp;L'!L13</f>
        <v>0.23660983211545014</v>
      </c>
      <c r="M78" s="582">
        <f>+M77/'P&amp;L'!M13</f>
        <v>0.3045459796457573</v>
      </c>
      <c r="N78" s="582">
        <f>+N77/'P&amp;L'!N13</f>
        <v>0.27325891125035928</v>
      </c>
      <c r="P78" s="582">
        <f>+P77/'P&amp;L'!P13</f>
        <v>0.23307326697157221</v>
      </c>
      <c r="Q78" s="582">
        <f>+Q77/'P&amp;L'!Q13</f>
        <v>0.27724300860617329</v>
      </c>
      <c r="R78" s="582">
        <f>+R77/'P&amp;L'!R13</f>
        <v>0.2555987878676908</v>
      </c>
      <c r="T78" s="582">
        <f>+T77/'P&amp;L'!T13</f>
        <v>0.23706981317600803</v>
      </c>
      <c r="U78" s="582">
        <f>+U77/'P&amp;L'!U13</f>
        <v>0.29100648884779107</v>
      </c>
      <c r="V78" s="582">
        <f>+V77/'P&amp;L'!V13</f>
        <v>0.2658273901105907</v>
      </c>
      <c r="X78" s="582">
        <f>+X77/'P&amp;L'!X13</f>
        <v>0.29444043413546622</v>
      </c>
      <c r="Y78" s="582">
        <f>+Y77/'P&amp;L'!Y13</f>
        <v>0.30601081719179613</v>
      </c>
      <c r="Z78" s="582">
        <f>+Z77/'P&amp;L'!Z13</f>
        <v>0.30048297383700973</v>
      </c>
      <c r="AB78" s="582">
        <f>+AB77/'P&amp;L'!AB13</f>
        <v>0.28642322068854165</v>
      </c>
      <c r="AC78" s="582">
        <f>+AC77/'P&amp;L'!AC13</f>
        <v>0.34308086662279774</v>
      </c>
      <c r="AD78" s="582">
        <f>+AD77/'P&amp;L'!AD13</f>
        <v>0.31618368037578343</v>
      </c>
      <c r="AF78" s="582">
        <f>+AF77/'P&amp;L'!AF13</f>
        <v>0.29036303672742603</v>
      </c>
      <c r="AG78" s="582">
        <f>+AG77/'P&amp;L'!AG13</f>
        <v>0.32827534186653645</v>
      </c>
      <c r="AH78" s="582">
        <f>+AH77/'P&amp;L'!AH13</f>
        <v>0.31237659484336977</v>
      </c>
      <c r="AJ78" s="582">
        <f>+AJ77/'P&amp;L'!AJ13</f>
        <v>0.30619748146404624</v>
      </c>
      <c r="AK78" s="582">
        <f>+AK77/'P&amp;L'!AK13</f>
        <v>0.34383907344273301</v>
      </c>
      <c r="AL78" s="582">
        <f>+AL77/'P&amp;L'!AL13</f>
        <v>0.32588273889863439</v>
      </c>
      <c r="AN78" s="582">
        <f>+AN77/'P&amp;L'!AN13</f>
        <v>0.30244444817870697</v>
      </c>
      <c r="AO78" s="582">
        <f>+AO77/'P&amp;L'!AO13</f>
        <v>0.36146281627948712</v>
      </c>
      <c r="AP78" s="582">
        <f>+AP77/'P&amp;L'!AP13</f>
        <v>0.33344364911813795</v>
      </c>
      <c r="AR78" s="582">
        <f>+AR77/'P&amp;L'!AR13</f>
        <v>0.31474534838671719</v>
      </c>
      <c r="AS78" s="582">
        <f>+AS77/'P&amp;L'!AS13</f>
        <v>0.36748184561260522</v>
      </c>
      <c r="AT78" s="582">
        <f>+AT77/'P&amp;L'!AT13</f>
        <v>0.3420923704917847</v>
      </c>
      <c r="AV78" s="582">
        <f>+AV77/'P&amp;L'!AV13</f>
        <v>0.31985792223328702</v>
      </c>
      <c r="AW78" s="582">
        <f>+AW77/'P&amp;L'!AW13</f>
        <v>0.37624362891912172</v>
      </c>
      <c r="AX78" s="582">
        <f>+AX77/'P&amp;L'!AX13</f>
        <v>0.34914349896020702</v>
      </c>
      <c r="AZ78" s="582">
        <f>+AZ77/'P&amp;L'!AZ13</f>
        <v>0.32693117716281389</v>
      </c>
      <c r="BA78" s="582">
        <f>+BA77/'P&amp;L'!BA13</f>
        <v>0.38375749703366241</v>
      </c>
      <c r="BB78" s="582">
        <f>+BB77/'P&amp;L'!BB13</f>
        <v>0.35647522360382766</v>
      </c>
      <c r="BD78" s="582">
        <f>+BD77/'P&amp;L'!BD13</f>
        <v>0.32695429896224737</v>
      </c>
      <c r="BE78" s="582">
        <f>+BE77/'P&amp;L'!BE13</f>
        <v>0.38387497944253801</v>
      </c>
      <c r="BF78" s="582">
        <f>+BF77/'P&amp;L'!BF13</f>
        <v>0.35657429161964371</v>
      </c>
      <c r="BH78" s="582">
        <f>+BH77/'P&amp;L'!BH13</f>
        <v>0.32697319729555407</v>
      </c>
      <c r="BI78" s="582">
        <f>+BI77/'P&amp;L'!BI13</f>
        <v>0.38399704394823853</v>
      </c>
      <c r="BJ78" s="582">
        <f>+BJ77/'P&amp;L'!BJ13</f>
        <v>0.35667325734967031</v>
      </c>
      <c r="BL78" s="582">
        <f>+BL77/'P&amp;L'!BL13</f>
        <v>0.32699375256798324</v>
      </c>
      <c r="BM78" s="582">
        <f>+BM77/'P&amp;L'!BM13</f>
        <v>0.38411820315034717</v>
      </c>
      <c r="BN78" s="582">
        <f>+BN77/'P&amp;L'!BN13</f>
        <v>0.35677208193591681</v>
      </c>
      <c r="BP78" s="582">
        <f>+BP77/'P&amp;L'!BP13</f>
        <v>0.32701010217599252</v>
      </c>
      <c r="BQ78" s="582">
        <f>+BQ77/'P&amp;L'!BQ13</f>
        <v>0.3842439937093346</v>
      </c>
      <c r="BR78" s="582">
        <f>+BR77/'P&amp;L'!BR13</f>
        <v>0.35687084192634888</v>
      </c>
      <c r="BT78" s="582">
        <f>+BT77/'P&amp;L'!BT13</f>
        <v>0.32703997055844752</v>
      </c>
      <c r="BU78" s="582">
        <f>+BU77/'P&amp;L'!BU13</f>
        <v>0.38435790122318225</v>
      </c>
      <c r="BV78" s="582">
        <f>+BV77/'P&amp;L'!BV13</f>
        <v>0.35696939095244329</v>
      </c>
      <c r="BX78" s="582">
        <f>+BX77/'P&amp;L'!BX13</f>
        <v>0.32706570235033111</v>
      </c>
      <c r="BY78" s="582">
        <f>+BY77/'P&amp;L'!BY13</f>
        <v>0.38447649555970648</v>
      </c>
      <c r="BZ78" s="582">
        <f>+BZ77/'P&amp;L'!BZ13</f>
        <v>0.35706792360212908</v>
      </c>
    </row>
    <row r="80" spans="1:78" s="157" customFormat="1">
      <c r="A80" s="134"/>
      <c r="B80" s="221" t="s">
        <v>672</v>
      </c>
      <c r="C80" s="157" t="s">
        <v>406</v>
      </c>
      <c r="D80" s="157">
        <f>+'P&amp;L'!D71</f>
        <v>20.731999999999946</v>
      </c>
      <c r="E80" s="157">
        <f>+'P&amp;L'!E71</f>
        <v>46.112789419343606</v>
      </c>
      <c r="F80" s="157">
        <f>+'P&amp;L'!F71</f>
        <v>60.762986364652413</v>
      </c>
      <c r="H80" s="157">
        <f>+'P&amp;L'!H71</f>
        <v>23.168986158091524</v>
      </c>
      <c r="I80" s="157">
        <f>+'P&amp;L'!I71</f>
        <v>42.121884181698817</v>
      </c>
      <c r="J80" s="157">
        <f>+'P&amp;L'!J71</f>
        <v>62.34223393845749</v>
      </c>
      <c r="L80" s="157">
        <f>+'P&amp;L'!L71</f>
        <v>24.721283142963188</v>
      </c>
      <c r="M80" s="157">
        <f>+'P&amp;L'!M71</f>
        <v>46.539296659555689</v>
      </c>
      <c r="N80" s="157">
        <f>+'P&amp;L'!N71</f>
        <v>69.278914131665815</v>
      </c>
      <c r="P80" s="157">
        <f>+'P&amp;L'!P71</f>
        <v>31.843348742918206</v>
      </c>
      <c r="Q80" s="157">
        <f>+'P&amp;L'!Q71</f>
        <v>44.332741370860454</v>
      </c>
      <c r="R80" s="157">
        <f>+'P&amp;L'!R71</f>
        <v>75.885520061265396</v>
      </c>
      <c r="T80" s="157">
        <f>+'P&amp;L'!T71</f>
        <v>35.662423469121002</v>
      </c>
      <c r="U80" s="157">
        <f>+'P&amp;L'!U71</f>
        <v>43.210539340760839</v>
      </c>
      <c r="V80" s="157">
        <f>+'P&amp;L'!V71</f>
        <v>78.688201855761733</v>
      </c>
      <c r="X80" s="157">
        <f>+'P&amp;L'!X71</f>
        <v>48.151743038109068</v>
      </c>
      <c r="Y80" s="157">
        <f>+'P&amp;L'!Y71</f>
        <v>54.546034960165478</v>
      </c>
      <c r="Z80" s="157">
        <f>+'P&amp;L'!Z71</f>
        <v>102.69884808454431</v>
      </c>
      <c r="AB80" s="157">
        <f>+'P&amp;L'!AB71</f>
        <v>47.571371597080706</v>
      </c>
      <c r="AC80" s="157">
        <f>+'P&amp;L'!AC71</f>
        <v>65.54361459647707</v>
      </c>
      <c r="AD80" s="157">
        <f>+'P&amp;L'!AD71</f>
        <v>113.12633375744403</v>
      </c>
      <c r="AF80" s="157">
        <f>+'P&amp;L'!AF71</f>
        <v>80.359717264746365</v>
      </c>
      <c r="AG80" s="157">
        <f>+'P&amp;L'!AG71</f>
        <v>144.85920228119838</v>
      </c>
      <c r="AH80" s="157">
        <f>+'P&amp;L'!AH71</f>
        <v>225.20030742740076</v>
      </c>
      <c r="AJ80" s="157">
        <f>+'P&amp;L'!AJ71</f>
        <v>129.36871970777895</v>
      </c>
      <c r="AK80" s="157">
        <f>+'P&amp;L'!AK71</f>
        <v>165.52140502406832</v>
      </c>
      <c r="AL80" s="157">
        <f>+'P&amp;L'!AL71</f>
        <v>294.90018808498962</v>
      </c>
      <c r="AN80" s="157">
        <f>+'P&amp;L'!AN71</f>
        <v>140.43595252864651</v>
      </c>
      <c r="AO80" s="157">
        <f>+'P&amp;L'!AO71</f>
        <v>198.22411078234848</v>
      </c>
      <c r="AP80" s="157">
        <f>+'P&amp;L'!AP71</f>
        <v>338.7554602019294</v>
      </c>
      <c r="AR80" s="157">
        <f>+'P&amp;L'!AR71</f>
        <v>160.54201467497558</v>
      </c>
      <c r="AS80" s="157">
        <f>+'P&amp;L'!AS71</f>
        <v>213.25636839072882</v>
      </c>
      <c r="AT80" s="157">
        <f>+'P&amp;L'!AT71</f>
        <v>373.83734465174825</v>
      </c>
      <c r="AV80" s="157">
        <f>+'P&amp;L'!AV71</f>
        <v>170.23015861380404</v>
      </c>
      <c r="AW80" s="157">
        <f>+'P&amp;L'!AW71</f>
        <v>229.32158439424222</v>
      </c>
      <c r="AX80" s="157">
        <f>+'P&amp;L'!AX71</f>
        <v>399.59269016707066</v>
      </c>
      <c r="AZ80" s="157">
        <f>+'P&amp;L'!AZ71</f>
        <v>181.96191180335282</v>
      </c>
      <c r="BA80" s="157">
        <f>+'P&amp;L'!BA71</f>
        <v>244.67800701344981</v>
      </c>
      <c r="BB80" s="157">
        <f>+'P&amp;L'!BB71</f>
        <v>426.67783946063207</v>
      </c>
      <c r="BD80" s="157">
        <f>+'P&amp;L'!BD71</f>
        <v>188.87891465928448</v>
      </c>
      <c r="BE80" s="157">
        <f>+'P&amp;L'!BE71</f>
        <v>254.51837691594437</v>
      </c>
      <c r="BF80" s="157">
        <f>+'P&amp;L'!BF71</f>
        <v>443.43508065290416</v>
      </c>
      <c r="BH80" s="157">
        <f>+'P&amp;L'!BH71</f>
        <v>196.1178705288724</v>
      </c>
      <c r="BI80" s="157">
        <f>+'P&amp;L'!BI71</f>
        <v>264.82239055906831</v>
      </c>
      <c r="BJ80" s="157">
        <f>+'P&amp;L'!BJ71</f>
        <v>460.97792097800993</v>
      </c>
      <c r="BL80" s="157">
        <f>+'P&amp;L'!BL71</f>
        <v>203.6946090857146</v>
      </c>
      <c r="BM80" s="157">
        <f>+'P&amp;L'!BM71</f>
        <v>275.6128578778783</v>
      </c>
      <c r="BN80" s="157">
        <f>+'P&amp;L'!BN71</f>
        <v>479.34500014301028</v>
      </c>
      <c r="BP80" s="157">
        <f>+'P&amp;L'!BP71</f>
        <v>211.62575874410223</v>
      </c>
      <c r="BQ80" s="157">
        <f>+'P&amp;L'!BQ71</f>
        <v>286.91373531660452</v>
      </c>
      <c r="BR80" s="157">
        <f>+'P&amp;L'!BR71</f>
        <v>498.57690309308697</v>
      </c>
      <c r="BT80" s="157">
        <f>+'P&amp;L'!BT71</f>
        <v>219.92878766972265</v>
      </c>
      <c r="BU80" s="157">
        <f>+'P&amp;L'!BU71</f>
        <v>298.75018430573289</v>
      </c>
      <c r="BV80" s="157">
        <f>+'P&amp;L'!BV71</f>
        <v>518.71625949966415</v>
      </c>
      <c r="BX80" s="157">
        <f>+'P&amp;L'!BX71</f>
        <v>228.62204692054328</v>
      </c>
      <c r="BY80" s="157">
        <f>+'P&amp;L'!BY71</f>
        <v>311.14863275231846</v>
      </c>
      <c r="BZ80" s="157">
        <f>+'P&amp;L'!BZ71</f>
        <v>539.80784839195883</v>
      </c>
    </row>
    <row r="81" spans="1:78">
      <c r="B81" s="154" t="s">
        <v>621</v>
      </c>
      <c r="C81" s="155" t="s">
        <v>406</v>
      </c>
      <c r="D81" s="155">
        <f>+D153*'P&amp;L'!D31</f>
        <v>0.54299246133519785</v>
      </c>
      <c r="E81" s="155">
        <f>+E153*'P&amp;L'!E31</f>
        <v>0.92511445897014566</v>
      </c>
      <c r="F81" s="155">
        <f>+F153*'P&amp;L'!F31</f>
        <v>1.3446710379256388</v>
      </c>
      <c r="H81" s="155">
        <f>+H153*'P&amp;L'!H31</f>
        <v>0.62823357664233592</v>
      </c>
      <c r="I81" s="155">
        <f>+I153*'P&amp;L'!I31</f>
        <v>0.86287992007712866</v>
      </c>
      <c r="J81" s="155">
        <f>+J153*'P&amp;L'!J31</f>
        <v>1.4390202566413446</v>
      </c>
      <c r="L81" s="155">
        <f>+L153*'P&amp;L'!L31</f>
        <v>0.91224017566285964</v>
      </c>
      <c r="M81" s="155">
        <f>+M153*'P&amp;L'!M31</f>
        <v>0.43743938290233636</v>
      </c>
      <c r="N81" s="155">
        <f>+N153*'P&amp;L'!N31</f>
        <v>1.3987021646540858</v>
      </c>
      <c r="P81" s="155">
        <f>+P153*'P&amp;L'!P31</f>
        <v>1.0161930240556054</v>
      </c>
      <c r="Q81" s="155">
        <f>+Q153*'P&amp;L'!Q31</f>
        <v>0.88003843730308751</v>
      </c>
      <c r="R81" s="155">
        <f>+R153*'P&amp;L'!R31</f>
        <v>1.9127150368697792</v>
      </c>
      <c r="T81" s="155">
        <f>+T153*'P&amp;L'!T31</f>
        <v>1.0884635255974484</v>
      </c>
      <c r="U81" s="155">
        <f>+U153*'P&amp;L'!U31</f>
        <v>0.69712265773826709</v>
      </c>
      <c r="V81" s="155">
        <f>+V153*'P&amp;L'!V31</f>
        <v>1.7369794074341594</v>
      </c>
      <c r="X81" s="155">
        <f>+X153*'P&amp;L'!X31</f>
        <v>0.70682339619970991</v>
      </c>
      <c r="Y81" s="155">
        <f>+Y153*'P&amp;L'!Y31</f>
        <v>0.92040760235115815</v>
      </c>
      <c r="Z81" s="155">
        <f>+Z153*'P&amp;L'!Z31</f>
        <v>1.6270330250990759</v>
      </c>
      <c r="AB81" s="155">
        <f>+AB153*'P&amp;L'!AB31</f>
        <v>0.54743208962871037</v>
      </c>
      <c r="AC81" s="155">
        <f>+AC153*'P&amp;L'!AC31</f>
        <v>0.6475176904052895</v>
      </c>
      <c r="AD81" s="155">
        <f>+AD153*'P&amp;L'!AD31</f>
        <v>1.1975773969918768</v>
      </c>
      <c r="AF81" s="155">
        <f>+AF153*'P&amp;L'!AF31</f>
        <v>0.9677069479767807</v>
      </c>
      <c r="AG81" s="155">
        <f>+AG153*'P&amp;L'!AG31</f>
        <v>1.37683286158675</v>
      </c>
      <c r="AH81" s="155">
        <f>+AH153*'P&amp;L'!AH31</f>
        <v>2.3606865206930716</v>
      </c>
      <c r="AJ81" s="155">
        <f>+AJ153*'P&amp;L'!AJ31</f>
        <v>1.074152852707577</v>
      </c>
      <c r="AK81" s="155">
        <f>+AK153*'P&amp;L'!AK31</f>
        <v>1.9599329980111257</v>
      </c>
      <c r="AL81" s="155">
        <f>+AL153*'P&amp;L'!AL31</f>
        <v>3.0188071637580385</v>
      </c>
      <c r="AN81" s="155">
        <f>+AN153*'P&amp;L'!AN31</f>
        <v>1.0698195054708362</v>
      </c>
      <c r="AO81" s="155">
        <f>+AO153*'P&amp;L'!AO31</f>
        <v>2.117051867824697</v>
      </c>
      <c r="AP81" s="155">
        <f>+AP153*'P&amp;L'!AP31</f>
        <v>3.1676759407848341</v>
      </c>
      <c r="AR81" s="155">
        <f>+AR153*'P&amp;L'!AR31</f>
        <v>1.0432068906196501</v>
      </c>
      <c r="AS81" s="155">
        <f>+AS153*'P&amp;L'!AS31</f>
        <v>1.1268854766699834</v>
      </c>
      <c r="AT81" s="155">
        <f>+AT153*'P&amp;L'!AT31</f>
        <v>2.1803248818843954</v>
      </c>
      <c r="AV81" s="155">
        <f>+AV153*'P&amp;L'!AV31</f>
        <v>1.0901986751561399</v>
      </c>
      <c r="AW81" s="155">
        <f>+AW153*'P&amp;L'!AW31</f>
        <v>1.1802588806267968</v>
      </c>
      <c r="AX81" s="155">
        <f>+AX153*'P&amp;L'!AX31</f>
        <v>2.2818794687786963</v>
      </c>
      <c r="AZ81" s="155">
        <f>+AZ153*'P&amp;L'!AZ31</f>
        <v>1.1398804758344543</v>
      </c>
      <c r="BA81" s="155">
        <f>+BA153*'P&amp;L'!BA31</f>
        <v>1.2360404545808312</v>
      </c>
      <c r="BB81" s="155">
        <f>+BB153*'P&amp;L'!BB31</f>
        <v>2.3869135963564254</v>
      </c>
      <c r="BD81" s="155">
        <f>+BD153*'P&amp;L'!BD31</f>
        <v>1.1918481739475844</v>
      </c>
      <c r="BE81" s="155">
        <f>+BE153*'P&amp;L'!BE31</f>
        <v>1.2843467368195594</v>
      </c>
      <c r="BF81" s="155">
        <f>+BF153*'P&amp;L'!BF31</f>
        <v>2.4878369570997787</v>
      </c>
      <c r="BH81" s="155">
        <f>+BH153*'P&amp;L'!BH31</f>
        <v>1.2426535601632556</v>
      </c>
      <c r="BI81" s="155">
        <f>+BI153*'P&amp;L'!BI31</f>
        <v>1.3381471468677959</v>
      </c>
      <c r="BJ81" s="155">
        <f>+BJ153*'P&amp;L'!BJ31</f>
        <v>2.5928724163916925</v>
      </c>
      <c r="BL81" s="155">
        <f>+BL153*'P&amp;L'!BL31</f>
        <v>1.2954961639665257</v>
      </c>
      <c r="BM81" s="155">
        <f>+BM153*'P&amp;L'!BM31</f>
        <v>1.3940993464348694</v>
      </c>
      <c r="BN81" s="155">
        <f>+BN153*'P&amp;L'!BN31</f>
        <v>2.7021133941939266</v>
      </c>
      <c r="BP81" s="155">
        <f>+BP153*'P&amp;L'!BP31</f>
        <v>1.3467657654354261</v>
      </c>
      <c r="BQ81" s="155">
        <f>+BQ153*'P&amp;L'!BQ31</f>
        <v>1.4563215680221742</v>
      </c>
      <c r="BR81" s="155">
        <f>+BR153*'P&amp;L'!BR31</f>
        <v>2.8158014040332238</v>
      </c>
      <c r="BT81" s="155">
        <f>+BT153*'P&amp;L'!BT31</f>
        <v>1.4076143183450736</v>
      </c>
      <c r="BU81" s="155">
        <f>+BU153*'P&amp;L'!BU31</f>
        <v>1.5128002766987239</v>
      </c>
      <c r="BV81" s="155">
        <f>+BV153*'P&amp;L'!BV31</f>
        <v>2.9338771755116122</v>
      </c>
      <c r="BX81" s="155">
        <f>+BX153*'P&amp;L'!BX31</f>
        <v>1.4670583793155492</v>
      </c>
      <c r="BY81" s="155">
        <f>+BY153*'P&amp;L'!BY31</f>
        <v>1.5757279732660165</v>
      </c>
      <c r="BZ81" s="155">
        <f>+BZ153*'P&amp;L'!BZ31</f>
        <v>3.0567489355396029</v>
      </c>
    </row>
    <row r="83" spans="1:78" s="157" customFormat="1">
      <c r="A83" s="134"/>
      <c r="B83" s="221" t="s">
        <v>540</v>
      </c>
      <c r="C83" s="157" t="s">
        <v>406</v>
      </c>
      <c r="D83" s="351">
        <f t="shared" ref="D83" si="185">+D80+D81+D82</f>
        <v>21.274992461335145</v>
      </c>
      <c r="E83" s="351">
        <f t="shared" ref="E83" si="186">+E80+E81+E82</f>
        <v>47.037903878313749</v>
      </c>
      <c r="F83" s="351">
        <f t="shared" ref="F83" si="187">+F80+F81+F82</f>
        <v>62.107657402578049</v>
      </c>
      <c r="H83" s="351">
        <f t="shared" ref="H83" si="188">+H80+H81+H82</f>
        <v>23.797219734733861</v>
      </c>
      <c r="I83" s="351">
        <f t="shared" ref="I83" si="189">+I80+I81+I82</f>
        <v>42.984764101775944</v>
      </c>
      <c r="J83" s="351">
        <f t="shared" ref="J83" si="190">+J80+J81+J82</f>
        <v>63.781254195098832</v>
      </c>
      <c r="L83" s="351">
        <f t="shared" ref="L83" si="191">+L80+L81+L82</f>
        <v>25.633523318626047</v>
      </c>
      <c r="M83" s="351">
        <f t="shared" ref="M83" si="192">+M80+M81+M82</f>
        <v>46.976736042458022</v>
      </c>
      <c r="N83" s="351">
        <f t="shared" ref="N83" si="193">+N80+N81+N82</f>
        <v>70.677616296319897</v>
      </c>
      <c r="P83" s="351">
        <f t="shared" ref="P83" si="194">+P80+P81+P82</f>
        <v>32.859541766973813</v>
      </c>
      <c r="Q83" s="351">
        <f t="shared" ref="Q83" si="195">+Q80+Q81+Q82</f>
        <v>45.212779808163539</v>
      </c>
      <c r="R83" s="351">
        <f t="shared" ref="R83" si="196">+R80+R81+R82</f>
        <v>77.79823509813518</v>
      </c>
      <c r="T83" s="351">
        <f t="shared" ref="T83" si="197">+T80+T81+T82</f>
        <v>36.750886994718449</v>
      </c>
      <c r="U83" s="351">
        <f t="shared" ref="U83" si="198">+U80+U81+U82</f>
        <v>43.907661998499108</v>
      </c>
      <c r="V83" s="351">
        <f t="shared" ref="V83" si="199">+V80+V81+V82</f>
        <v>80.425181263195896</v>
      </c>
      <c r="X83" s="351">
        <f t="shared" ref="X83" si="200">+X80+X81+X82</f>
        <v>48.858566434308777</v>
      </c>
      <c r="Y83" s="351">
        <f t="shared" ref="Y83" si="201">+Y80+Y81+Y82</f>
        <v>55.466442562516633</v>
      </c>
      <c r="Z83" s="351">
        <f t="shared" ref="Z83" si="202">+Z80+Z81+Z82</f>
        <v>104.32588110964339</v>
      </c>
      <c r="AB83" s="351">
        <f t="shared" ref="AB83" si="203">+AB80+AB81+AB82</f>
        <v>48.118803686709413</v>
      </c>
      <c r="AC83" s="351">
        <f t="shared" ref="AC83" si="204">+AC80+AC81+AC82</f>
        <v>66.191132286882365</v>
      </c>
      <c r="AD83" s="351">
        <f t="shared" ref="AD83" si="205">+AD80+AD81+AD82</f>
        <v>114.3239111544359</v>
      </c>
      <c r="AF83" s="351">
        <f>+AF80+AF81+AF82</f>
        <v>81.327424212723145</v>
      </c>
      <c r="AG83" s="351">
        <f t="shared" ref="AG83:AH83" si="206">+AG80+AG81+AG82</f>
        <v>146.23603514278514</v>
      </c>
      <c r="AH83" s="351">
        <f t="shared" si="206"/>
        <v>227.56099394809382</v>
      </c>
      <c r="AJ83" s="351">
        <f>+AJ80+AJ81+AJ82</f>
        <v>130.44287256048653</v>
      </c>
      <c r="AK83" s="351">
        <f t="shared" ref="AK83:AL83" si="207">+AK80+AK81+AK82</f>
        <v>167.48133802207943</v>
      </c>
      <c r="AL83" s="351">
        <f t="shared" si="207"/>
        <v>297.91899524874765</v>
      </c>
      <c r="AN83" s="351">
        <f>+AN80+AN81+AN82</f>
        <v>141.50577203411734</v>
      </c>
      <c r="AO83" s="351">
        <f t="shared" ref="AO83:AP83" si="208">+AO80+AO81+AO82</f>
        <v>200.34116265017317</v>
      </c>
      <c r="AP83" s="351">
        <f t="shared" si="208"/>
        <v>341.92313614271421</v>
      </c>
      <c r="AR83" s="351">
        <f t="shared" ref="AR83" si="209">+AR80+AR81+AR82</f>
        <v>161.58522156559522</v>
      </c>
      <c r="AS83" s="351">
        <f t="shared" ref="AS83" si="210">+AS80+AS81+AS82</f>
        <v>214.38325386739882</v>
      </c>
      <c r="AT83" s="351">
        <f t="shared" ref="AT83" si="211">+AT80+AT81+AT82</f>
        <v>376.01766953363267</v>
      </c>
      <c r="AV83" s="351">
        <f t="shared" ref="AV83" si="212">+AV80+AV81+AV82</f>
        <v>171.32035728896017</v>
      </c>
      <c r="AW83" s="351">
        <f t="shared" ref="AW83" si="213">+AW80+AW81+AW82</f>
        <v>230.50184327486903</v>
      </c>
      <c r="AX83" s="351">
        <f t="shared" ref="AX83" si="214">+AX80+AX81+AX82</f>
        <v>401.87456963584935</v>
      </c>
      <c r="AZ83" s="351">
        <f t="shared" ref="AZ83" si="215">+AZ80+AZ81+AZ82</f>
        <v>183.10179227918726</v>
      </c>
      <c r="BA83" s="351">
        <f t="shared" ref="BA83" si="216">+BA80+BA81+BA82</f>
        <v>245.91404746803065</v>
      </c>
      <c r="BB83" s="351">
        <f t="shared" ref="BB83" si="217">+BB80+BB81+BB82</f>
        <v>429.06475305698848</v>
      </c>
      <c r="BD83" s="351">
        <f t="shared" ref="BD83" si="218">+BD80+BD81+BD82</f>
        <v>190.07076283323207</v>
      </c>
      <c r="BE83" s="351">
        <f t="shared" ref="BE83" si="219">+BE80+BE81+BE82</f>
        <v>255.80272365276394</v>
      </c>
      <c r="BF83" s="351">
        <f t="shared" ref="BF83" si="220">+BF80+BF81+BF82</f>
        <v>445.92291761000394</v>
      </c>
      <c r="BH83" s="351">
        <f t="shared" ref="BH83" si="221">+BH80+BH81+BH82</f>
        <v>197.36052408903566</v>
      </c>
      <c r="BI83" s="351">
        <f t="shared" ref="BI83" si="222">+BI80+BI81+BI82</f>
        <v>266.16053770593612</v>
      </c>
      <c r="BJ83" s="351">
        <f t="shared" ref="BJ83" si="223">+BJ80+BJ81+BJ82</f>
        <v>463.57079339440162</v>
      </c>
      <c r="BL83" s="351">
        <f t="shared" ref="BL83" si="224">+BL80+BL81+BL82</f>
        <v>204.99010524968114</v>
      </c>
      <c r="BM83" s="351">
        <f t="shared" ref="BM83" si="225">+BM80+BM81+BM82</f>
        <v>277.00695722431317</v>
      </c>
      <c r="BN83" s="351">
        <f t="shared" ref="BN83" si="226">+BN80+BN81+BN82</f>
        <v>482.04711353720421</v>
      </c>
      <c r="BP83" s="351">
        <f t="shared" ref="BP83" si="227">+BP80+BP81+BP82</f>
        <v>212.97252450953766</v>
      </c>
      <c r="BQ83" s="351">
        <f t="shared" ref="BQ83" si="228">+BQ80+BQ81+BQ82</f>
        <v>288.37005688462671</v>
      </c>
      <c r="BR83" s="351">
        <f t="shared" ref="BR83" si="229">+BR80+BR81+BR82</f>
        <v>501.39270449712018</v>
      </c>
      <c r="BT83" s="351">
        <f t="shared" ref="BT83:BV83" si="230">+BT80+BT81+BT82</f>
        <v>221.33640198806773</v>
      </c>
      <c r="BU83" s="351">
        <f t="shared" si="230"/>
        <v>300.26298458243161</v>
      </c>
      <c r="BV83" s="351">
        <f t="shared" si="230"/>
        <v>521.65013667517576</v>
      </c>
      <c r="BX83" s="351">
        <f t="shared" ref="BX83:BZ83" si="231">+BX80+BX81+BX82</f>
        <v>230.08910529985883</v>
      </c>
      <c r="BY83" s="351">
        <f t="shared" si="231"/>
        <v>312.72436072558446</v>
      </c>
      <c r="BZ83" s="351">
        <f t="shared" si="231"/>
        <v>542.86459732749847</v>
      </c>
    </row>
    <row r="84" spans="1:78" s="157" customFormat="1">
      <c r="A84" s="134"/>
      <c r="B84" s="221" t="s">
        <v>546</v>
      </c>
      <c r="C84" s="157" t="s">
        <v>406</v>
      </c>
      <c r="D84" s="351"/>
      <c r="E84" s="351">
        <f t="shared" ref="E84" si="232">+E83+D83</f>
        <v>68.312896339648887</v>
      </c>
      <c r="F84" s="351">
        <f t="shared" ref="F84" si="233">+D83+E83</f>
        <v>68.312896339648887</v>
      </c>
      <c r="H84" s="351">
        <f t="shared" ref="H84" si="234">+H83+E83</f>
        <v>70.835123613047614</v>
      </c>
      <c r="I84" s="351">
        <f t="shared" ref="I84" si="235">+I83+H83</f>
        <v>66.781983836509809</v>
      </c>
      <c r="J84" s="351">
        <f t="shared" ref="J84" si="236">+H83+I83</f>
        <v>66.781983836509809</v>
      </c>
      <c r="L84" s="351">
        <f t="shared" ref="L84" si="237">+L83+I83</f>
        <v>68.618287420401998</v>
      </c>
      <c r="M84" s="351">
        <f t="shared" ref="M84" si="238">+M83+L83</f>
        <v>72.610259361084076</v>
      </c>
      <c r="N84" s="351">
        <f t="shared" ref="N84" si="239">+L83+M83</f>
        <v>72.610259361084076</v>
      </c>
      <c r="P84" s="351">
        <f t="shared" ref="P84" si="240">+P83+M83</f>
        <v>79.836277809431834</v>
      </c>
      <c r="Q84" s="351">
        <f t="shared" ref="Q84" si="241">+Q83+P83</f>
        <v>78.072321575137352</v>
      </c>
      <c r="R84" s="351">
        <f t="shared" ref="R84" si="242">+P83+Q83</f>
        <v>78.072321575137352</v>
      </c>
      <c r="T84" s="351">
        <f t="shared" ref="T84" si="243">+T83+Q83</f>
        <v>81.963666802881988</v>
      </c>
      <c r="U84" s="351">
        <f t="shared" ref="U84" si="244">+U83+T83</f>
        <v>80.658548993217551</v>
      </c>
      <c r="V84" s="351">
        <f t="shared" ref="V84" si="245">+T83+U83</f>
        <v>80.658548993217551</v>
      </c>
      <c r="X84" s="351">
        <f>+X83+U83</f>
        <v>92.766228432807878</v>
      </c>
      <c r="Y84" s="351">
        <f>+Y83+X83</f>
        <v>104.3250089968254</v>
      </c>
      <c r="Z84" s="351">
        <f>+X83+Y83</f>
        <v>104.3250089968254</v>
      </c>
      <c r="AB84" s="351">
        <f t="shared" ref="AB84" si="246">+AB83+Y83</f>
        <v>103.58524624922605</v>
      </c>
      <c r="AC84" s="351">
        <f t="shared" ref="AC84" si="247">+AC83+AB83</f>
        <v>114.30993597359178</v>
      </c>
      <c r="AD84" s="351">
        <f t="shared" ref="AD84" si="248">+AB83+AC83</f>
        <v>114.30993597359178</v>
      </c>
      <c r="AF84" s="351">
        <f t="shared" ref="AF84" si="249">+AF83+AC83</f>
        <v>147.51855649960549</v>
      </c>
      <c r="AG84" s="351">
        <f t="shared" ref="AG84" si="250">+AG83+AF83</f>
        <v>227.56345935550829</v>
      </c>
      <c r="AH84" s="351">
        <f t="shared" ref="AH84" si="251">+AF83+AG83</f>
        <v>227.56345935550829</v>
      </c>
      <c r="AJ84" s="351">
        <f t="shared" ref="AJ84" si="252">+AJ83+AG83</f>
        <v>276.67890770327165</v>
      </c>
      <c r="AK84" s="351">
        <f t="shared" ref="AK84" si="253">+AK83+AJ83</f>
        <v>297.92421058256593</v>
      </c>
      <c r="AL84" s="351">
        <f t="shared" ref="AL84" si="254">+AJ83+AK83</f>
        <v>297.92421058256593</v>
      </c>
      <c r="AN84" s="351">
        <f t="shared" ref="AN84" si="255">+AN83+AK83</f>
        <v>308.9871100561968</v>
      </c>
      <c r="AO84" s="351">
        <f t="shared" ref="AO84" si="256">+AO83+AN83</f>
        <v>341.84693468429055</v>
      </c>
      <c r="AP84" s="351">
        <f t="shared" ref="AP84" si="257">+AN83+AO83</f>
        <v>341.84693468429055</v>
      </c>
      <c r="AR84" s="351">
        <f t="shared" ref="AR84" si="258">+AR83+AO83</f>
        <v>361.92638421576839</v>
      </c>
      <c r="AS84" s="351">
        <f t="shared" ref="AS84" si="259">+AS83+AR83</f>
        <v>375.96847543299407</v>
      </c>
      <c r="AT84" s="351">
        <f t="shared" ref="AT84" si="260">+AR83+AS83</f>
        <v>375.96847543299407</v>
      </c>
      <c r="AV84" s="351">
        <f t="shared" ref="AV84" si="261">+AV83+AS83</f>
        <v>385.70361115635899</v>
      </c>
      <c r="AW84" s="351">
        <f t="shared" ref="AW84" si="262">+AW83+AV83</f>
        <v>401.8222005638292</v>
      </c>
      <c r="AX84" s="351">
        <f t="shared" ref="AX84" si="263">+AV83+AW83</f>
        <v>401.8222005638292</v>
      </c>
      <c r="AZ84" s="351">
        <f t="shared" ref="AZ84" si="264">+AZ83+AW83</f>
        <v>413.60363555405627</v>
      </c>
      <c r="BA84" s="351">
        <f t="shared" ref="BA84" si="265">+BA83+AZ83</f>
        <v>429.01583974721791</v>
      </c>
      <c r="BB84" s="351">
        <f t="shared" ref="BB84" si="266">+AZ83+BA83</f>
        <v>429.01583974721791</v>
      </c>
      <c r="BD84" s="351">
        <f t="shared" ref="BD84" si="267">+BD83+BA83</f>
        <v>435.98481030126271</v>
      </c>
      <c r="BE84" s="351">
        <f t="shared" ref="BE84" si="268">+BE83+BD83</f>
        <v>445.87348648599601</v>
      </c>
      <c r="BF84" s="351">
        <f t="shared" ref="BF84" si="269">+BD83+BE83</f>
        <v>445.87348648599601</v>
      </c>
      <c r="BH84" s="351">
        <f t="shared" ref="BH84" si="270">+BH83+BE83</f>
        <v>453.16324774179964</v>
      </c>
      <c r="BI84" s="351">
        <f t="shared" ref="BI84" si="271">+BI83+BH83</f>
        <v>463.52106179497179</v>
      </c>
      <c r="BJ84" s="351">
        <f t="shared" ref="BJ84" si="272">+BH83+BI83</f>
        <v>463.52106179497179</v>
      </c>
      <c r="BL84" s="351">
        <f t="shared" ref="BL84" si="273">+BL83+BI83</f>
        <v>471.15064295561729</v>
      </c>
      <c r="BM84" s="351">
        <f t="shared" ref="BM84" si="274">+BM83+BL83</f>
        <v>481.99706247399433</v>
      </c>
      <c r="BN84" s="351">
        <f t="shared" ref="BN84" si="275">+BL83+BM83</f>
        <v>481.99706247399433</v>
      </c>
      <c r="BP84" s="351">
        <f t="shared" ref="BP84" si="276">+BP83+BM83</f>
        <v>489.97948173385083</v>
      </c>
      <c r="BQ84" s="351">
        <f t="shared" ref="BQ84" si="277">+BQ83+BP83</f>
        <v>501.34258139416437</v>
      </c>
      <c r="BR84" s="351">
        <f t="shared" ref="BR84" si="278">+BP83+BQ83</f>
        <v>501.34258139416437</v>
      </c>
      <c r="BT84" s="351">
        <f t="shared" ref="BT84" si="279">+BT83+BQ83</f>
        <v>509.70645887269444</v>
      </c>
      <c r="BU84" s="351">
        <f t="shared" ref="BU84" si="280">+BU83+BT83</f>
        <v>521.59938657049929</v>
      </c>
      <c r="BV84" s="351">
        <f t="shared" ref="BV84" si="281">+BT83+BU83</f>
        <v>521.59938657049929</v>
      </c>
      <c r="BX84" s="351">
        <f t="shared" ref="BX84" si="282">+BX83+BU83</f>
        <v>530.35208988229044</v>
      </c>
      <c r="BY84" s="351">
        <f t="shared" ref="BY84" si="283">+BY83+BX83</f>
        <v>542.81346602544329</v>
      </c>
      <c r="BZ84" s="351">
        <f t="shared" ref="BZ84" si="284">+BX83+BY83</f>
        <v>542.81346602544329</v>
      </c>
    </row>
    <row r="86" spans="1:78" s="157" customFormat="1" ht="15.6">
      <c r="A86" s="134"/>
      <c r="B86" s="542" t="s">
        <v>548</v>
      </c>
    </row>
    <row r="87" spans="1:78" s="157" customFormat="1">
      <c r="A87" s="134"/>
      <c r="B87" s="154" t="s">
        <v>235</v>
      </c>
      <c r="C87" s="155" t="s">
        <v>406</v>
      </c>
      <c r="V87" s="547">
        <f>+V70</f>
        <v>231.76999999999998</v>
      </c>
      <c r="X87" s="547">
        <f>+X70</f>
        <v>262.959</v>
      </c>
      <c r="Z87" s="547">
        <f>+Z70</f>
        <v>212.28299999999999</v>
      </c>
      <c r="AB87" s="547">
        <f>+AB70</f>
        <v>230.715</v>
      </c>
      <c r="AD87" s="547">
        <f>+AD70</f>
        <v>47.802</v>
      </c>
      <c r="AF87" s="547">
        <f>+AF70</f>
        <v>701.40800000000002</v>
      </c>
      <c r="AH87" s="547">
        <f>+AH70</f>
        <v>584.23</v>
      </c>
      <c r="AJ87" s="547">
        <f>+AJ70</f>
        <v>679.80900000000008</v>
      </c>
      <c r="AL87" s="547">
        <f>+AL70</f>
        <v>646.00099999999998</v>
      </c>
      <c r="AN87" s="547">
        <f>+AN70</f>
        <v>773.8889999999999</v>
      </c>
      <c r="AP87" s="547">
        <f>+AP70</f>
        <v>872.77099999999996</v>
      </c>
      <c r="AR87" s="547">
        <f>+AR70</f>
        <v>870.68764249999992</v>
      </c>
      <c r="AS87" s="547">
        <f>+AS70</f>
        <v>868.61845749999998</v>
      </c>
      <c r="AT87" s="547">
        <f>+AT70</f>
        <v>868.61845749999998</v>
      </c>
      <c r="AV87" s="547">
        <f>+AV70</f>
        <v>866.50788879999993</v>
      </c>
      <c r="AW87" s="547">
        <f>+AW70</f>
        <v>864.39732009999989</v>
      </c>
      <c r="AX87" s="547">
        <f>+AX70</f>
        <v>864.39732009999989</v>
      </c>
      <c r="AZ87" s="547">
        <f>+AZ70</f>
        <v>860.09175995199985</v>
      </c>
      <c r="BA87" s="547">
        <f>+BA70</f>
        <v>855.78619980399981</v>
      </c>
      <c r="BB87" s="547">
        <f>+BB70</f>
        <v>855.78619980399981</v>
      </c>
      <c r="BD87" s="547">
        <f>+BD70</f>
        <v>851.39452845303981</v>
      </c>
      <c r="BE87" s="547">
        <f>+BE70</f>
        <v>847.00285710207982</v>
      </c>
      <c r="BF87" s="547">
        <f>+BF70</f>
        <v>847.00285710207982</v>
      </c>
      <c r="BH87" s="547">
        <f>+BH70</f>
        <v>842.52335232410064</v>
      </c>
      <c r="BI87" s="547">
        <f>+BI70</f>
        <v>838.04384754612147</v>
      </c>
      <c r="BJ87" s="547">
        <f>+BJ70</f>
        <v>838.04384754612147</v>
      </c>
      <c r="BL87" s="547">
        <f>+BL70</f>
        <v>833.47475267258267</v>
      </c>
      <c r="BM87" s="547">
        <f>+BM70</f>
        <v>828.90565779904387</v>
      </c>
      <c r="BN87" s="547">
        <f>+BN70</f>
        <v>828.90565779904387</v>
      </c>
      <c r="BP87" s="547">
        <f>+BP70</f>
        <v>824.24518102803427</v>
      </c>
      <c r="BQ87" s="547">
        <f>+BQ70</f>
        <v>819.58470425702467</v>
      </c>
      <c r="BR87" s="547">
        <f>+BR70</f>
        <v>819.58470425702467</v>
      </c>
      <c r="BT87" s="547">
        <f>+BT70</f>
        <v>814.83101795059497</v>
      </c>
      <c r="BU87" s="547">
        <f>+BU70</f>
        <v>810.07733164416527</v>
      </c>
      <c r="BV87" s="547">
        <f>+BV70</f>
        <v>810.07733164416527</v>
      </c>
      <c r="BX87" s="547">
        <f>+BX70</f>
        <v>805.22857161160687</v>
      </c>
      <c r="BY87" s="547">
        <f>+BY70</f>
        <v>800.37981157904846</v>
      </c>
      <c r="BZ87" s="547">
        <f>+BZ70</f>
        <v>800.37981157904846</v>
      </c>
    </row>
    <row r="88" spans="1:78" s="157" customFormat="1">
      <c r="A88" s="134"/>
      <c r="B88" s="154" t="s">
        <v>515</v>
      </c>
      <c r="C88" s="155" t="s">
        <v>406</v>
      </c>
      <c r="V88" s="543">
        <v>3.395</v>
      </c>
      <c r="X88" s="543">
        <v>5.2919999999999998</v>
      </c>
      <c r="Z88" s="543">
        <v>8.6059999999999999</v>
      </c>
      <c r="AB88" s="543">
        <v>18.181000000000001</v>
      </c>
      <c r="AD88" s="543">
        <v>19.231000000000002</v>
      </c>
      <c r="AF88" s="543">
        <v>19.861000000000001</v>
      </c>
      <c r="AH88" s="806">
        <f>16.552+193.06-192.859</f>
        <v>16.752999999999986</v>
      </c>
      <c r="AJ88" s="806">
        <f>17.767+162.125-155.759</f>
        <v>24.13300000000001</v>
      </c>
      <c r="AL88" s="806">
        <f>10.516+167.487-158.436</f>
        <v>19.566999999999979</v>
      </c>
      <c r="AN88" s="543">
        <f>9.687+216.679-210.866</f>
        <v>15.5</v>
      </c>
      <c r="AP88" s="924">
        <f>9.862+65.685-61.069</f>
        <v>14.477999999999994</v>
      </c>
      <c r="AR88" s="155">
        <f t="shared" ref="AR88" si="285">+AP88/AP87*AR87</f>
        <v>14.44344013276678</v>
      </c>
      <c r="AS88" s="155">
        <f t="shared" ref="AS88" si="286">+AR88/AR87*AS87</f>
        <v>14.409115366671207</v>
      </c>
      <c r="AT88" s="155">
        <f t="shared" ref="AT88" si="287">+AS88</f>
        <v>14.409115366671207</v>
      </c>
      <c r="AV88" s="155">
        <f t="shared" ref="AV88" si="288">+AT88/AT87*AV87</f>
        <v>14.374104105253721</v>
      </c>
      <c r="AW88" s="155">
        <f t="shared" ref="AW88" si="289">+AV88/AV87*AW87</f>
        <v>14.339092843836236</v>
      </c>
      <c r="AX88" s="155">
        <f t="shared" ref="AX88" si="290">+AW88</f>
        <v>14.339092843836236</v>
      </c>
      <c r="AZ88" s="155">
        <f t="shared" ref="AZ88" si="291">+AX88/AX87*AZ87</f>
        <v>14.267669870544564</v>
      </c>
      <c r="BA88" s="155">
        <f t="shared" ref="BA88" si="292">+AZ88/AZ87*BA87</f>
        <v>14.196246897252893</v>
      </c>
      <c r="BB88" s="155">
        <f t="shared" ref="BB88" si="293">+BA88</f>
        <v>14.196246897252893</v>
      </c>
      <c r="BD88" s="155">
        <f t="shared" ref="BD88" si="294">+BB88/BB87*BD87</f>
        <v>14.12339546449539</v>
      </c>
      <c r="BE88" s="155">
        <f t="shared" ref="BE88" si="295">+BD88/BD87*BE87</f>
        <v>14.050544031737887</v>
      </c>
      <c r="BF88" s="155">
        <f t="shared" ref="BF88" si="296">+BE88</f>
        <v>14.050544031737887</v>
      </c>
      <c r="BH88" s="155">
        <f t="shared" ref="BH88" si="297">+BF88/BF87*BH87</f>
        <v>13.976235570325235</v>
      </c>
      <c r="BI88" s="155">
        <f t="shared" ref="BI88" si="298">+BH88/BH87*BI87</f>
        <v>13.901927108912581</v>
      </c>
      <c r="BJ88" s="155">
        <f t="shared" ref="BJ88" si="299">+BI88</f>
        <v>13.901927108912581</v>
      </c>
      <c r="BL88" s="155">
        <f t="shared" ref="BL88" si="300">+BJ88/BJ87*BL87</f>
        <v>13.826132478271674</v>
      </c>
      <c r="BM88" s="155">
        <f t="shared" ref="BM88" si="301">+BL88/BL87*BM87</f>
        <v>13.750337847630767</v>
      </c>
      <c r="BN88" s="155">
        <f t="shared" ref="BN88" si="302">+BM88</f>
        <v>13.750337847630767</v>
      </c>
      <c r="BP88" s="155">
        <f t="shared" ref="BP88" si="303">+BN88/BN87*BP87</f>
        <v>13.673027324377044</v>
      </c>
      <c r="BQ88" s="155">
        <f t="shared" ref="BQ88" si="304">+BP88/BP87*BQ87</f>
        <v>13.595716801123318</v>
      </c>
      <c r="BR88" s="155">
        <f t="shared" ref="BR88" si="305">+BQ88</f>
        <v>13.595716801123318</v>
      </c>
      <c r="BT88" s="155">
        <f t="shared" ref="BT88" si="306">+BR88/BR87*BT87</f>
        <v>13.516860067404521</v>
      </c>
      <c r="BU88" s="155">
        <f t="shared" ref="BU88" si="307">+BT88/BT87*BU87</f>
        <v>13.438003333685721</v>
      </c>
      <c r="BV88" s="155">
        <f t="shared" ref="BV88:BV89" si="308">+BU88</f>
        <v>13.438003333685721</v>
      </c>
      <c r="BX88" s="155">
        <f t="shared" ref="BX88" si="309">+BV88/BV87*BX87</f>
        <v>13.357569465292546</v>
      </c>
      <c r="BY88" s="155">
        <f t="shared" ref="BY88" si="310">+BX88/BX87*BY87</f>
        <v>13.27713559689937</v>
      </c>
      <c r="BZ88" s="155">
        <f t="shared" ref="BZ88:BZ89" si="311">+BY88</f>
        <v>13.27713559689937</v>
      </c>
    </row>
    <row r="89" spans="1:78" s="157" customFormat="1">
      <c r="A89" s="134"/>
      <c r="B89" s="154" t="s">
        <v>516</v>
      </c>
      <c r="C89" s="155" t="s">
        <v>406</v>
      </c>
      <c r="V89" s="543">
        <v>20.055</v>
      </c>
      <c r="X89" s="543">
        <v>18.375</v>
      </c>
      <c r="Z89" s="543">
        <v>17.542999999999999</v>
      </c>
      <c r="AB89" s="543">
        <v>26.189</v>
      </c>
      <c r="AD89" s="543">
        <v>31.062999999999999</v>
      </c>
      <c r="AF89" s="543">
        <v>26.728999999999999</v>
      </c>
      <c r="AH89" s="806">
        <v>25.521999999999998</v>
      </c>
      <c r="AJ89" s="806">
        <v>29.931000000000001</v>
      </c>
      <c r="AL89" s="806">
        <v>41.680999999999997</v>
      </c>
      <c r="AN89" s="543">
        <v>43.131</v>
      </c>
      <c r="AP89" s="924">
        <v>37.063000000000002</v>
      </c>
      <c r="AR89" s="155">
        <f t="shared" ref="AR89" si="312">+AP89/AP87*AR87</f>
        <v>36.97452836308436</v>
      </c>
      <c r="AS89" s="155">
        <f t="shared" ref="AS89" si="313">+AR89/AR87*AS87</f>
        <v>36.886658574038897</v>
      </c>
      <c r="AT89" s="155">
        <f t="shared" ref="AT89" si="314">+AS89</f>
        <v>36.886658574038897</v>
      </c>
      <c r="AV89" s="155">
        <f t="shared" ref="AV89" si="315">+AT89/AT87*AV87</f>
        <v>36.79703138921252</v>
      </c>
      <c r="AW89" s="155">
        <f t="shared" ref="AW89" si="316">+AV89/AV87*AW87</f>
        <v>36.707404204386144</v>
      </c>
      <c r="AX89" s="155">
        <f t="shared" ref="AX89" si="317">+AW89</f>
        <v>36.707404204386144</v>
      </c>
      <c r="AZ89" s="155">
        <f t="shared" ref="AZ89" si="318">+AX89/AX87*AZ87</f>
        <v>36.524564747340342</v>
      </c>
      <c r="BA89" s="155">
        <f t="shared" ref="BA89" si="319">+AZ89/AZ87*BA87</f>
        <v>36.341725290294541</v>
      </c>
      <c r="BB89" s="155">
        <f t="shared" ref="BB89" si="320">+BA89</f>
        <v>36.341725290294541</v>
      </c>
      <c r="BD89" s="155">
        <f t="shared" ref="BD89" si="321">+BB89/BB87*BD87</f>
        <v>36.15522904410782</v>
      </c>
      <c r="BE89" s="155">
        <f t="shared" ref="BE89" si="322">+BD89/BD87*BE87</f>
        <v>35.968732797921099</v>
      </c>
      <c r="BF89" s="155">
        <f t="shared" ref="BF89" si="323">+BE89</f>
        <v>35.968732797921099</v>
      </c>
      <c r="BH89" s="155">
        <f t="shared" ref="BH89" si="324">+BF89/BF87*BH87</f>
        <v>35.778506626810646</v>
      </c>
      <c r="BI89" s="155">
        <f t="shared" ref="BI89" si="325">+BH89/BH87*BI87</f>
        <v>35.588280455700193</v>
      </c>
      <c r="BJ89" s="155">
        <f t="shared" ref="BJ89" si="326">+BI89</f>
        <v>35.588280455700193</v>
      </c>
      <c r="BL89" s="155">
        <f t="shared" ref="BL89" si="327">+BJ89/BJ87*BL87</f>
        <v>35.394249761167529</v>
      </c>
      <c r="BM89" s="155">
        <f t="shared" ref="BM89" si="328">+BL89/BL87*BM87</f>
        <v>35.200219066634865</v>
      </c>
      <c r="BN89" s="155">
        <f t="shared" ref="BN89" si="329">+BM89</f>
        <v>35.200219066634865</v>
      </c>
      <c r="BP89" s="155">
        <f t="shared" ref="BP89" si="330">+BN89/BN87*BP87</f>
        <v>35.002307758211543</v>
      </c>
      <c r="BQ89" s="155">
        <f t="shared" ref="BQ89" si="331">+BP89/BP87*BQ87</f>
        <v>34.804396449788229</v>
      </c>
      <c r="BR89" s="155">
        <f t="shared" ref="BR89" si="332">+BQ89</f>
        <v>34.804396449788229</v>
      </c>
      <c r="BT89" s="155">
        <f t="shared" ref="BT89" si="333">+BR89/BR87*BT87</f>
        <v>34.602526915196442</v>
      </c>
      <c r="BU89" s="155">
        <f t="shared" ref="BU89" si="334">+BT89/BT87*BU87</f>
        <v>34.400657380604663</v>
      </c>
      <c r="BV89" s="155">
        <f t="shared" si="308"/>
        <v>34.400657380604663</v>
      </c>
      <c r="BX89" s="155">
        <f t="shared" ref="BX89" si="335">+BV89/BV87*BX87</f>
        <v>34.194750455321042</v>
      </c>
      <c r="BY89" s="155">
        <f t="shared" ref="BY89" si="336">+BX89/BX87*BY87</f>
        <v>33.988843530037421</v>
      </c>
      <c r="BZ89" s="155">
        <f t="shared" si="311"/>
        <v>33.988843530037421</v>
      </c>
    </row>
    <row r="90" spans="1:78" s="157" customFormat="1">
      <c r="A90" s="134"/>
      <c r="B90" s="221" t="s">
        <v>527</v>
      </c>
      <c r="C90" s="155" t="s">
        <v>406</v>
      </c>
      <c r="V90" s="157">
        <f>SUM(V87:V89)</f>
        <v>255.22</v>
      </c>
      <c r="X90" s="157">
        <f>SUM(X87:X89)</f>
        <v>286.62599999999998</v>
      </c>
      <c r="Z90" s="157">
        <f>SUM(Z87:Z89)</f>
        <v>238.43199999999999</v>
      </c>
      <c r="AB90" s="157">
        <f>SUM(AB87:AB89)</f>
        <v>275.08500000000004</v>
      </c>
      <c r="AD90" s="157">
        <f>SUM(AD87:AD89)</f>
        <v>98.096000000000004</v>
      </c>
      <c r="AF90" s="157">
        <f>SUM(AF87:AF89)</f>
        <v>747.99800000000005</v>
      </c>
      <c r="AH90" s="157">
        <f>SUM(AH87:AH89)</f>
        <v>626.505</v>
      </c>
      <c r="AJ90" s="157">
        <f>SUM(AJ87:AJ89)</f>
        <v>733.87300000000016</v>
      </c>
      <c r="AL90" s="350">
        <f>SUM(AL87:AL89)</f>
        <v>707.24900000000002</v>
      </c>
      <c r="AN90" s="157">
        <f>SUM(AN87:AN89)</f>
        <v>832.51999999999987</v>
      </c>
      <c r="AP90" s="350">
        <f>SUM(AP87:AP89)</f>
        <v>924.3119999999999</v>
      </c>
      <c r="AR90" s="157">
        <f t="shared" ref="AR90:AT90" si="337">SUM(AR87:AR89)</f>
        <v>922.10561099585107</v>
      </c>
      <c r="AS90" s="157">
        <f t="shared" si="337"/>
        <v>919.91423144071007</v>
      </c>
      <c r="AT90" s="157">
        <f t="shared" si="337"/>
        <v>919.91423144071007</v>
      </c>
      <c r="AV90" s="157">
        <f t="shared" ref="AV90:AX90" si="338">SUM(AV87:AV89)</f>
        <v>917.67902429446622</v>
      </c>
      <c r="AW90" s="157">
        <f t="shared" si="338"/>
        <v>915.44381714822237</v>
      </c>
      <c r="AX90" s="157">
        <f t="shared" si="338"/>
        <v>915.44381714822237</v>
      </c>
      <c r="AZ90" s="157">
        <f t="shared" ref="AZ90:BB90" si="339">SUM(AZ87:AZ89)</f>
        <v>910.88399456988475</v>
      </c>
      <c r="BA90" s="157">
        <f t="shared" si="339"/>
        <v>906.32417199154725</v>
      </c>
      <c r="BB90" s="157">
        <f t="shared" si="339"/>
        <v>906.32417199154725</v>
      </c>
      <c r="BD90" s="157">
        <f t="shared" ref="BD90:BF90" si="340">SUM(BD87:BD89)</f>
        <v>901.67315296164304</v>
      </c>
      <c r="BE90" s="157">
        <f t="shared" si="340"/>
        <v>897.02213393173884</v>
      </c>
      <c r="BF90" s="157">
        <f t="shared" si="340"/>
        <v>897.02213393173884</v>
      </c>
      <c r="BH90" s="157">
        <f t="shared" ref="BH90:BJ90" si="341">SUM(BH87:BH89)</f>
        <v>892.27809452123654</v>
      </c>
      <c r="BI90" s="157">
        <f t="shared" si="341"/>
        <v>887.53405511073424</v>
      </c>
      <c r="BJ90" s="157">
        <f t="shared" si="341"/>
        <v>887.53405511073424</v>
      </c>
      <c r="BL90" s="157">
        <f t="shared" ref="BL90:BN90" si="342">SUM(BL87:BL89)</f>
        <v>882.6951349120219</v>
      </c>
      <c r="BM90" s="157">
        <f t="shared" si="342"/>
        <v>877.85621471330956</v>
      </c>
      <c r="BN90" s="157">
        <f t="shared" si="342"/>
        <v>877.85621471330956</v>
      </c>
      <c r="BP90" s="157">
        <f t="shared" ref="BP90:BR90" si="343">SUM(BP87:BP89)</f>
        <v>872.92051611062288</v>
      </c>
      <c r="BQ90" s="157">
        <f t="shared" si="343"/>
        <v>867.98481750793621</v>
      </c>
      <c r="BR90" s="157">
        <f t="shared" si="343"/>
        <v>867.98481750793621</v>
      </c>
      <c r="BT90" s="157">
        <f t="shared" ref="BT90:BV90" si="344">SUM(BT87:BT89)</f>
        <v>862.95040493319595</v>
      </c>
      <c r="BU90" s="157">
        <f t="shared" si="344"/>
        <v>857.9159923584557</v>
      </c>
      <c r="BV90" s="157">
        <f t="shared" si="344"/>
        <v>857.9159923584557</v>
      </c>
      <c r="BX90" s="157">
        <f t="shared" ref="BX90:BZ90" si="345">SUM(BX87:BX89)</f>
        <v>852.78089153222038</v>
      </c>
      <c r="BY90" s="157">
        <f t="shared" si="345"/>
        <v>847.64579070598529</v>
      </c>
      <c r="BZ90" s="157">
        <f t="shared" si="345"/>
        <v>847.64579070598529</v>
      </c>
    </row>
    <row r="91" spans="1:78" s="157" customFormat="1">
      <c r="A91" s="134"/>
      <c r="B91" s="221"/>
      <c r="AL91" s="350"/>
      <c r="AP91" s="350"/>
    </row>
    <row r="92" spans="1:78" s="157" customFormat="1">
      <c r="A92" s="134"/>
      <c r="B92" s="154" t="s">
        <v>529</v>
      </c>
      <c r="C92" s="155" t="s">
        <v>406</v>
      </c>
      <c r="L92" s="155">
        <f>+L13</f>
        <v>65.474000000000004</v>
      </c>
      <c r="N92" s="155">
        <f>+N13</f>
        <v>58.688000000000002</v>
      </c>
      <c r="P92" s="155">
        <f>+P13</f>
        <v>71.34</v>
      </c>
      <c r="R92" s="155">
        <f>+R13</f>
        <v>70.016000000000005</v>
      </c>
      <c r="T92" s="155">
        <f>+T13</f>
        <v>49.972000000000001</v>
      </c>
      <c r="V92" s="155">
        <f>+V13</f>
        <v>84.373999999999995</v>
      </c>
      <c r="X92" s="155">
        <f>+X13</f>
        <v>66.302999999999997</v>
      </c>
      <c r="Z92" s="155">
        <f>+Z13</f>
        <v>76.587999999999994</v>
      </c>
      <c r="AB92" s="155">
        <f>+AB13</f>
        <v>75.766999999999996</v>
      </c>
      <c r="AC92" s="155">
        <f>+AD92</f>
        <v>259.32900000000001</v>
      </c>
      <c r="AD92" s="155">
        <f>+AD13</f>
        <v>259.32900000000001</v>
      </c>
      <c r="AF92" s="155">
        <f>+AF13</f>
        <v>192.94399999999999</v>
      </c>
      <c r="AG92" s="155">
        <f>+AH92</f>
        <v>260.35199999999998</v>
      </c>
      <c r="AH92" s="155">
        <f>+AH13</f>
        <v>260.35199999999998</v>
      </c>
      <c r="AJ92" s="155">
        <f>+AJ13</f>
        <v>208.77600000000001</v>
      </c>
      <c r="AK92" s="155">
        <f>+AL92</f>
        <v>377.36599999999999</v>
      </c>
      <c r="AL92" s="241">
        <f>+AL13</f>
        <v>377.36599999999999</v>
      </c>
      <c r="AN92" s="155">
        <f>+AN13</f>
        <v>210.892</v>
      </c>
      <c r="AO92" s="155">
        <f>+AP92</f>
        <v>279.26600000000002</v>
      </c>
      <c r="AP92" s="241">
        <f>+AP13</f>
        <v>279.26600000000002</v>
      </c>
      <c r="AR92" s="155">
        <f>+AR13</f>
        <v>262.99965369959091</v>
      </c>
      <c r="AS92" s="155">
        <f>+AS13</f>
        <v>449.58953350758975</v>
      </c>
      <c r="AT92" s="155">
        <f t="shared" ref="AT92" si="346">+AS92</f>
        <v>449.58953350758975</v>
      </c>
      <c r="AV92" s="155">
        <f>+AV13</f>
        <v>368.07502975177863</v>
      </c>
      <c r="AW92" s="155">
        <f>+AW13</f>
        <v>572.14484644381105</v>
      </c>
      <c r="AX92" s="155">
        <f t="shared" ref="AX92" si="347">+AW92</f>
        <v>572.14484644381105</v>
      </c>
      <c r="AZ92" s="155">
        <f>+AZ13</f>
        <v>450.66038517882225</v>
      </c>
      <c r="BA92" s="155">
        <f>+BA13</f>
        <v>656.60562467520867</v>
      </c>
      <c r="BB92" s="155">
        <f t="shared" ref="BB92" si="348">+BA92</f>
        <v>656.60562467520867</v>
      </c>
      <c r="BD92" s="155">
        <f>+BD13</f>
        <v>534.54264116114837</v>
      </c>
      <c r="BE92" s="155">
        <f>+BE13</f>
        <v>759.84157743402398</v>
      </c>
      <c r="BF92" s="155">
        <f t="shared" ref="BF92" si="349">+BE92</f>
        <v>759.84157743402398</v>
      </c>
      <c r="BH92" s="155">
        <f>+BH13</f>
        <v>626.93929922521511</v>
      </c>
      <c r="BI92" s="155">
        <f>+BI13</f>
        <v>862.8834270100383</v>
      </c>
      <c r="BJ92" s="155">
        <f t="shared" ref="BJ92" si="350">+BI92</f>
        <v>862.8834270100383</v>
      </c>
      <c r="BL92" s="155">
        <f>+BL13</f>
        <v>723.668010716656</v>
      </c>
      <c r="BM92" s="155">
        <f>+BM13</f>
        <v>970.61309488199686</v>
      </c>
      <c r="BN92" s="155">
        <f t="shared" ref="BN92" si="351">+BM92</f>
        <v>970.61309488199686</v>
      </c>
      <c r="BP92" s="155">
        <f>+BP13</f>
        <v>848.84544993424879</v>
      </c>
      <c r="BQ92" s="155">
        <f>+BQ13</f>
        <v>1099.133837573966</v>
      </c>
      <c r="BR92" s="155">
        <f t="shared" ref="BR92" si="352">+BQ92</f>
        <v>1099.133837573966</v>
      </c>
      <c r="BT92" s="155">
        <f>+BT13</f>
        <v>950.59170970274477</v>
      </c>
      <c r="BU92" s="155">
        <f>+BU13</f>
        <v>1222.8560519348352</v>
      </c>
      <c r="BV92" s="155">
        <f t="shared" ref="BV92:BV93" si="353">+BU92</f>
        <v>1222.8560519348352</v>
      </c>
      <c r="BX92" s="155">
        <f>+BX13</f>
        <v>1061.9214551297878</v>
      </c>
      <c r="BY92" s="155">
        <f>+BY13</f>
        <v>1346.4385059647125</v>
      </c>
      <c r="BZ92" s="155">
        <f t="shared" ref="BZ92:BZ93" si="354">+BY92</f>
        <v>1346.4385059647125</v>
      </c>
    </row>
    <row r="93" spans="1:78" s="157" customFormat="1">
      <c r="A93" s="134"/>
      <c r="B93" s="154" t="s">
        <v>517</v>
      </c>
      <c r="C93" s="155" t="s">
        <v>406</v>
      </c>
      <c r="AC93" s="155">
        <f t="shared" ref="AC93:AC94" si="355">+AD93</f>
        <v>196.55</v>
      </c>
      <c r="AD93" s="543">
        <v>196.55</v>
      </c>
      <c r="AF93" s="543">
        <v>57.783999999999999</v>
      </c>
      <c r="AG93" s="155">
        <f t="shared" ref="AG93:AG94" si="356">+AH93</f>
        <v>152.87</v>
      </c>
      <c r="AH93" s="806">
        <v>152.87</v>
      </c>
      <c r="AJ93" s="806">
        <v>80.132999999999996</v>
      </c>
      <c r="AK93" s="155">
        <f t="shared" ref="AK93:AK94" si="357">+AL93</f>
        <v>228.97499999999999</v>
      </c>
      <c r="AL93" s="806">
        <v>228.97499999999999</v>
      </c>
      <c r="AN93" s="543">
        <v>69.305000000000007</v>
      </c>
      <c r="AO93" s="155">
        <f t="shared" ref="AO93:AO94" si="358">+AP93</f>
        <v>93.569000000000003</v>
      </c>
      <c r="AP93" s="924">
        <v>93.569000000000003</v>
      </c>
      <c r="AR93" s="155">
        <f t="shared" ref="AR93" si="359">+AP93/AP92*AR92</f>
        <v>88.118906694753463</v>
      </c>
      <c r="AS93" s="155">
        <f t="shared" ref="AS93" si="360">+AR93/AR92*AS92</f>
        <v>150.63646509339361</v>
      </c>
      <c r="AT93" s="155">
        <f t="shared" ref="AT93" si="361">+AS93</f>
        <v>150.63646509339361</v>
      </c>
      <c r="AV93" s="155">
        <f t="shared" ref="AV93" si="362">+AT93/AT92*AV92</f>
        <v>123.32476011703598</v>
      </c>
      <c r="AW93" s="155">
        <f t="shared" ref="AW93" si="363">+AV93/AV92*AW92</f>
        <v>191.69902937307421</v>
      </c>
      <c r="AX93" s="155">
        <f t="shared" ref="AX93" si="364">+AW93</f>
        <v>191.69902937307421</v>
      </c>
      <c r="AZ93" s="155">
        <f t="shared" ref="AZ93" si="365">+AX93/AX92*AZ92</f>
        <v>150.99525749929177</v>
      </c>
      <c r="BA93" s="155">
        <f t="shared" ref="BA93" si="366">+AZ93/AZ92*BA92</f>
        <v>219.99789338922247</v>
      </c>
      <c r="BB93" s="155">
        <f t="shared" ref="BB93" si="367">+BA93</f>
        <v>219.99789338922247</v>
      </c>
      <c r="BD93" s="155">
        <f t="shared" ref="BD93" si="368">+BB93/BB92*BD92</f>
        <v>179.1002857161541</v>
      </c>
      <c r="BE93" s="155">
        <f t="shared" ref="BE93" si="369">+BD93/BD92*BE92</f>
        <v>254.58744193322562</v>
      </c>
      <c r="BF93" s="155">
        <f t="shared" ref="BF93" si="370">+BE93</f>
        <v>254.58744193322562</v>
      </c>
      <c r="BH93" s="155">
        <f t="shared" ref="BH93" si="371">+BF93/BF92*BH92</f>
        <v>210.05809260419869</v>
      </c>
      <c r="BI93" s="155">
        <f t="shared" ref="BI93" si="372">+BH93/BH92*BI92</f>
        <v>289.11195556173067</v>
      </c>
      <c r="BJ93" s="155">
        <f t="shared" ref="BJ93" si="373">+BI93</f>
        <v>289.11195556173067</v>
      </c>
      <c r="BL93" s="155">
        <f t="shared" ref="BL93" si="374">+BJ93/BJ92*BL92</f>
        <v>242.46736836831832</v>
      </c>
      <c r="BM93" s="155">
        <f t="shared" ref="BM93" si="375">+BL93/BL92*BM92</f>
        <v>325.20713826607448</v>
      </c>
      <c r="BN93" s="155">
        <f t="shared" ref="BN93" si="376">+BM93</f>
        <v>325.20713826607448</v>
      </c>
      <c r="BP93" s="155">
        <f t="shared" ref="BP93" si="377">+BN93/BN92*BP92</f>
        <v>284.40848475968335</v>
      </c>
      <c r="BQ93" s="155">
        <f t="shared" ref="BQ93" si="378">+BP93/BP92*BQ92</f>
        <v>368.26843958075256</v>
      </c>
      <c r="BR93" s="155">
        <f t="shared" ref="BR93" si="379">+BQ93</f>
        <v>368.26843958075256</v>
      </c>
      <c r="BT93" s="155">
        <f t="shared" ref="BT93" si="380">+BR93/BR92*BT92</f>
        <v>318.49890672396975</v>
      </c>
      <c r="BU93" s="155">
        <f t="shared" ref="BU93" si="381">+BT93/BT92*BU92</f>
        <v>409.72197805493909</v>
      </c>
      <c r="BV93" s="155">
        <f t="shared" si="353"/>
        <v>409.72197805493909</v>
      </c>
      <c r="BX93" s="155">
        <f t="shared" ref="BX93" si="382">+BV93/BV92*BX92</f>
        <v>355.80030735943194</v>
      </c>
      <c r="BY93" s="155">
        <f t="shared" ref="BY93" si="383">+BX93/BX92*BY92</f>
        <v>451.12868936645418</v>
      </c>
      <c r="BZ93" s="155">
        <f t="shared" si="354"/>
        <v>451.12868936645418</v>
      </c>
    </row>
    <row r="94" spans="1:78" s="157" customFormat="1">
      <c r="A94" s="134"/>
      <c r="B94" s="221" t="s">
        <v>514</v>
      </c>
      <c r="C94" s="155" t="s">
        <v>406</v>
      </c>
      <c r="AC94" s="157">
        <f t="shared" si="355"/>
        <v>-98.454000000000008</v>
      </c>
      <c r="AD94" s="157">
        <f>+AD90-AD93</f>
        <v>-98.454000000000008</v>
      </c>
      <c r="AF94" s="157">
        <f>+AF90-AF93</f>
        <v>690.21400000000006</v>
      </c>
      <c r="AG94" s="157">
        <f t="shared" si="356"/>
        <v>473.63499999999999</v>
      </c>
      <c r="AH94" s="157">
        <f>+AH90-AH93</f>
        <v>473.63499999999999</v>
      </c>
      <c r="AJ94" s="157">
        <f>+AJ90-AJ93</f>
        <v>653.74000000000012</v>
      </c>
      <c r="AK94" s="157">
        <f t="shared" si="357"/>
        <v>478.274</v>
      </c>
      <c r="AL94" s="350">
        <f>+AL90-AL93</f>
        <v>478.274</v>
      </c>
      <c r="AN94" s="157">
        <f>+AN90-AN93</f>
        <v>763.21499999999992</v>
      </c>
      <c r="AO94" s="157">
        <f t="shared" si="358"/>
        <v>830.74299999999994</v>
      </c>
      <c r="AP94" s="350">
        <f>+AP90-AP93</f>
        <v>830.74299999999994</v>
      </c>
      <c r="AR94" s="157">
        <f>+AR90-AR93</f>
        <v>833.98670430109757</v>
      </c>
      <c r="AS94" s="157">
        <f>+AS90-AS93</f>
        <v>769.2777663473164</v>
      </c>
      <c r="AT94" s="157">
        <f>+AT90-AT93</f>
        <v>769.2777663473164</v>
      </c>
      <c r="AV94" s="157">
        <f>+AV90-AV93</f>
        <v>794.3542641774302</v>
      </c>
      <c r="AW94" s="157">
        <f>+AW90-AW93</f>
        <v>723.7447877751481</v>
      </c>
      <c r="AX94" s="157">
        <f>+AX90-AX93</f>
        <v>723.7447877751481</v>
      </c>
      <c r="AZ94" s="157">
        <f>+AZ90-AZ93</f>
        <v>759.88873707059292</v>
      </c>
      <c r="BA94" s="157">
        <f>+BA90-BA93</f>
        <v>686.32627860232481</v>
      </c>
      <c r="BB94" s="157">
        <f>+BB90-BB93</f>
        <v>686.32627860232481</v>
      </c>
      <c r="BD94" s="157">
        <f>+BD90-BD93</f>
        <v>722.57286724548896</v>
      </c>
      <c r="BE94" s="157">
        <f>+BE90-BE93</f>
        <v>642.43469199851324</v>
      </c>
      <c r="BF94" s="157">
        <f>+BF90-BF93</f>
        <v>642.43469199851324</v>
      </c>
      <c r="BH94" s="157">
        <f>+BH90-BH93</f>
        <v>682.22000191703785</v>
      </c>
      <c r="BI94" s="157">
        <f>+BI90-BI93</f>
        <v>598.42209954900363</v>
      </c>
      <c r="BJ94" s="157">
        <f>+BJ90-BJ93</f>
        <v>598.42209954900363</v>
      </c>
      <c r="BL94" s="157">
        <f>+BL90-BL93</f>
        <v>640.22776654370364</v>
      </c>
      <c r="BM94" s="157">
        <f>+BM90-BM93</f>
        <v>552.64907644723507</v>
      </c>
      <c r="BN94" s="157">
        <f>+BN90-BN93</f>
        <v>552.64907644723507</v>
      </c>
      <c r="BP94" s="157">
        <f>+BP90-BP93</f>
        <v>588.51203135093954</v>
      </c>
      <c r="BQ94" s="157">
        <f>+BQ90-BQ93</f>
        <v>499.71637792718366</v>
      </c>
      <c r="BR94" s="157">
        <f>+BR90-BR93</f>
        <v>499.71637792718366</v>
      </c>
      <c r="BT94" s="157">
        <f>+BT90-BT93</f>
        <v>544.4514982092262</v>
      </c>
      <c r="BU94" s="157">
        <f>+BU90-BU93</f>
        <v>448.19401430351661</v>
      </c>
      <c r="BV94" s="157">
        <f>+BV90-BV93</f>
        <v>448.19401430351661</v>
      </c>
      <c r="BX94" s="157">
        <f>+BX90-BX93</f>
        <v>496.98058417278844</v>
      </c>
      <c r="BY94" s="157">
        <f>+BY90-BY93</f>
        <v>396.51710133953111</v>
      </c>
      <c r="BZ94" s="157">
        <f>+BZ90-BZ93</f>
        <v>396.51710133953111</v>
      </c>
    </row>
    <row r="95" spans="1:78" s="157" customFormat="1">
      <c r="A95" s="134"/>
      <c r="B95" s="221"/>
      <c r="AL95" s="350"/>
      <c r="AP95" s="350"/>
    </row>
    <row r="96" spans="1:78">
      <c r="B96" s="579" t="s">
        <v>545</v>
      </c>
      <c r="C96" s="155" t="s">
        <v>406</v>
      </c>
      <c r="Y96" s="157"/>
      <c r="Z96" s="157"/>
      <c r="AA96" s="157"/>
      <c r="AB96" s="157"/>
      <c r="AD96" s="155">
        <f>+AD97-AD84</f>
        <v>32.335064026408233</v>
      </c>
      <c r="AF96" s="155">
        <f>+AF97-AF84</f>
        <v>104.29144350039451</v>
      </c>
      <c r="AH96" s="155">
        <f>+AH97-AH84</f>
        <v>48.976540644491735</v>
      </c>
      <c r="AJ96" s="155">
        <f>+AJ97-AJ84</f>
        <v>46.646092296728341</v>
      </c>
      <c r="AL96" s="241">
        <f>+AL97-AL84</f>
        <v>74.785789417434046</v>
      </c>
      <c r="AN96" s="155">
        <f>+AN97-AN84</f>
        <v>92.043889943803208</v>
      </c>
      <c r="AP96" s="241">
        <f>+AP97-AP84</f>
        <v>79.142065315709431</v>
      </c>
      <c r="AR96" s="491">
        <f>+AO96*AR118/AO118</f>
        <v>0</v>
      </c>
      <c r="AS96" s="491">
        <f>+AR96*AS118/AR118</f>
        <v>0</v>
      </c>
      <c r="AT96" s="155">
        <f t="shared" ref="AT96" si="384">+AS96</f>
        <v>0</v>
      </c>
      <c r="AV96" s="491">
        <f>+AS96*AV118/AS118</f>
        <v>0</v>
      </c>
      <c r="AW96" s="491">
        <f>+AV96*AW118/AV118</f>
        <v>0</v>
      </c>
      <c r="AX96" s="155">
        <f t="shared" ref="AX96" si="385">+AW96</f>
        <v>0</v>
      </c>
      <c r="AZ96" s="491">
        <f>+AW96*AZ118/AW118</f>
        <v>0</v>
      </c>
      <c r="BA96" s="491">
        <f>+AZ96*BA118/AZ118</f>
        <v>0</v>
      </c>
      <c r="BB96" s="155">
        <f t="shared" ref="BB96" si="386">+BA96</f>
        <v>0</v>
      </c>
      <c r="BD96" s="491">
        <f>+BA96*BD118/BA118</f>
        <v>0</v>
      </c>
      <c r="BE96" s="491">
        <f>+BD96*BE118/BD118</f>
        <v>0</v>
      </c>
      <c r="BF96" s="155">
        <f t="shared" ref="BF96" si="387">+BE96</f>
        <v>0</v>
      </c>
      <c r="BH96" s="491">
        <f>+BE96*BH118/BE118</f>
        <v>0</v>
      </c>
      <c r="BI96" s="491">
        <f>+BH96*BI118/BH118</f>
        <v>0</v>
      </c>
      <c r="BJ96" s="155">
        <f t="shared" ref="BJ96" si="388">+BI96</f>
        <v>0</v>
      </c>
      <c r="BL96" s="491">
        <f>+BI96*BL118/BI118</f>
        <v>0</v>
      </c>
      <c r="BM96" s="491">
        <f>+BL96*BM118/BL118</f>
        <v>0</v>
      </c>
      <c r="BN96" s="155">
        <f t="shared" ref="BN96" si="389">+BM96</f>
        <v>0</v>
      </c>
      <c r="BP96" s="491">
        <f>+BM96*BP118/BM118</f>
        <v>0</v>
      </c>
      <c r="BQ96" s="491">
        <f>+BP96*BQ118/BP118</f>
        <v>0</v>
      </c>
      <c r="BR96" s="155">
        <f t="shared" ref="BR96" si="390">+BQ96</f>
        <v>0</v>
      </c>
      <c r="BT96" s="491">
        <f>+BQ96*BT118/BQ118</f>
        <v>0</v>
      </c>
      <c r="BU96" s="491">
        <f>+BT96*BU118/BT118</f>
        <v>0</v>
      </c>
      <c r="BV96" s="155">
        <f t="shared" ref="BV96" si="391">+BU96</f>
        <v>0</v>
      </c>
      <c r="BX96" s="491">
        <f>+BU96*BX118/BU118</f>
        <v>0</v>
      </c>
      <c r="BY96" s="491">
        <f>+BX96*BY118/BX118</f>
        <v>0</v>
      </c>
      <c r="BZ96" s="155">
        <f t="shared" ref="BZ96" si="392">+BY96</f>
        <v>0</v>
      </c>
    </row>
    <row r="97" spans="1:78" s="157" customFormat="1">
      <c r="A97" s="134"/>
      <c r="B97" s="221" t="s">
        <v>544</v>
      </c>
      <c r="C97" s="157" t="s">
        <v>406</v>
      </c>
      <c r="AD97" s="539">
        <v>146.64500000000001</v>
      </c>
      <c r="AF97" s="539">
        <v>251.81</v>
      </c>
      <c r="AH97" s="807">
        <v>276.54000000000002</v>
      </c>
      <c r="AJ97" s="807">
        <v>323.32499999999999</v>
      </c>
      <c r="AL97" s="807">
        <v>372.71</v>
      </c>
      <c r="AN97" s="539">
        <v>401.03100000000001</v>
      </c>
      <c r="AP97" s="925">
        <v>420.98899999999998</v>
      </c>
      <c r="AR97" s="157">
        <f>+AR96+AR84</f>
        <v>361.92638421576839</v>
      </c>
      <c r="AS97" s="157">
        <f>+AS96+AS84</f>
        <v>375.96847543299407</v>
      </c>
      <c r="AT97" s="157">
        <f>+AT96+AT84</f>
        <v>375.96847543299407</v>
      </c>
      <c r="AV97" s="157">
        <f>+AV96+AV84</f>
        <v>385.70361115635899</v>
      </c>
      <c r="AW97" s="157">
        <f>+AW96+AW84</f>
        <v>401.8222005638292</v>
      </c>
      <c r="AX97" s="157">
        <f>+AX96+AX84</f>
        <v>401.8222005638292</v>
      </c>
      <c r="AZ97" s="157">
        <f>+AZ96+AZ84</f>
        <v>413.60363555405627</v>
      </c>
      <c r="BA97" s="157">
        <f>+BA96+BA84</f>
        <v>429.01583974721791</v>
      </c>
      <c r="BB97" s="157">
        <f>+BB96+BB84</f>
        <v>429.01583974721791</v>
      </c>
      <c r="BD97" s="157">
        <f>+BD96+BD84</f>
        <v>435.98481030126271</v>
      </c>
      <c r="BE97" s="157">
        <f>+BE96+BE84</f>
        <v>445.87348648599601</v>
      </c>
      <c r="BF97" s="157">
        <f>+BF96+BF84</f>
        <v>445.87348648599601</v>
      </c>
      <c r="BH97" s="157">
        <f>+BH96+BH84</f>
        <v>453.16324774179964</v>
      </c>
      <c r="BI97" s="157">
        <f>+BI96+BI84</f>
        <v>463.52106179497179</v>
      </c>
      <c r="BJ97" s="157">
        <f>+BJ96+BJ84</f>
        <v>463.52106179497179</v>
      </c>
      <c r="BL97" s="157">
        <f>+BL96+BL84</f>
        <v>471.15064295561729</v>
      </c>
      <c r="BM97" s="157">
        <f>+BM96+BM84</f>
        <v>481.99706247399433</v>
      </c>
      <c r="BN97" s="157">
        <f>+BN96+BN84</f>
        <v>481.99706247399433</v>
      </c>
      <c r="BP97" s="157">
        <f>+BP96+BP84</f>
        <v>489.97948173385083</v>
      </c>
      <c r="BQ97" s="157">
        <f>+BQ96+BQ84</f>
        <v>501.34258139416437</v>
      </c>
      <c r="BR97" s="157">
        <f>+BR96+BR84</f>
        <v>501.34258139416437</v>
      </c>
      <c r="BT97" s="157">
        <f>+BT96+BT84</f>
        <v>509.70645887269444</v>
      </c>
      <c r="BU97" s="157">
        <f>+BU96+BU84</f>
        <v>521.59938657049929</v>
      </c>
      <c r="BV97" s="157">
        <f>+BV96+BV84</f>
        <v>521.59938657049929</v>
      </c>
      <c r="BX97" s="157">
        <f>+BX96+BX84</f>
        <v>530.35208988229044</v>
      </c>
      <c r="BY97" s="157">
        <f>+BY96+BY84</f>
        <v>542.81346602544329</v>
      </c>
      <c r="BZ97" s="157">
        <f>+BZ96+BZ84</f>
        <v>542.81346602544329</v>
      </c>
    </row>
    <row r="98" spans="1:78" s="592" customFormat="1">
      <c r="A98" s="533"/>
      <c r="B98" s="591" t="s">
        <v>528</v>
      </c>
      <c r="C98" s="592" t="s">
        <v>406</v>
      </c>
      <c r="L98" s="593">
        <v>1.8</v>
      </c>
      <c r="N98" s="593">
        <v>1.8</v>
      </c>
      <c r="P98" s="593">
        <v>1</v>
      </c>
      <c r="R98" s="593">
        <v>1.53</v>
      </c>
      <c r="T98" s="593">
        <v>1.26</v>
      </c>
      <c r="V98" s="593">
        <v>2.4700000000000002</v>
      </c>
      <c r="X98" s="593">
        <v>2.2999999999999998</v>
      </c>
      <c r="Y98" s="592">
        <f>+Z98</f>
        <v>1.99</v>
      </c>
      <c r="Z98" s="593">
        <v>1.99</v>
      </c>
      <c r="AB98" s="668">
        <v>2.14</v>
      </c>
      <c r="AC98" s="592">
        <f>+AD98</f>
        <v>-0.67137645333969787</v>
      </c>
      <c r="AD98" s="667">
        <f>AD94/AD97</f>
        <v>-0.67137645333969787</v>
      </c>
      <c r="AF98" s="667">
        <f>AF94/AF97</f>
        <v>2.7410110797823757</v>
      </c>
      <c r="AG98" s="592">
        <f>+AH98</f>
        <v>1.7127178708324291</v>
      </c>
      <c r="AH98" s="667">
        <f>AH94/AH97</f>
        <v>1.7127178708324291</v>
      </c>
      <c r="AJ98" s="667">
        <f>AJ94/AJ97</f>
        <v>2.0219284002165008</v>
      </c>
      <c r="AK98" s="592">
        <f>+AL98</f>
        <v>1.2832336132650051</v>
      </c>
      <c r="AL98" s="667">
        <f>AL94/AL97</f>
        <v>1.2832336132650051</v>
      </c>
      <c r="AN98" s="667">
        <f>AN94/AN97</f>
        <v>1.9031321768142611</v>
      </c>
      <c r="AO98" s="592">
        <f>+AP98</f>
        <v>1.9733128419032326</v>
      </c>
      <c r="AP98" s="667">
        <f>AP94/AP97</f>
        <v>1.9733128419032326</v>
      </c>
      <c r="AR98" s="667">
        <f t="shared" ref="AR98" si="393">AR94/AR97</f>
        <v>2.3042992737548049</v>
      </c>
      <c r="AS98" s="667">
        <f t="shared" ref="AS98" si="394">AS94/AS97</f>
        <v>2.0461230571562079</v>
      </c>
      <c r="AT98" s="667">
        <f t="shared" ref="AT98" si="395">AT94/AT97</f>
        <v>2.0461230571562079</v>
      </c>
      <c r="AV98" s="667">
        <f t="shared" ref="AV98" si="396">AV94/AV97</f>
        <v>2.0594939772430854</v>
      </c>
      <c r="AW98" s="667">
        <f t="shared" ref="AW98" si="397">AW94/AW97</f>
        <v>1.8011567971097746</v>
      </c>
      <c r="AX98" s="667">
        <f t="shared" ref="AX98" si="398">AX94/AX97</f>
        <v>1.8011567971097746</v>
      </c>
      <c r="AZ98" s="667">
        <f t="shared" ref="AZ98" si="399">AZ94/AZ97</f>
        <v>1.8372390176228968</v>
      </c>
      <c r="BA98" s="667">
        <f t="shared" ref="BA98" si="400">BA94/BA97</f>
        <v>1.5997690877957276</v>
      </c>
      <c r="BB98" s="667">
        <f t="shared" ref="BB98" si="401">BB94/BB97</f>
        <v>1.5997690877957276</v>
      </c>
      <c r="BD98" s="667">
        <f t="shared" ref="BD98" si="402">BD94/BD97</f>
        <v>1.6573349579454288</v>
      </c>
      <c r="BE98" s="667">
        <f t="shared" ref="BE98" si="403">BE94/BE97</f>
        <v>1.4408452430344068</v>
      </c>
      <c r="BF98" s="667">
        <f t="shared" ref="BF98" si="404">BF94/BF97</f>
        <v>1.4408452430344068</v>
      </c>
      <c r="BH98" s="667">
        <f t="shared" ref="BH98" si="405">BH94/BH97</f>
        <v>1.5054618955016155</v>
      </c>
      <c r="BI98" s="667">
        <f t="shared" ref="BI98" si="406">BI94/BI97</f>
        <v>1.2910354002720643</v>
      </c>
      <c r="BJ98" s="667">
        <f t="shared" ref="BJ98" si="407">BJ94/BJ97</f>
        <v>1.2910354002720643</v>
      </c>
      <c r="BL98" s="667">
        <f t="shared" ref="BL98" si="408">BL94/BL97</f>
        <v>1.3588600081864126</v>
      </c>
      <c r="BM98" s="667">
        <f t="shared" ref="BM98" si="409">BM94/BM97</f>
        <v>1.1465818351891983</v>
      </c>
      <c r="BN98" s="667">
        <f t="shared" ref="BN98" si="410">BN94/BN97</f>
        <v>1.1465818351891983</v>
      </c>
      <c r="BP98" s="667">
        <f t="shared" ref="BP98" si="411">BP94/BP97</f>
        <v>1.2010952566185416</v>
      </c>
      <c r="BQ98" s="667">
        <f t="shared" ref="BQ98" si="412">BQ94/BQ97</f>
        <v>0.99675630292073247</v>
      </c>
      <c r="BR98" s="667">
        <f t="shared" ref="BR98" si="413">BR94/BR97</f>
        <v>0.99675630292073247</v>
      </c>
      <c r="BT98" s="667">
        <f t="shared" ref="BT98:BV98" si="414">BT94/BT97</f>
        <v>1.0681667629116895</v>
      </c>
      <c r="BU98" s="667">
        <f t="shared" si="414"/>
        <v>0.8592686760051218</v>
      </c>
      <c r="BV98" s="667">
        <f t="shared" si="414"/>
        <v>0.8592686760051218</v>
      </c>
      <c r="BX98" s="667">
        <f t="shared" ref="BX98:BZ98" si="415">BX94/BX97</f>
        <v>0.93707669613047306</v>
      </c>
      <c r="BY98" s="667">
        <f t="shared" si="415"/>
        <v>0.7304850121771761</v>
      </c>
      <c r="BZ98" s="667">
        <f t="shared" si="415"/>
        <v>0.7304850121771761</v>
      </c>
    </row>
    <row r="99" spans="1:78" s="157" customFormat="1">
      <c r="A99" s="134"/>
      <c r="B99" s="221" t="s">
        <v>552</v>
      </c>
      <c r="C99" s="157" t="s">
        <v>406</v>
      </c>
      <c r="L99" s="509"/>
      <c r="N99" s="509"/>
      <c r="P99" s="509"/>
      <c r="R99" s="509"/>
      <c r="T99" s="509"/>
      <c r="V99" s="509"/>
      <c r="X99" s="509">
        <v>3</v>
      </c>
      <c r="Y99" s="157">
        <f>+Z99</f>
        <v>3</v>
      </c>
      <c r="Z99" s="509">
        <v>3</v>
      </c>
      <c r="AB99" s="509">
        <v>3</v>
      </c>
      <c r="AC99" s="157">
        <f>+AD99</f>
        <v>3</v>
      </c>
      <c r="AD99" s="509">
        <v>3</v>
      </c>
      <c r="AF99" s="509">
        <v>3</v>
      </c>
      <c r="AG99" s="157">
        <f>+AH99</f>
        <v>3</v>
      </c>
      <c r="AH99" s="509">
        <v>3</v>
      </c>
      <c r="AJ99" s="470">
        <v>3</v>
      </c>
      <c r="AK99" s="157">
        <f>+AL99</f>
        <v>3</v>
      </c>
      <c r="AL99" s="470">
        <v>3</v>
      </c>
      <c r="AN99" s="509">
        <v>3</v>
      </c>
      <c r="AO99" s="157">
        <f>+AP99</f>
        <v>3</v>
      </c>
      <c r="AP99" s="509">
        <v>3</v>
      </c>
      <c r="AR99" s="509">
        <v>3</v>
      </c>
      <c r="AS99" s="509">
        <v>3</v>
      </c>
      <c r="AT99" s="509">
        <v>3</v>
      </c>
      <c r="AV99" s="509">
        <v>3</v>
      </c>
      <c r="AW99" s="509">
        <v>3</v>
      </c>
      <c r="AX99" s="509">
        <v>3</v>
      </c>
      <c r="AZ99" s="509">
        <v>3</v>
      </c>
      <c r="BA99" s="509">
        <v>3</v>
      </c>
      <c r="BB99" s="509">
        <v>3</v>
      </c>
      <c r="BD99" s="509">
        <v>3</v>
      </c>
      <c r="BE99" s="509">
        <v>3</v>
      </c>
      <c r="BF99" s="509">
        <v>3</v>
      </c>
      <c r="BH99" s="509">
        <v>3</v>
      </c>
      <c r="BI99" s="509">
        <v>3</v>
      </c>
      <c r="BJ99" s="509">
        <v>3</v>
      </c>
      <c r="BL99" s="509">
        <v>3</v>
      </c>
      <c r="BM99" s="509">
        <v>3</v>
      </c>
      <c r="BN99" s="509">
        <v>3</v>
      </c>
      <c r="BP99" s="509">
        <v>3</v>
      </c>
      <c r="BQ99" s="509">
        <v>3</v>
      </c>
      <c r="BR99" s="509">
        <v>3</v>
      </c>
      <c r="BT99" s="509">
        <v>3</v>
      </c>
      <c r="BU99" s="509">
        <v>3</v>
      </c>
      <c r="BV99" s="509">
        <v>3</v>
      </c>
      <c r="BX99" s="509">
        <v>3</v>
      </c>
      <c r="BY99" s="509">
        <v>3</v>
      </c>
      <c r="BZ99" s="509">
        <v>3</v>
      </c>
    </row>
    <row r="100" spans="1:78" s="157" customFormat="1">
      <c r="A100" s="134"/>
      <c r="B100" s="221"/>
    </row>
    <row r="101" spans="1:78" s="157" customFormat="1">
      <c r="A101" s="134"/>
      <c r="B101" s="544" t="s">
        <v>549</v>
      </c>
      <c r="C101" s="155"/>
    </row>
    <row r="102" spans="1:78" s="157" customFormat="1">
      <c r="A102" s="134"/>
      <c r="B102" s="221" t="s">
        <v>553</v>
      </c>
      <c r="C102" s="157" t="s">
        <v>39</v>
      </c>
      <c r="V102" s="220">
        <f>+V90/(V64+V90)</f>
        <v>0.34228405741123713</v>
      </c>
      <c r="X102" s="220">
        <f>+X90/(X64+X90)</f>
        <v>0.34042345977108418</v>
      </c>
      <c r="Z102" s="220">
        <f>+Z90/(Z64+Z90)</f>
        <v>0.28496066182314495</v>
      </c>
      <c r="AB102" s="220">
        <f>+AB90/(AB64+AB90)</f>
        <v>0.30927956754714775</v>
      </c>
      <c r="AD102" s="220">
        <f>+AD90/(AD64+AD90)</f>
        <v>8.952219118375794E-2</v>
      </c>
      <c r="AF102" s="220">
        <f>+AF90/(AF64+AF90)</f>
        <v>0.38364242788862235</v>
      </c>
      <c r="AH102" s="220">
        <f>+AH90/(AH64+AH90)</f>
        <v>0.29277672086147166</v>
      </c>
      <c r="AJ102" s="220">
        <f>+AJ90/(AJ64+AJ90)</f>
        <v>0.33061631418850734</v>
      </c>
      <c r="AL102" s="220">
        <f>+AL90/(AL64+AL90)</f>
        <v>0.28791390863274796</v>
      </c>
      <c r="AN102" s="220">
        <f>+AN90/(AN64+AN90)</f>
        <v>0.30876237291442055</v>
      </c>
      <c r="AP102" s="220">
        <f>+AP90/(AP64+AP90)</f>
        <v>0.30829318925380544</v>
      </c>
      <c r="AR102" s="220">
        <f>+AR90/(AR64+AR90)</f>
        <v>0.3089814688539344</v>
      </c>
      <c r="AS102" s="220">
        <f>+AS90/(AS64+AS90)</f>
        <v>0.30151540079733447</v>
      </c>
      <c r="AT102" s="220">
        <f>+AT90/(AT64+AT90)</f>
        <v>0.30151540079733447</v>
      </c>
      <c r="AV102" s="220">
        <f>+AV90/(AV64+AV90)</f>
        <v>0.30299002630253619</v>
      </c>
      <c r="AW102" s="220">
        <f>+AW90/(AW64+AW90)</f>
        <v>0.29490925485573438</v>
      </c>
      <c r="AX102" s="220">
        <f>+AX90/(AX64+AX90)</f>
        <v>0.29490925485573438</v>
      </c>
      <c r="AZ102" s="220">
        <f>+AZ90/(AZ64+AZ90)</f>
        <v>0.29578003202253011</v>
      </c>
      <c r="BA102" s="220">
        <f>+BA90/(BA64+BA90)</f>
        <v>0.28677162094610603</v>
      </c>
      <c r="BB102" s="220">
        <f>+BB90/(BB64+BB90)</f>
        <v>0.28677162094610603</v>
      </c>
      <c r="BD102" s="220">
        <f>+BD90/(BD64+BD90)</f>
        <v>0.28785214587843799</v>
      </c>
      <c r="BE102" s="220">
        <f>+BE90/(BE64+BE90)</f>
        <v>0.27874610329042582</v>
      </c>
      <c r="BF102" s="220">
        <f>+BF90/(BF64+BF90)</f>
        <v>0.27874610329042571</v>
      </c>
      <c r="BH102" s="220">
        <f>+BH90/(BH64+BH90)</f>
        <v>0.27972580208648057</v>
      </c>
      <c r="BI102" s="220">
        <f>+BI90/(BI64+BI90)</f>
        <v>0.27054712694324035</v>
      </c>
      <c r="BJ102" s="220">
        <f>+BJ90/(BJ64+BJ90)</f>
        <v>0.27054712694324035</v>
      </c>
      <c r="BL102" s="220">
        <f>+BL90/(BL64+BL90)</f>
        <v>0.27142541981343871</v>
      </c>
      <c r="BM102" s="220">
        <f>+BM90/(BM64+BM90)</f>
        <v>0.26219964840767496</v>
      </c>
      <c r="BN102" s="220">
        <f>+BN90/(BN64+BN90)</f>
        <v>0.26219964840767496</v>
      </c>
      <c r="BP102" s="220">
        <f>+BP90/(BP64+BP90)</f>
        <v>0.26297651784319021</v>
      </c>
      <c r="BQ102" s="220">
        <f>+BQ90/(BQ64+BQ90)</f>
        <v>0.25372946872539009</v>
      </c>
      <c r="BR102" s="220">
        <f>+BR90/(BR64+BR90)</f>
        <v>0.25372946872539009</v>
      </c>
      <c r="BT102" s="220">
        <f>+BT90/(BT64+BT90)</f>
        <v>0.25440545533440628</v>
      </c>
      <c r="BU102" s="220">
        <f>+BU90/(BU64+BU90)</f>
        <v>0.24516297004300974</v>
      </c>
      <c r="BV102" s="220">
        <f>+BV90/(BV64+BV90)</f>
        <v>0.24516297004300974</v>
      </c>
      <c r="BX102" s="220">
        <f>+BX90/(BX64+BX90)</f>
        <v>0.24573916028408777</v>
      </c>
      <c r="BY102" s="220">
        <f>+BY90/(BY64+BY90)</f>
        <v>0.23652684536766072</v>
      </c>
      <c r="BZ102" s="220">
        <f>+BZ90/(BZ64+BZ90)</f>
        <v>0.23652684536766072</v>
      </c>
    </row>
    <row r="103" spans="1:78">
      <c r="B103" s="154" t="s">
        <v>547</v>
      </c>
      <c r="C103" s="155" t="s">
        <v>39</v>
      </c>
      <c r="V103" s="138">
        <f>+V90/(V64)</f>
        <v>0.52041319853675849</v>
      </c>
      <c r="X103" s="138">
        <f>+X90/(X64)</f>
        <v>0.51612426914537501</v>
      </c>
      <c r="Z103" s="138">
        <f>+Z90/(Z64)</f>
        <v>0.39852445398278757</v>
      </c>
      <c r="AB103" s="138">
        <f>+AB90/(AB64)</f>
        <v>0.44776374494793714</v>
      </c>
      <c r="AD103" s="138">
        <f>+AD90/(AD64)</f>
        <v>9.8324407598852137E-2</v>
      </c>
      <c r="AF103" s="138">
        <f>+AF90/(AF64)</f>
        <v>0.62243484179877495</v>
      </c>
      <c r="AH103" s="138">
        <f>+AH90/(AH64)</f>
        <v>0.41398060484958055</v>
      </c>
      <c r="AJ103" s="138">
        <f>+AJ90/(AJ64)</f>
        <v>0.49391152069638777</v>
      </c>
      <c r="AL103" s="138">
        <f>+AL90/(AL64)</f>
        <v>0.40432457833846225</v>
      </c>
      <c r="AN103" s="138">
        <f>+AN90/(AN64)</f>
        <v>0.44668050582870517</v>
      </c>
      <c r="AP103" s="138">
        <f>+AP90/(AP64)</f>
        <v>0.44569922467761602</v>
      </c>
      <c r="AR103" s="138">
        <f>+AR90/(AR64)</f>
        <v>0.44713919370799438</v>
      </c>
      <c r="AS103" s="138">
        <f>+AS90/(AS64)</f>
        <v>0.43167079294449784</v>
      </c>
      <c r="AT103" s="138">
        <f>+AT90/(AT64)</f>
        <v>0.43167079294449784</v>
      </c>
      <c r="AV103" s="138">
        <f>+AV90/(AV64)</f>
        <v>0.43469969976935874</v>
      </c>
      <c r="AW103" s="138">
        <f>+AW90/(AW64)</f>
        <v>0.41825716319024192</v>
      </c>
      <c r="AX103" s="138">
        <f>+AX90/(AX64)</f>
        <v>0.41825716319024192</v>
      </c>
      <c r="AZ103" s="138">
        <f>+AZ90/(AZ64)</f>
        <v>0.4200108566532339</v>
      </c>
      <c r="BA103" s="138">
        <f>+BA90/(BA64)</f>
        <v>0.40207544927826905</v>
      </c>
      <c r="BB103" s="138">
        <f>+BB90/(BB64)</f>
        <v>0.40207544927826905</v>
      </c>
      <c r="BD103" s="138">
        <f>+BD90/(BD64)</f>
        <v>0.40420278487464528</v>
      </c>
      <c r="BE103" s="138">
        <f>+BE90/(BE64)</f>
        <v>0.38647431169812857</v>
      </c>
      <c r="BF103" s="138">
        <f>+BF90/(BF64)</f>
        <v>0.3864743116981284</v>
      </c>
      <c r="BH103" s="138">
        <f>+BH90/(BH64)</f>
        <v>0.38836015908495197</v>
      </c>
      <c r="BI103" s="138">
        <f>+BI90/(BI64)</f>
        <v>0.37089048098407956</v>
      </c>
      <c r="BJ103" s="138">
        <f>+BJ90/(BJ64)</f>
        <v>0.37089048098407956</v>
      </c>
      <c r="BL103" s="138">
        <f>+BL90/(BL64)</f>
        <v>0.37254308233473721</v>
      </c>
      <c r="BM103" s="138">
        <f>+BM90/(BM64)</f>
        <v>0.35538021612729531</v>
      </c>
      <c r="BN103" s="138">
        <f>+BN90/(BN64)</f>
        <v>0.35538021612729531</v>
      </c>
      <c r="BP103" s="138">
        <f>+BP90/(BP64)</f>
        <v>0.35680887272902262</v>
      </c>
      <c r="BQ103" s="138">
        <f>+BQ90/(BQ64)</f>
        <v>0.33999663405176533</v>
      </c>
      <c r="BR103" s="138">
        <f>+BR90/(BR64)</f>
        <v>0.33999663405176533</v>
      </c>
      <c r="BT103" s="138">
        <f>+BT90/(BT64)</f>
        <v>0.3412115299857908</v>
      </c>
      <c r="BU103" s="138">
        <f>+BU90/(BU64)</f>
        <v>0.32478927280101622</v>
      </c>
      <c r="BV103" s="138">
        <f>+BV90/(BV64)</f>
        <v>0.32478927280101622</v>
      </c>
      <c r="BX103" s="138">
        <f>+BX90/(BX64)</f>
        <v>0.32580129756788639</v>
      </c>
      <c r="BY103" s="138">
        <f>+BY90/(BY64)</f>
        <v>0.30980374874027283</v>
      </c>
      <c r="BZ103" s="138">
        <f>+BZ90/(BZ64)</f>
        <v>0.30980374874027283</v>
      </c>
    </row>
    <row r="104" spans="1:78" s="157" customFormat="1">
      <c r="A104" s="134"/>
      <c r="B104" s="154" t="s">
        <v>550</v>
      </c>
      <c r="C104" s="155" t="s">
        <v>39</v>
      </c>
      <c r="D104" s="238">
        <f>+D72/(D64+D72)</f>
        <v>0.10051282598033988</v>
      </c>
      <c r="E104" s="238">
        <f>+E72/(E64+E72)</f>
        <v>4.8057670289599473E-2</v>
      </c>
      <c r="F104" s="238">
        <f>+F72/(F64+F72)</f>
        <v>4.8057670289599473E-2</v>
      </c>
      <c r="H104" s="238">
        <f>+H72/(H64+H72)</f>
        <v>7.2311348314901144E-2</v>
      </c>
      <c r="I104" s="238">
        <f>+I72/(I64+I72)</f>
        <v>9.1642199833353921E-2</v>
      </c>
      <c r="J104" s="238">
        <f>+J72/(J64+J72)</f>
        <v>9.1642199833353921E-2</v>
      </c>
      <c r="L104" s="238">
        <f>+L72/(L64+L72)</f>
        <v>0.11511612998200235</v>
      </c>
      <c r="M104" s="238">
        <f>+M72/(M64+M72)</f>
        <v>0.14893363573987953</v>
      </c>
      <c r="N104" s="238">
        <f>+N72/(N64+N72)</f>
        <v>0.14893363573987953</v>
      </c>
      <c r="P104" s="238">
        <f>+P72/(P64+P72)</f>
        <v>-2.3033018593308311E-2</v>
      </c>
      <c r="Q104" s="238">
        <f>+Q72/(Q64+Q72)</f>
        <v>6.6541535597664958E-2</v>
      </c>
      <c r="R104" s="238">
        <f>+R72/(R64+R72)</f>
        <v>6.6541535597664958E-2</v>
      </c>
      <c r="T104" s="238">
        <f>+T72/(T64+T72)</f>
        <v>7.7336585631110219E-2</v>
      </c>
      <c r="U104" s="238">
        <f>+U72/(U64+U72)</f>
        <v>0.23109558586045462</v>
      </c>
      <c r="V104" s="238">
        <f>+V72/(V64+V72)</f>
        <v>0.23109558586045462</v>
      </c>
      <c r="X104" s="238">
        <f>+X72/(X64+X72)</f>
        <v>0.26151098605184314</v>
      </c>
      <c r="Y104" s="238">
        <f>+Y72/(Y64+Y72)</f>
        <v>0.18487510592902823</v>
      </c>
      <c r="Z104" s="238">
        <f>+Z72/(Z64+Z72)</f>
        <v>0.18487510592902823</v>
      </c>
      <c r="AB104" s="238">
        <f>+AB72/(AB64+AB72)</f>
        <v>0.20141401090080474</v>
      </c>
      <c r="AC104" s="238">
        <f>+AC72/(AC64+AC72)</f>
        <v>-0.26906697195191759</v>
      </c>
      <c r="AD104" s="238">
        <f>+AD72/(AD64+AD72)</f>
        <v>-0.26906697195191759</v>
      </c>
      <c r="AF104" s="238">
        <f>+AF94/(AF64+AF94)</f>
        <v>0.36481754471461347</v>
      </c>
      <c r="AG104" s="238">
        <f>+AG72/(AG64+AG72)</f>
        <v>0.17628450408927276</v>
      </c>
      <c r="AH104" s="238">
        <f>+AH72/(AH64+AH72)</f>
        <v>0.17628450408927276</v>
      </c>
      <c r="AJ104" s="238">
        <f>+AJ94/(AJ64+AJ94)</f>
        <v>0.30554609107679598</v>
      </c>
      <c r="AK104" s="238">
        <f>+AK72/(AK64+AK72)</f>
        <v>0.13312958471558284</v>
      </c>
      <c r="AL104" s="238">
        <f>+AL72/(AL64+AL72)</f>
        <v>0.13312958471558284</v>
      </c>
      <c r="AN104" s="238">
        <f>+AN94/(AN64+AN94)</f>
        <v>0.29052633261870536</v>
      </c>
      <c r="AO104" s="238">
        <f>+AO72/(AO64+AO72)</f>
        <v>0.22250719065200239</v>
      </c>
      <c r="AP104" s="238">
        <f>+AP72/(AP64+AP72)</f>
        <v>0.22250719065200239</v>
      </c>
      <c r="AR104" s="238">
        <f>+AR72/(AR64+AR72)</f>
        <v>0.22760515482629151</v>
      </c>
      <c r="AS104" s="238">
        <f>+AS72/(AS64+AS72)</f>
        <v>0.16431965580153565</v>
      </c>
      <c r="AT104" s="238">
        <f>+AT72/(AT64+AT72)</f>
        <v>0.16431965580153565</v>
      </c>
      <c r="AV104" s="238">
        <f>+AV72/(AV64+AV72)</f>
        <v>0.19100724225438939</v>
      </c>
      <c r="AW104" s="238">
        <f>+AW72/(AW64+AW72)</f>
        <v>0.11779800204201384</v>
      </c>
      <c r="AX104" s="238">
        <f>+AX72/(AX64+AX72)</f>
        <v>0.11779800204201384</v>
      </c>
      <c r="AZ104" s="238">
        <f>+AZ72/(AZ64+AZ72)</f>
        <v>0.15880840677674241</v>
      </c>
      <c r="BA104" s="238">
        <f>+BA72/(BA64+BA72)</f>
        <v>8.1188994619610003E-2</v>
      </c>
      <c r="BB104" s="238">
        <f>+BB72/(BB64+BB72)</f>
        <v>8.1188994619609919E-2</v>
      </c>
      <c r="BD104" s="238">
        <f>+BD72/(BD64+BD72)</f>
        <v>0.12437287344709137</v>
      </c>
      <c r="BE104" s="238">
        <f>+BE72/(BE64+BE72)</f>
        <v>3.6193527246843271E-2</v>
      </c>
      <c r="BF104" s="238">
        <f>+BF72/(BF64+BF72)</f>
        <v>3.6193527246843257E-2</v>
      </c>
      <c r="BH104" s="238">
        <f>+BH72/(BH64+BH72)</f>
        <v>8.5782843672088743E-2</v>
      </c>
      <c r="BI104" s="238">
        <f>+BI72/(BI64+BI72)</f>
        <v>-1.0489058689109114E-2</v>
      </c>
      <c r="BJ104" s="238">
        <f>+BJ72/(BJ64+BJ72)</f>
        <v>-1.0489058689109114E-2</v>
      </c>
      <c r="BL104" s="238">
        <f>+BL72/(BL64+BL72)</f>
        <v>4.4291484064365255E-2</v>
      </c>
      <c r="BM104" s="238">
        <f>+BM72/(BM64+BM72)</f>
        <v>-6.0858309579957803E-2</v>
      </c>
      <c r="BN104" s="238">
        <f>+BN72/(BN64+BN72)</f>
        <v>-6.0858309579957803E-2</v>
      </c>
      <c r="BP104" s="238">
        <f>+BP72/(BP64+BP72)</f>
        <v>-1.0157572312257364E-2</v>
      </c>
      <c r="BQ104" s="238">
        <f>+BQ72/(BQ64+BQ72)</f>
        <v>-0.12296669963200543</v>
      </c>
      <c r="BR104" s="238">
        <f>+BR72/(BR64+BR72)</f>
        <v>-0.12296669963200543</v>
      </c>
      <c r="BT104" s="238">
        <f>+BT72/(BT64+BT72)</f>
        <v>-5.6724914562397186E-2</v>
      </c>
      <c r="BU104" s="238">
        <f>+BU72/(BU64+BU72)</f>
        <v>-0.18521257221788387</v>
      </c>
      <c r="BV104" s="238">
        <f>+BV72/(BV64+BV72)</f>
        <v>-0.18521257221788387</v>
      </c>
      <c r="BX104" s="238">
        <f>+BX72/(BX64+BX72)</f>
        <v>-0.10873155129379876</v>
      </c>
      <c r="BY104" s="238">
        <f>+BY72/(BY64+BY72)</f>
        <v>-0.24934019729006099</v>
      </c>
      <c r="BZ104" s="238">
        <f>+BZ72/(BZ64+BZ72)</f>
        <v>-0.24934019729006099</v>
      </c>
    </row>
    <row r="105" spans="1:78" s="157" customFormat="1">
      <c r="A105" s="134"/>
      <c r="B105" s="154" t="s">
        <v>551</v>
      </c>
      <c r="C105" s="155" t="s">
        <v>39</v>
      </c>
      <c r="D105" s="238">
        <f>+D72/D64</f>
        <v>0.11174459056616072</v>
      </c>
      <c r="E105" s="238">
        <f>+E72/E64</f>
        <v>5.0483804312199829E-2</v>
      </c>
      <c r="F105" s="238">
        <f>+F72/F64</f>
        <v>5.0483804312199829E-2</v>
      </c>
      <c r="H105" s="238">
        <f>+H72/H64</f>
        <v>7.7947863416838487E-2</v>
      </c>
      <c r="I105" s="238">
        <f>+I72/I64</f>
        <v>0.1008877777199044</v>
      </c>
      <c r="J105" s="238">
        <f>+J72/J64</f>
        <v>0.1008877777199044</v>
      </c>
      <c r="L105" s="238">
        <f>+L72/L64</f>
        <v>0.13009179383014521</v>
      </c>
      <c r="M105" s="238">
        <f>+M72/M64</f>
        <v>0.17499650085379165</v>
      </c>
      <c r="N105" s="238">
        <f>+N72/N64</f>
        <v>0.17499650085379165</v>
      </c>
      <c r="P105" s="238">
        <f>+P72/P64</f>
        <v>-2.2514443008867093E-2</v>
      </c>
      <c r="Q105" s="238">
        <f>+Q72/Q64</f>
        <v>7.1284945324556537E-2</v>
      </c>
      <c r="R105" s="238">
        <f>+R72/R64</f>
        <v>7.1284945324556537E-2</v>
      </c>
      <c r="T105" s="238">
        <f>+T72/T64</f>
        <v>8.381884924310036E-2</v>
      </c>
      <c r="U105" s="238">
        <f>+U72/U64</f>
        <v>0.30055177420078383</v>
      </c>
      <c r="V105" s="238">
        <f>+V72/V64</f>
        <v>0.30055177420078383</v>
      </c>
      <c r="X105" s="238">
        <f>+X72/X64</f>
        <v>0.35411628489059915</v>
      </c>
      <c r="Y105" s="238">
        <f>+Y72/Y64</f>
        <v>0.22680586407526823</v>
      </c>
      <c r="Z105" s="238">
        <f>+Z72/Z64</f>
        <v>0.22680586407526823</v>
      </c>
      <c r="AB105" s="238">
        <f>+AB72/AB64</f>
        <v>0.2522133040776231</v>
      </c>
      <c r="AC105" s="238">
        <f>+AC72/AC64</f>
        <v>-0.21201952134809163</v>
      </c>
      <c r="AD105" s="238">
        <f>+AD72/AD64</f>
        <v>-0.21201952134809163</v>
      </c>
      <c r="AF105" s="238">
        <f>+AF94/AF64</f>
        <v>0.57435078957069363</v>
      </c>
      <c r="AG105" s="238">
        <f>+AG72/AG64</f>
        <v>0.21401139709574937</v>
      </c>
      <c r="AH105" s="238">
        <f>+AH72/AH64</f>
        <v>0.21401139709574937</v>
      </c>
      <c r="AJ105" s="238">
        <f>+AJ94/AJ64</f>
        <v>0.43998037472431406</v>
      </c>
      <c r="AK105" s="238">
        <f>+AK72/AK64</f>
        <v>0.15357495465098261</v>
      </c>
      <c r="AL105" s="238">
        <f>+AL72/AL64</f>
        <v>0.15357495465098261</v>
      </c>
      <c r="AN105" s="238">
        <f>+AN94/AN64</f>
        <v>0.40949558239568445</v>
      </c>
      <c r="AO105" s="238">
        <f>+AO72/AO64</f>
        <v>0.28618552863350089</v>
      </c>
      <c r="AP105" s="238">
        <f>+AP72/AP64</f>
        <v>0.28618552863350089</v>
      </c>
      <c r="AR105" s="238">
        <f>+AR72/AR64</f>
        <v>0.29467461654939453</v>
      </c>
      <c r="AS105" s="238">
        <f>+AS72/AS64</f>
        <v>0.19662979624002219</v>
      </c>
      <c r="AT105" s="238">
        <f>+AT72/AT64</f>
        <v>0.19662979624002219</v>
      </c>
      <c r="AV105" s="238">
        <f>+AV72/AV64</f>
        <v>0.23610500888371613</v>
      </c>
      <c r="AW105" s="238">
        <f>+AW72/AW64</f>
        <v>0.13352724468395938</v>
      </c>
      <c r="AX105" s="238">
        <f>+AX72/AX64</f>
        <v>0.13352724468395938</v>
      </c>
      <c r="AZ105" s="238">
        <f>+AZ72/AZ64</f>
        <v>0.18878981679812584</v>
      </c>
      <c r="BA105" s="238">
        <f>+BA72/BA64</f>
        <v>8.8363106388780754E-2</v>
      </c>
      <c r="BB105" s="238">
        <f>+BB72/BB64</f>
        <v>8.8363106388780657E-2</v>
      </c>
      <c r="BD105" s="238">
        <f>+BD72/BD64</f>
        <v>0.14203862543262163</v>
      </c>
      <c r="BE105" s="238">
        <f>+BE72/BE64</f>
        <v>3.7552691613965634E-2</v>
      </c>
      <c r="BF105" s="238">
        <f>+BF72/BF64</f>
        <v>3.7552691613965621E-2</v>
      </c>
      <c r="BH105" s="238">
        <f>+BH72/BH64</f>
        <v>9.3832021285455036E-2</v>
      </c>
      <c r="BI105" s="238">
        <f>+BI72/BI64</f>
        <v>-1.0380180368025358E-2</v>
      </c>
      <c r="BJ105" s="238">
        <f>+BJ72/BJ64</f>
        <v>-1.0380180368025358E-2</v>
      </c>
      <c r="BL105" s="238">
        <f>+BL72/BL64</f>
        <v>4.6344134561785363E-2</v>
      </c>
      <c r="BM105" s="238">
        <f>+BM72/BM64</f>
        <v>-5.7367048012334824E-2</v>
      </c>
      <c r="BN105" s="238">
        <f>+BN72/BN64</f>
        <v>-5.7367048012334824E-2</v>
      </c>
      <c r="BP105" s="238">
        <f>+BP72/BP64</f>
        <v>-1.0055433519155449E-2</v>
      </c>
      <c r="BQ105" s="238">
        <f>+BQ72/BQ64</f>
        <v>-0.10950164387982426</v>
      </c>
      <c r="BR105" s="238">
        <f>+BR72/BR64</f>
        <v>-0.10950164387982426</v>
      </c>
      <c r="BT105" s="238">
        <f>+BT72/BT64</f>
        <v>-5.3679925381420267E-2</v>
      </c>
      <c r="BU105" s="238">
        <f>+BU72/BU64</f>
        <v>-0.15626949676318083</v>
      </c>
      <c r="BV105" s="238">
        <f>+BV72/BV64</f>
        <v>-0.15626949676318083</v>
      </c>
      <c r="BX105" s="238">
        <f>+BX72/BX64</f>
        <v>-9.8068419868558757E-2</v>
      </c>
      <c r="BY105" s="238">
        <f>+BY72/BY64</f>
        <v>-0.19957750325404069</v>
      </c>
      <c r="BZ105" s="238">
        <f>+BZ72/BZ64</f>
        <v>-0.19957750325404069</v>
      </c>
    </row>
    <row r="106" spans="1:78" s="157" customFormat="1">
      <c r="A106" s="134"/>
      <c r="B106" s="154" t="s">
        <v>524</v>
      </c>
      <c r="C106" s="155" t="s">
        <v>39</v>
      </c>
      <c r="X106" s="177">
        <v>0.4</v>
      </c>
      <c r="Y106" s="177">
        <v>0.4</v>
      </c>
      <c r="Z106" s="177">
        <v>0.4</v>
      </c>
      <c r="AB106" s="177">
        <v>0.4</v>
      </c>
      <c r="AC106" s="563" t="s">
        <v>152</v>
      </c>
      <c r="AD106" s="563" t="s">
        <v>152</v>
      </c>
      <c r="AF106" s="563" t="s">
        <v>152</v>
      </c>
      <c r="AG106" s="563" t="s">
        <v>152</v>
      </c>
      <c r="AH106" s="563" t="s">
        <v>152</v>
      </c>
      <c r="AJ106" s="563" t="s">
        <v>152</v>
      </c>
      <c r="AK106" s="563" t="s">
        <v>152</v>
      </c>
      <c r="AL106" s="563" t="s">
        <v>152</v>
      </c>
      <c r="AN106" s="563" t="s">
        <v>152</v>
      </c>
      <c r="AO106" s="563" t="s">
        <v>152</v>
      </c>
      <c r="AP106" s="563" t="s">
        <v>152</v>
      </c>
    </row>
    <row r="107" spans="1:78" s="157" customFormat="1">
      <c r="A107" s="134"/>
      <c r="B107" s="154" t="s">
        <v>525</v>
      </c>
      <c r="C107" s="155" t="s">
        <v>406</v>
      </c>
    </row>
    <row r="108" spans="1:78">
      <c r="B108" s="132"/>
      <c r="C108" s="132"/>
    </row>
    <row r="109" spans="1:78">
      <c r="B109" s="134"/>
      <c r="C109" s="134"/>
    </row>
    <row r="110" spans="1:78" s="235" customFormat="1">
      <c r="A110" s="148"/>
      <c r="B110" s="236" t="s">
        <v>42</v>
      </c>
    </row>
    <row r="112" spans="1:78">
      <c r="B112" s="162" t="s">
        <v>3</v>
      </c>
      <c r="AF112" s="241"/>
      <c r="AL112" s="241"/>
    </row>
    <row r="113" spans="1:78" s="161" customFormat="1">
      <c r="A113" s="148"/>
      <c r="B113" s="160" t="s">
        <v>4</v>
      </c>
      <c r="C113" s="155" t="s">
        <v>406</v>
      </c>
      <c r="D113" s="181">
        <v>50.906999999999996</v>
      </c>
      <c r="E113" s="161">
        <f>F113</f>
        <v>70.933000000000007</v>
      </c>
      <c r="F113" s="230">
        <v>70.933000000000007</v>
      </c>
      <c r="H113" s="181">
        <v>61.027000000000001</v>
      </c>
      <c r="I113" s="161">
        <f>J113</f>
        <v>60.231000000000002</v>
      </c>
      <c r="J113" s="230">
        <v>60.231000000000002</v>
      </c>
      <c r="L113" s="181">
        <v>65.474000000000004</v>
      </c>
      <c r="M113" s="161">
        <f>N113</f>
        <v>58.688000000000002</v>
      </c>
      <c r="N113" s="230">
        <v>58.688000000000002</v>
      </c>
      <c r="P113" s="181">
        <v>71.34</v>
      </c>
      <c r="Q113" s="161">
        <f>R113</f>
        <v>70.016000000000005</v>
      </c>
      <c r="R113" s="230">
        <v>70.016000000000005</v>
      </c>
      <c r="T113" s="230">
        <v>49.972000000000001</v>
      </c>
      <c r="U113" s="161">
        <f>V113</f>
        <v>84.373999999999995</v>
      </c>
      <c r="V113" s="230">
        <v>84.373999999999995</v>
      </c>
      <c r="W113" s="218"/>
      <c r="X113" s="230">
        <v>66.302999999999997</v>
      </c>
      <c r="Y113" s="161">
        <f>Z113</f>
        <v>76.587999999999994</v>
      </c>
      <c r="Z113" s="230">
        <v>76.587999999999994</v>
      </c>
      <c r="AA113" s="218"/>
      <c r="AB113" s="230">
        <v>75.766999999999996</v>
      </c>
      <c r="AC113" s="161">
        <f>AD113</f>
        <v>259.32900000000001</v>
      </c>
      <c r="AD113" s="230">
        <v>259.32900000000001</v>
      </c>
      <c r="AF113" s="230">
        <v>192.94399999999999</v>
      </c>
      <c r="AG113" s="161">
        <f>AH113</f>
        <v>260.35199999999998</v>
      </c>
      <c r="AH113" s="230">
        <v>260.35199999999998</v>
      </c>
      <c r="AJ113" s="230">
        <v>208.77600000000001</v>
      </c>
      <c r="AK113" s="161">
        <f>AL113</f>
        <v>377.36599999999999</v>
      </c>
      <c r="AL113" s="230">
        <v>377.36599999999999</v>
      </c>
      <c r="AN113" s="181">
        <v>210.892</v>
      </c>
      <c r="AO113" s="161">
        <f>AP113</f>
        <v>279.26600000000002</v>
      </c>
      <c r="AP113" s="916">
        <v>279.26600000000002</v>
      </c>
      <c r="AR113" s="161">
        <f>CF!AR103-AR115</f>
        <v>262.99965369959091</v>
      </c>
      <c r="AS113" s="161">
        <f>CF!AS103-AS115</f>
        <v>449.58953350758975</v>
      </c>
      <c r="AT113" s="161">
        <f>CF!AT103-AT115</f>
        <v>449.58953350758975</v>
      </c>
      <c r="AV113" s="161">
        <f>CF!AV103-AV115</f>
        <v>368.07502975177863</v>
      </c>
      <c r="AW113" s="161">
        <f>CF!AW103-AW115</f>
        <v>572.14484644381105</v>
      </c>
      <c r="AX113" s="161">
        <f>CF!AX103-AX115</f>
        <v>572.14484644381105</v>
      </c>
      <c r="AZ113" s="161">
        <f>CF!AZ103-AZ115</f>
        <v>450.66038517882225</v>
      </c>
      <c r="BA113" s="161">
        <f>CF!BA103-BA115</f>
        <v>656.60562467520867</v>
      </c>
      <c r="BB113" s="161">
        <f>CF!BB103-BB115</f>
        <v>656.6056246752089</v>
      </c>
      <c r="BD113" s="161">
        <f>CF!BD103-BD115</f>
        <v>534.54264116114837</v>
      </c>
      <c r="BE113" s="161">
        <f>CF!BE103-BE115</f>
        <v>759.84157743402398</v>
      </c>
      <c r="BF113" s="161">
        <f>CF!BF103-BF115</f>
        <v>759.84157743402398</v>
      </c>
      <c r="BH113" s="161">
        <f>CF!BH103-BH115</f>
        <v>626.93929922521511</v>
      </c>
      <c r="BI113" s="161">
        <f>CF!BI103-BI115</f>
        <v>862.8834270100383</v>
      </c>
      <c r="BJ113" s="161">
        <f>CF!BJ103-BJ115</f>
        <v>862.8834270100383</v>
      </c>
      <c r="BL113" s="161">
        <f>CF!BL103-BL115</f>
        <v>723.668010716656</v>
      </c>
      <c r="BM113" s="161">
        <f>CF!BM103-BM115</f>
        <v>970.61309488199686</v>
      </c>
      <c r="BN113" s="161">
        <f>CF!BN103-BN115</f>
        <v>970.61309488199686</v>
      </c>
      <c r="BP113" s="161">
        <f>CF!BP103-BP115</f>
        <v>848.84544993424879</v>
      </c>
      <c r="BQ113" s="161">
        <f>CF!BQ103-BQ115</f>
        <v>1099.133837573966</v>
      </c>
      <c r="BR113" s="161">
        <f>CF!BR103-BR115</f>
        <v>1099.133837573966</v>
      </c>
      <c r="BT113" s="161">
        <f>CF!BT103-BT115</f>
        <v>950.59170970274477</v>
      </c>
      <c r="BU113" s="161">
        <f>CF!BU103-BU115</f>
        <v>1222.8560519348352</v>
      </c>
      <c r="BV113" s="161">
        <f>CF!BV103-BV115</f>
        <v>1222.8560519348352</v>
      </c>
      <c r="BX113" s="161">
        <f>CF!BX103-BX115</f>
        <v>1061.9214551297878</v>
      </c>
      <c r="BY113" s="161">
        <f>CF!BY103-BY115</f>
        <v>1346.4385059647125</v>
      </c>
      <c r="BZ113" s="161">
        <f>CF!BZ103-BZ115</f>
        <v>1346.4385059647125</v>
      </c>
    </row>
    <row r="114" spans="1:78" s="161" customFormat="1">
      <c r="A114" s="148"/>
      <c r="B114" s="160"/>
      <c r="D114" s="181"/>
      <c r="F114" s="230"/>
      <c r="H114" s="181"/>
      <c r="J114" s="230"/>
      <c r="L114" s="181"/>
      <c r="N114" s="230"/>
      <c r="P114" s="181"/>
      <c r="R114" s="230"/>
      <c r="T114" s="230"/>
      <c r="V114" s="230"/>
      <c r="W114" s="218"/>
      <c r="X114" s="230"/>
      <c r="Z114" s="230"/>
      <c r="AA114" s="218"/>
      <c r="AB114" s="230"/>
      <c r="AD114" s="230"/>
      <c r="AF114" s="230"/>
      <c r="AH114" s="230"/>
      <c r="AJ114" s="230"/>
      <c r="AL114" s="230"/>
      <c r="AN114" s="181"/>
      <c r="AP114" s="230"/>
    </row>
    <row r="115" spans="1:78" s="140" customFormat="1">
      <c r="A115" s="149"/>
      <c r="B115" s="159" t="s">
        <v>190</v>
      </c>
      <c r="C115" s="155" t="s">
        <v>406</v>
      </c>
      <c r="D115" s="175">
        <v>91.722999999999999</v>
      </c>
      <c r="E115" s="140">
        <f>F115</f>
        <v>87.513000000000005</v>
      </c>
      <c r="F115" s="175">
        <v>87.513000000000005</v>
      </c>
      <c r="H115" s="464">
        <v>86.097999999999999</v>
      </c>
      <c r="I115" s="140">
        <f>J115</f>
        <v>93.087000000000003</v>
      </c>
      <c r="J115" s="175">
        <v>93.087000000000003</v>
      </c>
      <c r="L115" s="464">
        <v>93.626999999999995</v>
      </c>
      <c r="M115" s="140">
        <f>N115</f>
        <v>99.968999999999994</v>
      </c>
      <c r="N115" s="175">
        <v>99.968999999999994</v>
      </c>
      <c r="P115" s="464">
        <v>114.08799999999999</v>
      </c>
      <c r="Q115" s="140">
        <f>R115</f>
        <v>149.98099999999999</v>
      </c>
      <c r="R115" s="175">
        <v>149.98099999999999</v>
      </c>
      <c r="T115" s="175">
        <v>134.80500000000001</v>
      </c>
      <c r="U115" s="140">
        <f>V115</f>
        <v>158.77699999999999</v>
      </c>
      <c r="V115" s="175">
        <v>158.77699999999999</v>
      </c>
      <c r="X115" s="175">
        <v>159.84700000000001</v>
      </c>
      <c r="Y115" s="140">
        <f>Z115</f>
        <v>205.232</v>
      </c>
      <c r="Z115" s="175">
        <v>205.232</v>
      </c>
      <c r="AB115" s="175">
        <v>196.785</v>
      </c>
      <c r="AC115" s="140">
        <f>AD115</f>
        <v>333.13099999999997</v>
      </c>
      <c r="AD115" s="175">
        <v>333.13099999999997</v>
      </c>
      <c r="AF115" s="175">
        <v>834.43399999999997</v>
      </c>
      <c r="AG115" s="140">
        <f>AH115</f>
        <v>936.36900000000003</v>
      </c>
      <c r="AH115" s="231">
        <v>936.36900000000003</v>
      </c>
      <c r="AJ115" s="231">
        <v>884.351</v>
      </c>
      <c r="AK115" s="140">
        <f>AL115</f>
        <v>908.95</v>
      </c>
      <c r="AL115" s="231">
        <v>908.95</v>
      </c>
      <c r="AN115" s="175">
        <v>1029.251</v>
      </c>
      <c r="AO115" s="140">
        <f>AP115</f>
        <v>1063.3720000000001</v>
      </c>
      <c r="AP115" s="915">
        <v>1063.3720000000001</v>
      </c>
      <c r="AR115" s="140">
        <f>+AR116*AR$118/AR$7</f>
        <v>1030.0508582541397</v>
      </c>
      <c r="AS115" s="140">
        <f>+AS116*AS$118/AS$7</f>
        <v>1129.1244087803457</v>
      </c>
      <c r="AT115" s="140">
        <f>+AS115</f>
        <v>1129.1244087803457</v>
      </c>
      <c r="AV115" s="140">
        <f>+AV116*AV$118/AV$7</f>
        <v>1076.2669898162765</v>
      </c>
      <c r="AW115" s="140">
        <f>+AW116*AW$118/AW$7</f>
        <v>1182.4166548483824</v>
      </c>
      <c r="AX115" s="140">
        <f>+AW115</f>
        <v>1182.4166548483824</v>
      </c>
      <c r="AZ115" s="140">
        <f>+AZ116*AZ$118/AZ$7</f>
        <v>1125.6081049478667</v>
      </c>
      <c r="BA115" s="140">
        <f>+BA116*BA$118/BA$7</f>
        <v>1232.4022870244135</v>
      </c>
      <c r="BB115" s="140">
        <f>+BA115</f>
        <v>1232.4022870244135</v>
      </c>
      <c r="BD115" s="140">
        <f>+BD116*BD$118/BD$7</f>
        <v>1164.8631283607513</v>
      </c>
      <c r="BE115" s="140">
        <f>+BE116*BE$118/BE$7</f>
        <v>1284.8592242634229</v>
      </c>
      <c r="BF115" s="140">
        <f>+BE115</f>
        <v>1284.8592242634229</v>
      </c>
      <c r="BH115" s="140">
        <f>+BH116*BH$118/BH$7</f>
        <v>1209.1752723742497</v>
      </c>
      <c r="BI115" s="140">
        <f>+BI116*BI$118/BI$7</f>
        <v>1336.2126085839795</v>
      </c>
      <c r="BJ115" s="140">
        <f>+BI115</f>
        <v>1336.2126085839795</v>
      </c>
      <c r="BL115" s="140">
        <f>+BL116*BL$118/BL$7</f>
        <v>1255.5673142270584</v>
      </c>
      <c r="BM115" s="140">
        <f>+BM116*BM$118/BM$7</f>
        <v>1390.0006336400738</v>
      </c>
      <c r="BN115" s="140">
        <f>+BM115</f>
        <v>1390.0006336400738</v>
      </c>
      <c r="BP115" s="140">
        <f>+BP116*BP$118/BP$7</f>
        <v>1307.7154652908062</v>
      </c>
      <c r="BQ115" s="140">
        <f>+BQ116*BQ$118/BQ$7</f>
        <v>1442.3381954409406</v>
      </c>
      <c r="BR115" s="140">
        <f>+BQ115</f>
        <v>1442.3381954409406</v>
      </c>
      <c r="BT115" s="140">
        <f>+BT116*BT$118/BT$7</f>
        <v>1355.0092333832683</v>
      </c>
      <c r="BU115" s="140">
        <f>+BU116*BU$118/BU$7</f>
        <v>1505.3708856745443</v>
      </c>
      <c r="BV115" s="140">
        <f>+BU115</f>
        <v>1505.3708856745443</v>
      </c>
      <c r="BX115" s="140">
        <f>+BX116*BX$118/BX$7</f>
        <v>1408.2816267937537</v>
      </c>
      <c r="BY115" s="140">
        <f>+BY116*BY$118/BY$7</f>
        <v>1567.2139895487107</v>
      </c>
      <c r="BZ115" s="140">
        <f>+BY115</f>
        <v>1567.2139895487107</v>
      </c>
    </row>
    <row r="116" spans="1:78" s="161" customFormat="1">
      <c r="A116" s="532"/>
      <c r="B116" s="251" t="s">
        <v>385</v>
      </c>
      <c r="C116" s="161" t="s">
        <v>39</v>
      </c>
      <c r="D116" s="245">
        <f>+D115/D$118*D$7</f>
        <v>0.22091326420045368</v>
      </c>
      <c r="E116" s="245">
        <f>+E115/E$118*E$7</f>
        <v>0.18456152748495663</v>
      </c>
      <c r="F116" s="245">
        <f>+F115/F$118*F$7</f>
        <v>0.19686989620311257</v>
      </c>
      <c r="H116" s="245">
        <f>+H115/H$118*H$7</f>
        <v>0.20312258350068926</v>
      </c>
      <c r="I116" s="245">
        <f>+I115/I$118*I$7</f>
        <v>0.18425539237260455</v>
      </c>
      <c r="J116" s="245">
        <f>+J115/J$118*J$7</f>
        <v>0.20052993828157822</v>
      </c>
      <c r="L116" s="245">
        <f>+L115/L$118*L$7</f>
        <v>0.20714622994580068</v>
      </c>
      <c r="M116" s="245">
        <f>+M115/M$118*M$7</f>
        <v>0.18539420370218956</v>
      </c>
      <c r="N116" s="245">
        <f>+N115/N$118*N$7</f>
        <v>0.20185725881683042</v>
      </c>
      <c r="P116" s="245">
        <f>+P115/P$118*P$7</f>
        <v>0.21689295724777419</v>
      </c>
      <c r="Q116" s="245">
        <f>+Q115/Q$118*Q$7</f>
        <v>0.26904942509044649</v>
      </c>
      <c r="R116" s="245">
        <f>+R115/R$118*R$7</f>
        <v>0.27692208271787294</v>
      </c>
      <c r="T116" s="245">
        <f>+T115/T$118*T$7</f>
        <v>0.24903565415488435</v>
      </c>
      <c r="U116" s="245">
        <f>+U115/U$118*U$7</f>
        <v>0.25339693200927288</v>
      </c>
      <c r="V116" s="245">
        <f>+V115/V$118*V$7</f>
        <v>0.27200977184188257</v>
      </c>
      <c r="X116" s="245">
        <f>+X115/X$118*X$7</f>
        <v>0.25914764549067376</v>
      </c>
      <c r="Y116" s="245">
        <f>+Y115/Y$118*Y$7</f>
        <v>0.29861619775571957</v>
      </c>
      <c r="Z116" s="245">
        <f>+Z115/Z$118*Z$7</f>
        <v>0.31488988244102872</v>
      </c>
      <c r="AB116" s="245">
        <f>+AB115/AB$118*AB$7</f>
        <v>0.30308953705912639</v>
      </c>
      <c r="AC116" s="245">
        <f>+AC115/AC$118*AC$7</f>
        <v>0.46367698798069829</v>
      </c>
      <c r="AD116" s="245">
        <f>+AD115/AD$118*AD$7</f>
        <v>0.48316267331902307</v>
      </c>
      <c r="AF116" s="245">
        <f>+AF115/AF$118*AF$7</f>
        <v>0.90248054241990516</v>
      </c>
      <c r="AG116" s="245">
        <f>+AG115/AG$118*AG$7</f>
        <v>0.71959014351804129</v>
      </c>
      <c r="AH116" s="245">
        <f>+AH115/AH$118*AH$7</f>
        <v>0.84252896626623308</v>
      </c>
      <c r="AJ116" s="245">
        <f>+AJ115/AJ$118*AJ$7</f>
        <v>0.69937354029076848</v>
      </c>
      <c r="AK116" s="245">
        <f>+AK115/AK$118*AK$7</f>
        <v>0.64944017790201725</v>
      </c>
      <c r="AL116" s="552">
        <f>+AL115/AL$118*AL$7</f>
        <v>0.6825522098561756</v>
      </c>
      <c r="AN116" s="245">
        <f>+AN115/AN$118*AN$7</f>
        <v>0.72821796298966601</v>
      </c>
      <c r="AO116" s="245">
        <f>+AO115/AO$118*AO$7</f>
        <v>0.66858878925090892</v>
      </c>
      <c r="AP116" s="552">
        <f>+AP115/AP$118*AP$7</f>
        <v>0.70833760762898512</v>
      </c>
      <c r="AR116" s="465">
        <v>0.68</v>
      </c>
      <c r="AS116" s="465">
        <v>0.68</v>
      </c>
      <c r="AT116" s="245">
        <f>+AT115/AT$118*AT$7</f>
        <v>0.71147005604713121</v>
      </c>
      <c r="AV116" s="465">
        <v>0.68</v>
      </c>
      <c r="AW116" s="465">
        <v>0.68</v>
      </c>
      <c r="AX116" s="245">
        <f t="shared" ref="AX116" si="416">+AX115/AX$118*AX$7</f>
        <v>0.71223256561621062</v>
      </c>
      <c r="AZ116" s="465">
        <v>0.68</v>
      </c>
      <c r="BA116" s="465">
        <v>0.68</v>
      </c>
      <c r="BB116" s="245">
        <f t="shared" ref="BB116" si="417">+BB115/BB$118*BB$7</f>
        <v>0.71097312464573892</v>
      </c>
      <c r="BD116" s="465">
        <v>0.68</v>
      </c>
      <c r="BE116" s="465">
        <v>0.68</v>
      </c>
      <c r="BF116" s="245">
        <f t="shared" ref="BF116" si="418">+BF115/BF$118*BF$7</f>
        <v>0.71359611061591366</v>
      </c>
      <c r="BH116" s="465">
        <v>0.68</v>
      </c>
      <c r="BI116" s="465">
        <v>0.68</v>
      </c>
      <c r="BJ116" s="245">
        <f t="shared" ref="BJ116" si="419">+BJ115/BJ$118*BJ$7</f>
        <v>0.71423099017580782</v>
      </c>
      <c r="BL116" s="465">
        <v>0.68</v>
      </c>
      <c r="BM116" s="465">
        <v>0.68</v>
      </c>
      <c r="BN116" s="245">
        <f t="shared" ref="BN116" si="420">+BN115/BN$118*BN$7</f>
        <v>0.71485244829423722</v>
      </c>
      <c r="BP116" s="465">
        <v>0.68</v>
      </c>
      <c r="BQ116" s="465">
        <v>0.68</v>
      </c>
      <c r="BR116" s="245">
        <f t="shared" ref="BR116" si="421">+BR115/BR$118*BR$7</f>
        <v>0.71347873668555872</v>
      </c>
      <c r="BT116" s="465">
        <v>0.68</v>
      </c>
      <c r="BU116" s="465">
        <v>0.68</v>
      </c>
      <c r="BV116" s="245">
        <f t="shared" ref="BV116" si="422">+BV115/BV$118*BV$7</f>
        <v>0.71605494906242872</v>
      </c>
      <c r="BX116" s="465">
        <v>0.68</v>
      </c>
      <c r="BY116" s="465">
        <v>0.68</v>
      </c>
      <c r="BZ116" s="245">
        <f t="shared" ref="BZ116" si="423">+BZ115/BZ$118*BZ$7</f>
        <v>0.716635961718873</v>
      </c>
    </row>
    <row r="117" spans="1:78" s="161" customFormat="1">
      <c r="A117" s="148"/>
      <c r="B117" s="369"/>
      <c r="D117" s="230"/>
      <c r="F117" s="230"/>
      <c r="H117" s="174"/>
      <c r="J117" s="230"/>
      <c r="L117" s="174"/>
      <c r="N117" s="230"/>
      <c r="P117" s="174"/>
      <c r="R117" s="230"/>
      <c r="T117" s="370"/>
      <c r="U117" s="370"/>
      <c r="V117" s="370"/>
      <c r="W117" s="218"/>
      <c r="X117" s="370"/>
      <c r="Y117" s="370"/>
      <c r="Z117" s="370"/>
      <c r="AA117" s="218"/>
      <c r="AB117" s="370"/>
      <c r="AC117" s="370"/>
      <c r="AD117" s="370"/>
      <c r="AF117" s="370"/>
      <c r="AG117" s="370"/>
      <c r="AH117" s="370"/>
      <c r="AJ117" s="370"/>
      <c r="AK117" s="370"/>
      <c r="AL117" s="370"/>
      <c r="AN117" s="370"/>
      <c r="AO117" s="370"/>
      <c r="AP117" s="370"/>
      <c r="AR117" s="240"/>
      <c r="AS117" s="240"/>
      <c r="AT117" s="370"/>
      <c r="AV117" s="240"/>
      <c r="AW117" s="240"/>
      <c r="AX117" s="370"/>
      <c r="AZ117" s="240"/>
      <c r="BA117" s="240"/>
      <c r="BB117" s="370"/>
      <c r="BD117" s="240"/>
      <c r="BE117" s="240"/>
      <c r="BF117" s="370"/>
      <c r="BH117" s="240"/>
      <c r="BI117" s="240"/>
      <c r="BJ117" s="370"/>
      <c r="BL117" s="240"/>
      <c r="BM117" s="240"/>
      <c r="BN117" s="370"/>
      <c r="BP117" s="240"/>
      <c r="BQ117" s="240"/>
      <c r="BR117" s="370"/>
      <c r="BT117" s="240"/>
      <c r="BU117" s="240"/>
      <c r="BV117" s="370"/>
      <c r="BX117" s="240"/>
      <c r="BY117" s="240"/>
      <c r="BZ117" s="370"/>
    </row>
    <row r="118" spans="1:78" s="530" customFormat="1">
      <c r="A118" s="528"/>
      <c r="B118" s="529" t="s">
        <v>462</v>
      </c>
      <c r="C118" s="530" t="s">
        <v>406</v>
      </c>
      <c r="D118" s="531">
        <f>'P&amp;L'!D11</f>
        <v>208.73399999999995</v>
      </c>
      <c r="E118" s="530">
        <f>'P&amp;L'!E11</f>
        <v>235.78800000000001</v>
      </c>
      <c r="F118" s="530">
        <f>'P&amp;L'!F11</f>
        <v>444.52199999999999</v>
      </c>
      <c r="G118" s="530">
        <f>'P&amp;L'!G11</f>
        <v>0</v>
      </c>
      <c r="H118" s="531">
        <f>'P&amp;L'!H11</f>
        <v>213.678</v>
      </c>
      <c r="I118" s="530">
        <f>'P&amp;L'!I11</f>
        <v>250.52700000000004</v>
      </c>
      <c r="J118" s="530">
        <f>'P&amp;L'!J11</f>
        <v>464.20499999999993</v>
      </c>
      <c r="K118" s="530">
        <f>'P&amp;L'!K11</f>
        <v>0</v>
      </c>
      <c r="L118" s="531">
        <f>'P&amp;L'!L11</f>
        <v>227.85</v>
      </c>
      <c r="M118" s="530">
        <f>'P&amp;L'!M11</f>
        <v>267.39600000000002</v>
      </c>
      <c r="N118" s="530">
        <f>'P&amp;L'!N11</f>
        <v>495.24599999999998</v>
      </c>
      <c r="O118" s="530">
        <f>'P&amp;L'!O11</f>
        <v>0</v>
      </c>
      <c r="P118" s="531">
        <f>'P&amp;L'!P11</f>
        <v>265.16700000000003</v>
      </c>
      <c r="Q118" s="530">
        <f>'P&amp;L'!Q11</f>
        <v>276.43299999999999</v>
      </c>
      <c r="R118" s="530">
        <f>'P&amp;L'!R11</f>
        <v>541.6</v>
      </c>
      <c r="T118" s="530">
        <f>'P&amp;L'!T11</f>
        <v>272.13300000000004</v>
      </c>
      <c r="U118" s="530">
        <f>'P&amp;L'!U11</f>
        <v>311.58499999999998</v>
      </c>
      <c r="V118" s="530">
        <f>'P&amp;L'!V11</f>
        <v>583.71799999999996</v>
      </c>
      <c r="X118" s="530">
        <f>'P&amp;L'!X11</f>
        <v>310.94400000000002</v>
      </c>
      <c r="Y118" s="530">
        <f>'P&amp;L'!Y11</f>
        <v>340.81400000000002</v>
      </c>
      <c r="Z118" s="530">
        <f>'P&amp;L'!Z11</f>
        <v>651.75800000000004</v>
      </c>
      <c r="AB118" s="530">
        <f>'P&amp;L'!AB11</f>
        <v>327.3</v>
      </c>
      <c r="AC118" s="530">
        <f>'P&amp;L'!AC11</f>
        <v>362.18</v>
      </c>
      <c r="AD118" s="530">
        <f>'P&amp;L'!AD11</f>
        <v>689.4799999999999</v>
      </c>
      <c r="AF118" s="530">
        <f>'P&amp;L'!AF11</f>
        <v>466.1</v>
      </c>
      <c r="AG118" s="530">
        <f>'P&amp;L'!AG11</f>
        <v>645.279</v>
      </c>
      <c r="AH118" s="530">
        <f>'P&amp;L'!AH11</f>
        <v>1111.3790000000001</v>
      </c>
      <c r="AJ118" s="530">
        <f>'P&amp;L'!AJ11</f>
        <v>635.70000000000005</v>
      </c>
      <c r="AK118" s="530">
        <f>'P&amp;L'!AK11</f>
        <v>695.971</v>
      </c>
      <c r="AL118" s="530">
        <f>'P&amp;L'!AL11</f>
        <v>1331.693</v>
      </c>
      <c r="AN118" s="530">
        <f>'P&amp;L'!AN11</f>
        <v>712.5</v>
      </c>
      <c r="AO118" s="530">
        <f>'P&amp;L'!AO11</f>
        <v>788.69999999999993</v>
      </c>
      <c r="AP118" s="530">
        <f>'P&amp;L'!AP11</f>
        <v>1501.2219999999998</v>
      </c>
      <c r="AR118" s="530">
        <f>'P&amp;L'!AR11</f>
        <v>763.61546300870941</v>
      </c>
      <c r="AS118" s="530">
        <f>'P&amp;L'!AS11</f>
        <v>823.4146574909048</v>
      </c>
      <c r="AT118" s="530">
        <f>'P&amp;L'!AT11</f>
        <v>1587.030120499614</v>
      </c>
      <c r="AV118" s="530">
        <f>'P&amp;L'!AV11</f>
        <v>797.87722049232411</v>
      </c>
      <c r="AW118" s="530">
        <f>'P&amp;L'!AW11</f>
        <v>862.27806014326029</v>
      </c>
      <c r="AX118" s="530">
        <f>'P&amp;L'!AX11</f>
        <v>1660.1552806355844</v>
      </c>
      <c r="AZ118" s="530">
        <f>'P&amp;L'!AZ11</f>
        <v>832.17571243333111</v>
      </c>
      <c r="BA118" s="530">
        <f>'P&amp;L'!BA11</f>
        <v>901.22635904228241</v>
      </c>
      <c r="BB118" s="530">
        <f>'P&amp;L'!BB11</f>
        <v>1733.4020714756136</v>
      </c>
      <c r="BD118" s="530">
        <f>'P&amp;L'!BD11</f>
        <v>863.55687195156429</v>
      </c>
      <c r="BE118" s="530">
        <f>'P&amp;L'!BE11</f>
        <v>936.98436580048156</v>
      </c>
      <c r="BF118" s="530">
        <f>'P&amp;L'!BF11</f>
        <v>1800.5412377520456</v>
      </c>
      <c r="BH118" s="530">
        <f>'P&amp;L'!BH11</f>
        <v>896.40713181652677</v>
      </c>
      <c r="BI118" s="530">
        <f>'P&amp;L'!BI11</f>
        <v>974.43385235173366</v>
      </c>
      <c r="BJ118" s="530">
        <f>'P&amp;L'!BJ11</f>
        <v>1870.8409841682605</v>
      </c>
      <c r="BL118" s="530">
        <f>'P&amp;L'!BL11</f>
        <v>930.79929821828659</v>
      </c>
      <c r="BM118" s="530">
        <f>'P&amp;L'!BM11</f>
        <v>1013.6588021307548</v>
      </c>
      <c r="BN118" s="530">
        <f>'P&amp;L'!BN11</f>
        <v>1944.4581003490414</v>
      </c>
      <c r="BP118" s="530">
        <f>'P&amp;L'!BP11</f>
        <v>966.80989076465892</v>
      </c>
      <c r="BQ118" s="530">
        <f>'P&amp;L'!BQ11</f>
        <v>1054.7474749688652</v>
      </c>
      <c r="BR118" s="530">
        <f>'P&amp;L'!BR11</f>
        <v>2021.557365733524</v>
      </c>
      <c r="BT118" s="530">
        <f>'P&amp;L'!BT11</f>
        <v>1004.5193349819556</v>
      </c>
      <c r="BU118" s="530">
        <f>'P&amp;L'!BU11</f>
        <v>1097.7926281510577</v>
      </c>
      <c r="BV118" s="530">
        <f>'P&amp;L'!BV11</f>
        <v>2102.3119631330133</v>
      </c>
      <c r="BX118" s="530">
        <f>'P&amp;L'!BX11</f>
        <v>1044.012164907537</v>
      </c>
      <c r="BY118" s="530">
        <f>'P&amp;L'!BY11</f>
        <v>1142.8917490262556</v>
      </c>
      <c r="BZ118" s="530">
        <f>'P&amp;L'!BZ11</f>
        <v>2186.9039139337924</v>
      </c>
    </row>
    <row r="119" spans="1:78" s="161" customFormat="1">
      <c r="A119" s="148"/>
      <c r="B119" s="369" t="s">
        <v>295</v>
      </c>
      <c r="C119" s="161" t="s">
        <v>406</v>
      </c>
      <c r="D119" s="218">
        <f>('P&amp;L'!D213+'P&amp;L'!D348)</f>
        <v>14.212</v>
      </c>
      <c r="E119" s="218">
        <f>('P&amp;L'!E213+'P&amp;L'!E348)</f>
        <v>10.626000000000001</v>
      </c>
      <c r="F119" s="218">
        <f>('P&amp;L'!F213+'P&amp;L'!F348)</f>
        <v>24.838000000000001</v>
      </c>
      <c r="H119" s="218">
        <f>('P&amp;L'!H213+'P&amp;L'!H348)</f>
        <v>13.44</v>
      </c>
      <c r="I119" s="218">
        <f>('P&amp;L'!I213+'P&amp;L'!I348)</f>
        <v>10.218999999999999</v>
      </c>
      <c r="J119" s="218">
        <f>('P&amp;L'!J213+'P&amp;L'!J348)</f>
        <v>23.658999999999999</v>
      </c>
      <c r="L119" s="218">
        <f>('P&amp;L'!L213+'P&amp;L'!L348)</f>
        <v>14.234999999999999</v>
      </c>
      <c r="M119" s="218">
        <f>('P&amp;L'!M213+'P&amp;L'!M348)</f>
        <v>14.565</v>
      </c>
      <c r="N119" s="218">
        <f>('P&amp;L'!N213+'P&amp;L'!N348)</f>
        <v>28.8</v>
      </c>
      <c r="P119" s="218">
        <f>('P&amp;L'!P213+'P&amp;L'!P348)</f>
        <v>18</v>
      </c>
      <c r="Q119" s="218">
        <f>('P&amp;L'!Q213+'P&amp;L'!Q348)</f>
        <v>13</v>
      </c>
      <c r="R119" s="218">
        <f>('P&amp;L'!R213+'P&amp;L'!R348)</f>
        <v>31</v>
      </c>
      <c r="T119" s="218">
        <f>('P&amp;L'!T213+'P&amp;L'!T348)</f>
        <v>19.3</v>
      </c>
      <c r="U119" s="218">
        <f>('P&amp;L'!U213+'P&amp;L'!U348)</f>
        <v>15.399999999999999</v>
      </c>
      <c r="V119" s="218">
        <f>('P&amp;L'!V213+'P&amp;L'!V348)</f>
        <v>34.699999999999996</v>
      </c>
      <c r="W119" s="218"/>
      <c r="X119" s="218">
        <f>('P&amp;L'!X213+'P&amp;L'!X348)</f>
        <v>19.599999999999998</v>
      </c>
      <c r="Y119" s="218">
        <f>('P&amp;L'!Y213+'P&amp;L'!Y348)</f>
        <v>14.100000000000001</v>
      </c>
      <c r="Z119" s="218">
        <f>('P&amp;L'!Z213+'P&amp;L'!Z348)</f>
        <v>33.700000000000003</v>
      </c>
      <c r="AA119" s="218"/>
      <c r="AB119" s="218">
        <f>('P&amp;L'!AB213+'P&amp;L'!AB348)</f>
        <v>19.399999999999999</v>
      </c>
      <c r="AC119" s="218">
        <f>('P&amp;L'!AC213+'P&amp;L'!AC348)</f>
        <v>14.6</v>
      </c>
      <c r="AD119" s="218">
        <f>('P&amp;L'!AD213+'P&amp;L'!AD348)</f>
        <v>34</v>
      </c>
      <c r="AF119" s="218">
        <f>('P&amp;L'!AF213+'P&amp;L'!AF348)</f>
        <v>19.7</v>
      </c>
      <c r="AG119" s="218">
        <f>('P&amp;L'!AG213+'P&amp;L'!AG348)</f>
        <v>13.4</v>
      </c>
      <c r="AH119" s="218">
        <f>('P&amp;L'!AH213+'P&amp;L'!AH348)</f>
        <v>33.1</v>
      </c>
      <c r="AJ119" s="218">
        <f>('P&amp;L'!AJ213+'P&amp;L'!AJ348)</f>
        <v>21.6</v>
      </c>
      <c r="AK119" s="218">
        <f>('P&amp;L'!AK213+'P&amp;L'!AK348)</f>
        <v>11.3</v>
      </c>
      <c r="AL119" s="218">
        <f>('P&amp;L'!AL213+'P&amp;L'!AL348)</f>
        <v>32.9</v>
      </c>
      <c r="AN119" s="218">
        <f>('P&amp;L'!AN213+'P&amp;L'!AN348)</f>
        <v>22.400000000000002</v>
      </c>
      <c r="AO119" s="218">
        <f>('P&amp;L'!AO213+'P&amp;L'!AO348)</f>
        <v>12.2</v>
      </c>
      <c r="AP119" s="218">
        <f>('P&amp;L'!AP213+'P&amp;L'!AP348)</f>
        <v>34.6</v>
      </c>
      <c r="AR119" s="218">
        <f>('P&amp;L'!AR213+'P&amp;L'!AR348)</f>
        <v>22.400000000000002</v>
      </c>
      <c r="AS119" s="218">
        <f>('P&amp;L'!AS213+'P&amp;L'!AS348)</f>
        <v>12.2</v>
      </c>
      <c r="AT119" s="218">
        <f>('P&amp;L'!AT213+'P&amp;L'!AT348)</f>
        <v>34.6</v>
      </c>
      <c r="AV119" s="218">
        <f>('P&amp;L'!AV213+'P&amp;L'!AV348)</f>
        <v>22.400000000000002</v>
      </c>
      <c r="AW119" s="218">
        <f>('P&amp;L'!AW213+'P&amp;L'!AW348)</f>
        <v>12.2</v>
      </c>
      <c r="AX119" s="218">
        <f>('P&amp;L'!AX213+'P&amp;L'!AX348)</f>
        <v>34.6</v>
      </c>
      <c r="AZ119" s="218">
        <f>('P&amp;L'!AZ213+'P&amp;L'!AZ348)</f>
        <v>22.400000000000002</v>
      </c>
      <c r="BA119" s="218">
        <f>('P&amp;L'!BA213+'P&amp;L'!BA348)</f>
        <v>12.2</v>
      </c>
      <c r="BB119" s="218">
        <f>('P&amp;L'!BB213+'P&amp;L'!BB348)</f>
        <v>34.6</v>
      </c>
      <c r="BD119" s="218">
        <f>('P&amp;L'!BD213+'P&amp;L'!BD348)</f>
        <v>22.400000000000002</v>
      </c>
      <c r="BE119" s="218">
        <f>('P&amp;L'!BE213+'P&amp;L'!BE348)</f>
        <v>12.2</v>
      </c>
      <c r="BF119" s="218">
        <f>('P&amp;L'!BF213+'P&amp;L'!BF348)</f>
        <v>34.6</v>
      </c>
      <c r="BH119" s="218">
        <f>('P&amp;L'!BH213+'P&amp;L'!BH348)</f>
        <v>22.400000000000002</v>
      </c>
      <c r="BI119" s="218">
        <f>('P&amp;L'!BI213+'P&amp;L'!BI348)</f>
        <v>12.2</v>
      </c>
      <c r="BJ119" s="218">
        <f>('P&amp;L'!BJ213+'P&amp;L'!BJ348)</f>
        <v>34.6</v>
      </c>
      <c r="BL119" s="218">
        <f>('P&amp;L'!BL213+'P&amp;L'!BL348)</f>
        <v>22.400000000000002</v>
      </c>
      <c r="BM119" s="218">
        <f>('P&amp;L'!BM213+'P&amp;L'!BM348)</f>
        <v>12.2</v>
      </c>
      <c r="BN119" s="218">
        <f>('P&amp;L'!BN213+'P&amp;L'!BN348)</f>
        <v>34.6</v>
      </c>
      <c r="BP119" s="218">
        <f>('P&amp;L'!BP213+'P&amp;L'!BP348)</f>
        <v>22.400000000000002</v>
      </c>
      <c r="BQ119" s="218">
        <f>('P&amp;L'!BQ213+'P&amp;L'!BQ348)</f>
        <v>12.2</v>
      </c>
      <c r="BR119" s="218">
        <f>('P&amp;L'!BR213+'P&amp;L'!BR348)</f>
        <v>34.6</v>
      </c>
      <c r="BT119" s="218">
        <f>('P&amp;L'!BT213+'P&amp;L'!BT348)</f>
        <v>22.400000000000002</v>
      </c>
      <c r="BU119" s="218">
        <f>('P&amp;L'!BU213+'P&amp;L'!BU348)</f>
        <v>12.2</v>
      </c>
      <c r="BV119" s="218">
        <f>('P&amp;L'!BV213+'P&amp;L'!BV348)</f>
        <v>34.6</v>
      </c>
      <c r="BX119" s="218">
        <f>('P&amp;L'!BX213+'P&amp;L'!BX348)</f>
        <v>22.400000000000002</v>
      </c>
      <c r="BY119" s="218">
        <f>('P&amp;L'!BY213+'P&amp;L'!BY348)</f>
        <v>12.2</v>
      </c>
      <c r="BZ119" s="218">
        <f>('P&amp;L'!BZ213+'P&amp;L'!BZ348)</f>
        <v>34.6</v>
      </c>
    </row>
    <row r="120" spans="1:78" s="161" customFormat="1">
      <c r="A120" s="148"/>
      <c r="B120" s="160"/>
      <c r="H120" s="174"/>
      <c r="L120" s="174"/>
      <c r="P120" s="174"/>
      <c r="W120" s="218"/>
      <c r="AA120" s="218"/>
      <c r="AF120" s="218"/>
      <c r="AJ120" s="218"/>
      <c r="AR120" s="237"/>
      <c r="AV120" s="237"/>
      <c r="AZ120" s="237"/>
      <c r="BD120" s="237"/>
      <c r="BH120" s="237"/>
      <c r="BL120" s="237"/>
      <c r="BP120" s="237"/>
      <c r="BT120" s="237"/>
      <c r="BX120" s="237"/>
    </row>
    <row r="121" spans="1:78" s="161" customFormat="1">
      <c r="A121" s="148"/>
      <c r="B121" s="160" t="s">
        <v>191</v>
      </c>
      <c r="C121" s="155" t="s">
        <v>406</v>
      </c>
      <c r="D121" s="230">
        <v>138.88399999999999</v>
      </c>
      <c r="E121" s="161">
        <f>F121</f>
        <v>165.80099999999999</v>
      </c>
      <c r="F121" s="230">
        <v>165.80099999999999</v>
      </c>
      <c r="H121" s="181">
        <v>123.572</v>
      </c>
      <c r="I121" s="161">
        <f>J121</f>
        <v>175.97900000000001</v>
      </c>
      <c r="J121" s="230">
        <v>175.97900000000001</v>
      </c>
      <c r="L121" s="181">
        <v>115.77500000000001</v>
      </c>
      <c r="M121" s="161">
        <f>N121</f>
        <v>179.70400000000001</v>
      </c>
      <c r="N121" s="230">
        <v>179.70400000000001</v>
      </c>
      <c r="P121" s="181">
        <v>139.40299999999999</v>
      </c>
      <c r="Q121" s="161">
        <f>R121</f>
        <v>79.591999999999999</v>
      </c>
      <c r="R121" s="230">
        <v>79.591999999999999</v>
      </c>
      <c r="T121" s="230">
        <v>68.495000000000005</v>
      </c>
      <c r="U121" s="161">
        <f>V121</f>
        <v>68.677000000000007</v>
      </c>
      <c r="V121" s="230">
        <v>68.677000000000007</v>
      </c>
      <c r="W121" s="218"/>
      <c r="X121" s="230">
        <v>57.67</v>
      </c>
      <c r="Y121" s="161">
        <f>Z121</f>
        <v>64.081000000000003</v>
      </c>
      <c r="Z121" s="230">
        <v>64.081000000000003</v>
      </c>
      <c r="AA121" s="218"/>
      <c r="AB121" s="230">
        <v>62.613</v>
      </c>
      <c r="AC121" s="161">
        <f>AD121</f>
        <v>117.679</v>
      </c>
      <c r="AD121" s="230">
        <v>117.679</v>
      </c>
      <c r="AF121" s="230">
        <v>269.12099999999998</v>
      </c>
      <c r="AG121" s="161">
        <f>AH121</f>
        <v>313.07900000000001</v>
      </c>
      <c r="AH121" s="230">
        <v>313.07900000000001</v>
      </c>
      <c r="AJ121" s="230">
        <v>235.28</v>
      </c>
      <c r="AK121" s="161">
        <f>AL121</f>
        <v>286.94</v>
      </c>
      <c r="AL121" s="230">
        <v>286.94</v>
      </c>
      <c r="AN121" s="181">
        <v>250.309</v>
      </c>
      <c r="AO121" s="161">
        <f>AP121</f>
        <v>301.05099999999999</v>
      </c>
      <c r="AP121" s="916">
        <v>301.05099999999999</v>
      </c>
      <c r="AR121" s="161">
        <f>+AR122*AR118/AR7</f>
        <v>287.80832804159775</v>
      </c>
      <c r="AS121" s="161">
        <f>+AS122*AS118/AS7</f>
        <v>315.49064362980249</v>
      </c>
      <c r="AT121" s="161">
        <f>AS121</f>
        <v>315.49064362980249</v>
      </c>
      <c r="AV121" s="161">
        <f>+AV122*AV118/AV7</f>
        <v>300.72165891925368</v>
      </c>
      <c r="AW121" s="161">
        <f>+AW122*AW118/AW7</f>
        <v>330.38112414881266</v>
      </c>
      <c r="AX121" s="161">
        <f>AW121</f>
        <v>330.38112414881266</v>
      </c>
      <c r="AZ121" s="161">
        <f>+AZ122*AZ118/AZ7</f>
        <v>331.06120733760781</v>
      </c>
      <c r="BA121" s="161">
        <f>+BA122*BA118/BA7</f>
        <v>362.47126088953337</v>
      </c>
      <c r="BB121" s="161">
        <f>BA121</f>
        <v>362.47126088953337</v>
      </c>
      <c r="BD121" s="161">
        <f>+BD122*BD118/BD7</f>
        <v>342.6068024590445</v>
      </c>
      <c r="BE121" s="161">
        <f>+BE122*BE118/BE7</f>
        <v>377.89977184218321</v>
      </c>
      <c r="BF121" s="161">
        <f>BE121</f>
        <v>377.89977184218321</v>
      </c>
      <c r="BH121" s="161">
        <f>+BH122*BH118/BH7</f>
        <v>355.63978599242637</v>
      </c>
      <c r="BI121" s="161">
        <f>+BI122*BI118/BI7</f>
        <v>393.00370840705278</v>
      </c>
      <c r="BJ121" s="161">
        <f>BI121</f>
        <v>393.00370840705278</v>
      </c>
      <c r="BL121" s="161">
        <f>+BL122*BL118/BL7</f>
        <v>369.28450418442895</v>
      </c>
      <c r="BM121" s="161">
        <f>+BM122*BM118/BM7</f>
        <v>408.82371577649229</v>
      </c>
      <c r="BN121" s="161">
        <f>BM121</f>
        <v>408.82371577649229</v>
      </c>
      <c r="BP121" s="161">
        <f>+BP122*BP118/BP7</f>
        <v>365.39108589007816</v>
      </c>
      <c r="BQ121" s="161">
        <f>+BQ122*BQ118/BQ7</f>
        <v>403.00626049085099</v>
      </c>
      <c r="BR121" s="161">
        <f>BQ121</f>
        <v>403.00626049085099</v>
      </c>
      <c r="BT121" s="161">
        <f>+BT122*BT118/BT7</f>
        <v>378.60552109238375</v>
      </c>
      <c r="BU121" s="161">
        <f>+BU122*BU118/BU7</f>
        <v>420.61833570318146</v>
      </c>
      <c r="BV121" s="161">
        <f>BU121</f>
        <v>420.61833570318146</v>
      </c>
      <c r="BX121" s="161">
        <f>+BX122*BX118/BX7</f>
        <v>393.49045454531353</v>
      </c>
      <c r="BY121" s="161">
        <f>+BY122*BY118/BY7</f>
        <v>437.89802649155155</v>
      </c>
      <c r="BZ121" s="161">
        <f>BY121</f>
        <v>437.89802649155155</v>
      </c>
    </row>
    <row r="122" spans="1:78" s="161" customFormat="1">
      <c r="A122" s="532"/>
      <c r="B122" s="251" t="s">
        <v>385</v>
      </c>
      <c r="C122" s="161" t="s">
        <v>39</v>
      </c>
      <c r="D122" s="245">
        <f>+D121/D$118*D$7</f>
        <v>0.33449971964737096</v>
      </c>
      <c r="E122" s="245">
        <f>+E121/E$118*E$7</f>
        <v>0.34966788726855769</v>
      </c>
      <c r="F122" s="245">
        <f>+F121/F$118*F$7</f>
        <v>0.37298716373992735</v>
      </c>
      <c r="H122" s="245">
        <f>+H121/H$118*H$7</f>
        <v>0.29153132347263783</v>
      </c>
      <c r="I122" s="245">
        <f>+I121/I$118*I$7</f>
        <v>0.34833091295603658</v>
      </c>
      <c r="J122" s="245">
        <f>+J121/J$118*J$7</f>
        <v>0.37909759696685741</v>
      </c>
      <c r="L122" s="245">
        <f>+L121/L$118*L$7</f>
        <v>0.25614785021388142</v>
      </c>
      <c r="M122" s="245">
        <f>+M121/M$118*M$7</f>
        <v>0.33326411169560838</v>
      </c>
      <c r="N122" s="245">
        <f>+N121/N$118*N$7</f>
        <v>0.36285805438105512</v>
      </c>
      <c r="P122" s="245">
        <f>+P121/P$118*P$7</f>
        <v>0.26501936153856204</v>
      </c>
      <c r="Q122" s="245">
        <f>+Q121/Q$118*Q$7</f>
        <v>0.14277929765636194</v>
      </c>
      <c r="R122" s="245">
        <f>+R121/R$118*R$7</f>
        <v>0.14695716395864106</v>
      </c>
      <c r="T122" s="245">
        <f>+T121/T$118*T$7</f>
        <v>0.12653608643105821</v>
      </c>
      <c r="U122" s="245">
        <f>+U121/U$118*U$7</f>
        <v>0.10960366488597741</v>
      </c>
      <c r="V122" s="245">
        <f>+V121/V$118*V$7</f>
        <v>0.11765441531698527</v>
      </c>
      <c r="X122" s="245">
        <f>+X121/X$118*X$7</f>
        <v>9.3495934959349589E-2</v>
      </c>
      <c r="Y122" s="245">
        <f>+Y121/Y$118*Y$7</f>
        <v>9.3238990841507483E-2</v>
      </c>
      <c r="Z122" s="245">
        <f>+Z121/Z$118*Z$7</f>
        <v>9.8320235424804905E-2</v>
      </c>
      <c r="AB122" s="245">
        <f>+AB121/AB$118*AB$7</f>
        <v>9.6436949888879131E-2</v>
      </c>
      <c r="AC122" s="245">
        <f>+AC121/AC$118*AC$7</f>
        <v>0.16379455610129529</v>
      </c>
      <c r="AD122" s="245">
        <f>+AD121/AD$118*AD$7</f>
        <v>0.17067790218715556</v>
      </c>
      <c r="AF122" s="245">
        <f>+AF121/AF$118*AF$7</f>
        <v>0.2910673175548783</v>
      </c>
      <c r="AG122" s="245">
        <f>+AG121/AG$118*AG$7</f>
        <v>0.24059805754193572</v>
      </c>
      <c r="AH122" s="245">
        <f>+AH121/AH$118*AH$7</f>
        <v>0.28170318136297334</v>
      </c>
      <c r="AJ122" s="245">
        <f>+AJ121/AJ$118*AJ$7</f>
        <v>0.18606707807150327</v>
      </c>
      <c r="AK122" s="245">
        <f>+AK121/AK$118*AK$7</f>
        <v>0.20501717877463538</v>
      </c>
      <c r="AL122" s="552">
        <f>+AL121/AL$118*AL$7</f>
        <v>0.21547008206846474</v>
      </c>
      <c r="AN122" s="885">
        <f>+AN121/AN$118*AN$7</f>
        <v>0.1770991819274213</v>
      </c>
      <c r="AO122" s="245">
        <f>+AO121/AO$118*AO$7</f>
        <v>0.18928401687535065</v>
      </c>
      <c r="AP122" s="552">
        <f>+AP121/AP$118*AP$7</f>
        <v>0.20053729561650444</v>
      </c>
      <c r="AR122" s="465">
        <v>0.19</v>
      </c>
      <c r="AS122" s="465">
        <v>0.19</v>
      </c>
      <c r="AT122" s="245">
        <f>+AT121/AT$118*AT$7</f>
        <v>0.19879310389552196</v>
      </c>
      <c r="AV122" s="465">
        <v>0.19</v>
      </c>
      <c r="AW122" s="465">
        <v>0.19</v>
      </c>
      <c r="AX122" s="245">
        <f>+AX121/AX$118*AX$7</f>
        <v>0.19900615803982352</v>
      </c>
      <c r="AZ122" s="465">
        <v>0.2</v>
      </c>
      <c r="BA122" s="465">
        <v>0.2</v>
      </c>
      <c r="BB122" s="245">
        <f>+BB121/BB$118*BB$7</f>
        <v>0.20910974254286438</v>
      </c>
      <c r="BD122" s="465">
        <v>0.2</v>
      </c>
      <c r="BE122" s="465">
        <v>0.2</v>
      </c>
      <c r="BF122" s="245">
        <f>+BF121/BF$118*BF$7</f>
        <v>0.20988120900468049</v>
      </c>
      <c r="BH122" s="465">
        <v>0.2</v>
      </c>
      <c r="BI122" s="465">
        <v>0.2</v>
      </c>
      <c r="BJ122" s="245">
        <f>+BJ121/BJ$118*BJ$7</f>
        <v>0.21006793828700229</v>
      </c>
      <c r="BL122" s="465">
        <v>0.2</v>
      </c>
      <c r="BM122" s="465">
        <v>0.2</v>
      </c>
      <c r="BN122" s="245">
        <f>+BN121/BN$118*BN$7</f>
        <v>0.21025072008654036</v>
      </c>
      <c r="BP122" s="465">
        <v>0.19</v>
      </c>
      <c r="BQ122" s="465">
        <v>0.19</v>
      </c>
      <c r="BR122" s="245">
        <f>+BR121/BR$118*BR$7</f>
        <v>0.1993543528974355</v>
      </c>
      <c r="BT122" s="465">
        <v>0.19</v>
      </c>
      <c r="BU122" s="465">
        <v>0.19</v>
      </c>
      <c r="BV122" s="245">
        <f>+BV121/BV$118*BV$7</f>
        <v>0.20007417694391388</v>
      </c>
      <c r="BX122" s="465">
        <v>0.19</v>
      </c>
      <c r="BY122" s="465">
        <v>0.19</v>
      </c>
      <c r="BZ122" s="245">
        <f>+BZ121/BZ$118*BZ$7</f>
        <v>0.20023651871556747</v>
      </c>
    </row>
    <row r="123" spans="1:78" s="161" customFormat="1">
      <c r="A123" s="148"/>
      <c r="B123" s="160"/>
      <c r="D123" s="138"/>
      <c r="E123" s="143"/>
      <c r="F123" s="138"/>
      <c r="H123" s="174"/>
      <c r="I123" s="143"/>
      <c r="J123" s="138"/>
      <c r="L123" s="174"/>
      <c r="M123" s="143"/>
      <c r="N123" s="138"/>
      <c r="P123" s="174"/>
      <c r="Q123" s="143"/>
      <c r="R123" s="138"/>
      <c r="T123" s="138"/>
      <c r="U123" s="143"/>
      <c r="V123" s="138"/>
      <c r="W123" s="218"/>
      <c r="X123" s="138"/>
      <c r="Y123" s="143"/>
      <c r="Z123" s="138"/>
      <c r="AA123" s="218"/>
      <c r="AB123" s="138"/>
      <c r="AC123" s="143"/>
      <c r="AD123" s="138"/>
      <c r="AF123" s="238"/>
      <c r="AG123" s="143"/>
      <c r="AH123" s="138"/>
      <c r="AJ123" s="238"/>
      <c r="AK123" s="143"/>
      <c r="AL123" s="238"/>
      <c r="AN123" s="138"/>
      <c r="AO123" s="143"/>
      <c r="AP123" s="238"/>
      <c r="AR123" s="237"/>
      <c r="AS123" s="143"/>
      <c r="AT123" s="138"/>
      <c r="AV123" s="237"/>
      <c r="AW123" s="143"/>
      <c r="AX123" s="138"/>
      <c r="AZ123" s="237"/>
      <c r="BA123" s="143"/>
      <c r="BB123" s="138"/>
      <c r="BD123" s="237"/>
      <c r="BE123" s="143"/>
      <c r="BF123" s="138"/>
      <c r="BH123" s="237"/>
      <c r="BI123" s="143"/>
      <c r="BJ123" s="138"/>
      <c r="BL123" s="237"/>
      <c r="BM123" s="143"/>
      <c r="BN123" s="138"/>
      <c r="BP123" s="237"/>
      <c r="BQ123" s="143"/>
      <c r="BR123" s="138"/>
      <c r="BT123" s="237"/>
      <c r="BU123" s="143"/>
      <c r="BV123" s="138"/>
      <c r="BX123" s="237"/>
      <c r="BY123" s="143"/>
      <c r="BZ123" s="138"/>
    </row>
    <row r="124" spans="1:78" s="161" customFormat="1">
      <c r="A124" s="148"/>
      <c r="B124" s="160" t="s">
        <v>192</v>
      </c>
      <c r="C124" s="155" t="s">
        <v>406</v>
      </c>
      <c r="D124" s="230">
        <v>0</v>
      </c>
      <c r="E124" s="161">
        <f>F124</f>
        <v>0</v>
      </c>
      <c r="F124" s="230">
        <v>0</v>
      </c>
      <c r="H124" s="230">
        <v>0</v>
      </c>
      <c r="I124" s="161">
        <f>J124</f>
        <v>0</v>
      </c>
      <c r="J124" s="230">
        <v>0</v>
      </c>
      <c r="L124" s="230">
        <v>0</v>
      </c>
      <c r="M124" s="161">
        <f>N124</f>
        <v>0</v>
      </c>
      <c r="N124" s="230">
        <v>0</v>
      </c>
      <c r="P124" s="181">
        <v>0</v>
      </c>
      <c r="Q124" s="161">
        <f>R124</f>
        <v>0</v>
      </c>
      <c r="R124" s="230">
        <v>0</v>
      </c>
      <c r="T124" s="230">
        <v>0</v>
      </c>
      <c r="U124" s="161">
        <f>V124</f>
        <v>0.52900000000000003</v>
      </c>
      <c r="V124" s="230">
        <v>0.52900000000000003</v>
      </c>
      <c r="W124" s="218"/>
      <c r="X124" s="230">
        <v>0.753</v>
      </c>
      <c r="Y124" s="161">
        <f>Z124</f>
        <v>1.0449999999999999</v>
      </c>
      <c r="Z124" s="230">
        <v>1.0449999999999999</v>
      </c>
      <c r="AA124" s="218"/>
      <c r="AB124" s="230">
        <v>0.872</v>
      </c>
      <c r="AC124" s="161">
        <f>AD124</f>
        <v>1.02</v>
      </c>
      <c r="AD124" s="230">
        <v>1.02</v>
      </c>
      <c r="AF124" s="230">
        <v>0.75700000000000001</v>
      </c>
      <c r="AG124" s="161">
        <f>AH124</f>
        <v>1.804</v>
      </c>
      <c r="AH124" s="230">
        <v>1.804</v>
      </c>
      <c r="AJ124" s="230">
        <v>1.2999999999999999E-2</v>
      </c>
      <c r="AK124" s="161">
        <f>AL124</f>
        <v>1.147</v>
      </c>
      <c r="AL124" s="230">
        <v>1.147</v>
      </c>
      <c r="AN124" s="181">
        <v>1.28</v>
      </c>
      <c r="AO124" s="161">
        <f>AP124</f>
        <v>1.381</v>
      </c>
      <c r="AP124" s="916">
        <v>1.381</v>
      </c>
      <c r="AR124" s="462">
        <f>AO124*(1+AR127)</f>
        <v>1.43624</v>
      </c>
      <c r="AS124" s="462">
        <f>AR124*(1+AS127)</f>
        <v>1.4936896</v>
      </c>
      <c r="AT124" s="161">
        <f>AS124</f>
        <v>1.4936896</v>
      </c>
      <c r="AV124" s="462">
        <f>AS124*(1+AV127)</f>
        <v>1.5534371840000001</v>
      </c>
      <c r="AW124" s="462">
        <f>AV124*(1+AW127)</f>
        <v>1.6155746713600001</v>
      </c>
      <c r="AX124" s="161">
        <f>AW124</f>
        <v>1.6155746713600001</v>
      </c>
      <c r="AZ124" s="462">
        <f>AW124*(1+AZ127)</f>
        <v>1.6801976582144003</v>
      </c>
      <c r="BA124" s="462">
        <f>AZ124*(1+BA127)</f>
        <v>1.7474055645429762</v>
      </c>
      <c r="BB124" s="161">
        <f>BA124</f>
        <v>1.7474055645429762</v>
      </c>
      <c r="BD124" s="462">
        <f>BA124*(1+BD127)</f>
        <v>1.8173017871246953</v>
      </c>
      <c r="BE124" s="462">
        <f>BD124*(1+BE127)</f>
        <v>1.8899938586096832</v>
      </c>
      <c r="BF124" s="161">
        <f>BE124</f>
        <v>1.8899938586096832</v>
      </c>
      <c r="BH124" s="462">
        <f>BE124*(1+BH127)</f>
        <v>1.9655936129540705</v>
      </c>
      <c r="BI124" s="462">
        <f>BH124*(1+BI127)</f>
        <v>2.0442173574722333</v>
      </c>
      <c r="BJ124" s="161">
        <f>BI124</f>
        <v>2.0442173574722333</v>
      </c>
      <c r="BL124" s="462">
        <f>BI124*(1+BL127)</f>
        <v>2.1259860517711227</v>
      </c>
      <c r="BM124" s="462">
        <f>BL124*(1+BM127)</f>
        <v>2.2110254938419676</v>
      </c>
      <c r="BN124" s="161">
        <f>BM124</f>
        <v>2.2110254938419676</v>
      </c>
      <c r="BP124" s="462">
        <f>BM124*(1+BP127)</f>
        <v>2.2994665135956462</v>
      </c>
      <c r="BQ124" s="462">
        <f>BP124*(1+BQ127)</f>
        <v>2.3914451741394722</v>
      </c>
      <c r="BR124" s="161">
        <f>BQ124</f>
        <v>2.3914451741394722</v>
      </c>
      <c r="BT124" s="462">
        <f>BQ124*(1+BT127)</f>
        <v>2.4871029811050511</v>
      </c>
      <c r="BU124" s="462">
        <f>BT124*(1+BU127)</f>
        <v>2.5865871003492531</v>
      </c>
      <c r="BV124" s="161">
        <f>BU124</f>
        <v>2.5865871003492531</v>
      </c>
      <c r="BX124" s="462">
        <f>BU124*(1+BX127)</f>
        <v>2.6900505843632234</v>
      </c>
      <c r="BY124" s="462">
        <f>BX124*(1+BY127)</f>
        <v>2.7976526077377524</v>
      </c>
      <c r="BZ124" s="161">
        <f>BY124</f>
        <v>2.7976526077377524</v>
      </c>
    </row>
    <row r="125" spans="1:78" s="161" customFormat="1">
      <c r="A125" s="148"/>
      <c r="B125" s="160" t="s">
        <v>193</v>
      </c>
      <c r="C125" s="155" t="s">
        <v>406</v>
      </c>
      <c r="D125" s="230">
        <v>2.3450000000000002</v>
      </c>
      <c r="E125" s="161">
        <f>F125</f>
        <v>0.67</v>
      </c>
      <c r="F125" s="230">
        <v>0.67</v>
      </c>
      <c r="H125" s="181">
        <v>0.63500000000000001</v>
      </c>
      <c r="I125" s="161">
        <f>J125</f>
        <v>0.108</v>
      </c>
      <c r="J125" s="230">
        <v>0.108</v>
      </c>
      <c r="L125" s="181">
        <v>0.1</v>
      </c>
      <c r="M125" s="161">
        <f>N125</f>
        <v>8.9999999999999993E-3</v>
      </c>
      <c r="N125" s="230">
        <v>8.9999999999999993E-3</v>
      </c>
      <c r="P125" s="181">
        <v>0.104</v>
      </c>
      <c r="Q125" s="161">
        <f>R125</f>
        <v>8.0000000000000002E-3</v>
      </c>
      <c r="R125" s="230">
        <v>8.0000000000000002E-3</v>
      </c>
      <c r="T125" s="230">
        <v>0.48499999999999999</v>
      </c>
      <c r="U125" s="161">
        <f>V125</f>
        <v>0.34799999999999998</v>
      </c>
      <c r="V125" s="230">
        <v>0.34799999999999998</v>
      </c>
      <c r="W125" s="218"/>
      <c r="X125" s="230">
        <v>0.68100000000000005</v>
      </c>
      <c r="Y125" s="161">
        <f>Z125</f>
        <v>0.55400000000000005</v>
      </c>
      <c r="Z125" s="230">
        <v>0.55400000000000005</v>
      </c>
      <c r="AA125" s="218"/>
      <c r="AB125" s="230">
        <v>0.92600000000000005</v>
      </c>
      <c r="AC125" s="161">
        <f>AD125</f>
        <v>1.8680000000000001</v>
      </c>
      <c r="AD125" s="230">
        <v>1.8680000000000001</v>
      </c>
      <c r="AF125" s="230">
        <f>11.28+10.327</f>
        <v>21.606999999999999</v>
      </c>
      <c r="AG125" s="161">
        <f>AH125</f>
        <v>25.54</v>
      </c>
      <c r="AH125" s="230">
        <f>11.718+13.822</f>
        <v>25.54</v>
      </c>
      <c r="AJ125" s="230">
        <f>13.394+12.627</f>
        <v>26.021000000000001</v>
      </c>
      <c r="AK125" s="161">
        <f>AL125</f>
        <v>32.981999999999999</v>
      </c>
      <c r="AL125" s="230">
        <f>18.798+14.184</f>
        <v>32.981999999999999</v>
      </c>
      <c r="AN125" s="181">
        <f>15.436+14.966</f>
        <v>30.402000000000001</v>
      </c>
      <c r="AO125" s="161">
        <f>AP125</f>
        <v>30.213999999999999</v>
      </c>
      <c r="AP125" s="916">
        <f>12.533+17.681</f>
        <v>30.213999999999999</v>
      </c>
      <c r="AR125" s="462">
        <f>AO125*(1+AR127)</f>
        <v>31.422560000000001</v>
      </c>
      <c r="AS125" s="462">
        <f>AR125*(1+AS127)</f>
        <v>32.679462399999998</v>
      </c>
      <c r="AT125" s="161">
        <f>AS125</f>
        <v>32.679462399999998</v>
      </c>
      <c r="AV125" s="462">
        <f>AS125*(1+AV127)</f>
        <v>33.986640895999997</v>
      </c>
      <c r="AW125" s="462">
        <f>AV125*(1+AW127)</f>
        <v>35.34610653184</v>
      </c>
      <c r="AX125" s="161">
        <f>AW125</f>
        <v>35.34610653184</v>
      </c>
      <c r="AZ125" s="462">
        <f>AW125*(1+AZ127)</f>
        <v>36.759950793113603</v>
      </c>
      <c r="BA125" s="462">
        <f>AZ125*(1+BA127)</f>
        <v>38.230348824838146</v>
      </c>
      <c r="BB125" s="161">
        <f>BA125</f>
        <v>38.230348824838146</v>
      </c>
      <c r="BD125" s="462">
        <f>BA125*(1+BD127)</f>
        <v>39.759562777831675</v>
      </c>
      <c r="BE125" s="462">
        <f>BD125*(1+BE127)</f>
        <v>41.349945288944944</v>
      </c>
      <c r="BF125" s="161">
        <f>BE125</f>
        <v>41.349945288944944</v>
      </c>
      <c r="BH125" s="462">
        <f>BE125*(1+BH127)</f>
        <v>43.003943100502745</v>
      </c>
      <c r="BI125" s="462">
        <f>BH125*(1+BI127)</f>
        <v>44.724100824522857</v>
      </c>
      <c r="BJ125" s="161">
        <f>BI125</f>
        <v>44.724100824522857</v>
      </c>
      <c r="BL125" s="462">
        <f>BI125*(1+BL127)</f>
        <v>46.513064857503771</v>
      </c>
      <c r="BM125" s="462">
        <f>BL125*(1+BM127)</f>
        <v>48.373587451803921</v>
      </c>
      <c r="BN125" s="161">
        <f>BM125</f>
        <v>48.373587451803921</v>
      </c>
      <c r="BP125" s="462">
        <f>BM125*(1+BP127)</f>
        <v>50.308530949876079</v>
      </c>
      <c r="BQ125" s="462">
        <f>BP125*(1+BQ127)</f>
        <v>52.320872187871124</v>
      </c>
      <c r="BR125" s="161">
        <f>BQ125</f>
        <v>52.320872187871124</v>
      </c>
      <c r="BT125" s="462">
        <f>BQ125*(1+BT127)</f>
        <v>54.413707075385972</v>
      </c>
      <c r="BU125" s="462">
        <f>BT125*(1+BU127)</f>
        <v>56.590255358401414</v>
      </c>
      <c r="BV125" s="161">
        <f>BU125</f>
        <v>56.590255358401414</v>
      </c>
      <c r="BX125" s="462">
        <f>BU125*(1+BX127)</f>
        <v>58.853865572737476</v>
      </c>
      <c r="BY125" s="462">
        <f>BX125*(1+BY127)</f>
        <v>61.208020195646974</v>
      </c>
      <c r="BZ125" s="161">
        <f>BY125</f>
        <v>61.208020195646974</v>
      </c>
    </row>
    <row r="126" spans="1:78" s="140" customFormat="1">
      <c r="A126" s="149"/>
      <c r="B126" s="159" t="s">
        <v>386</v>
      </c>
      <c r="C126" s="155" t="s">
        <v>406</v>
      </c>
      <c r="D126" s="140">
        <f>+D124+D125</f>
        <v>2.3450000000000002</v>
      </c>
      <c r="E126" s="140">
        <f>+E124+E125</f>
        <v>0.67</v>
      </c>
      <c r="F126" s="140">
        <f>+F124+F125</f>
        <v>0.67</v>
      </c>
      <c r="H126" s="140">
        <f>+H124+H125</f>
        <v>0.63500000000000001</v>
      </c>
      <c r="I126" s="140">
        <f>+I124+I125</f>
        <v>0.108</v>
      </c>
      <c r="J126" s="140">
        <f>+J124+J125</f>
        <v>0.108</v>
      </c>
      <c r="L126" s="140">
        <f>+L124+L125</f>
        <v>0.1</v>
      </c>
      <c r="M126" s="140">
        <f>+M124+M125</f>
        <v>8.9999999999999993E-3</v>
      </c>
      <c r="N126" s="140">
        <f>+N124+N125</f>
        <v>8.9999999999999993E-3</v>
      </c>
      <c r="P126" s="140">
        <f>+P124+P125</f>
        <v>0.104</v>
      </c>
      <c r="Q126" s="140">
        <f>+Q124+Q125</f>
        <v>8.0000000000000002E-3</v>
      </c>
      <c r="R126" s="140">
        <f>+R124+R125</f>
        <v>8.0000000000000002E-3</v>
      </c>
      <c r="T126" s="140">
        <f>+T124+T125</f>
        <v>0.48499999999999999</v>
      </c>
      <c r="U126" s="140">
        <f>+U124+U125</f>
        <v>0.877</v>
      </c>
      <c r="V126" s="140">
        <f>+V124+V125</f>
        <v>0.877</v>
      </c>
      <c r="X126" s="140">
        <f>+X124+X125</f>
        <v>1.4340000000000002</v>
      </c>
      <c r="Y126" s="140">
        <f>+Y124+Y125</f>
        <v>1.599</v>
      </c>
      <c r="Z126" s="140">
        <f>+Z124+Z125</f>
        <v>1.599</v>
      </c>
      <c r="AB126" s="140">
        <f>+AB124+AB125</f>
        <v>1.798</v>
      </c>
      <c r="AC126" s="140">
        <f>+AC124+AC125</f>
        <v>2.8879999999999999</v>
      </c>
      <c r="AD126" s="140">
        <f>+AD124+AD125</f>
        <v>2.8879999999999999</v>
      </c>
      <c r="AF126" s="140">
        <f>+AF124+AF125</f>
        <v>22.364000000000001</v>
      </c>
      <c r="AG126" s="140">
        <f>+AG124+AG125</f>
        <v>27.343999999999998</v>
      </c>
      <c r="AH126" s="140">
        <f>+AH124+AH125</f>
        <v>27.343999999999998</v>
      </c>
      <c r="AJ126" s="140">
        <f>+AJ124+AJ125</f>
        <v>26.034000000000002</v>
      </c>
      <c r="AK126" s="140">
        <f>+AK124+AK125</f>
        <v>34.128999999999998</v>
      </c>
      <c r="AL126" s="219">
        <f>+AL124+AL125</f>
        <v>34.128999999999998</v>
      </c>
      <c r="AN126" s="140">
        <f>+AN124+AN125</f>
        <v>31.682000000000002</v>
      </c>
      <c r="AO126" s="140">
        <f>+AO124+AO125</f>
        <v>31.594999999999999</v>
      </c>
      <c r="AP126" s="219">
        <f>+AP124+AP125</f>
        <v>31.594999999999999</v>
      </c>
      <c r="AR126" s="140">
        <f>SUM(AR124:AR125)</f>
        <v>32.858800000000002</v>
      </c>
      <c r="AS126" s="140">
        <f>SUM(AS124:AS125)</f>
        <v>34.173152000000002</v>
      </c>
      <c r="AT126" s="140">
        <f>AS126</f>
        <v>34.173152000000002</v>
      </c>
      <c r="AV126" s="140">
        <f>SUM(AV124:AV125)</f>
        <v>35.540078080000001</v>
      </c>
      <c r="AW126" s="140">
        <f>SUM(AW124:AW125)</f>
        <v>36.961681203200001</v>
      </c>
      <c r="AX126" s="140">
        <f>AW126</f>
        <v>36.961681203200001</v>
      </c>
      <c r="AZ126" s="140">
        <f>SUM(AZ124:AZ125)</f>
        <v>38.440148451328007</v>
      </c>
      <c r="BA126" s="140">
        <f>SUM(BA124:BA125)</f>
        <v>39.977754389381118</v>
      </c>
      <c r="BB126" s="140">
        <f>BA126</f>
        <v>39.977754389381118</v>
      </c>
      <c r="BD126" s="140">
        <f>SUM(BD124:BD125)</f>
        <v>41.576864564956374</v>
      </c>
      <c r="BE126" s="140">
        <f>SUM(BE124:BE125)</f>
        <v>43.23993914755463</v>
      </c>
      <c r="BF126" s="140">
        <f>BE126</f>
        <v>43.23993914755463</v>
      </c>
      <c r="BH126" s="140">
        <f>SUM(BH124:BH125)</f>
        <v>44.969536713456819</v>
      </c>
      <c r="BI126" s="140">
        <f>SUM(BI124:BI125)</f>
        <v>46.768318181995092</v>
      </c>
      <c r="BJ126" s="140">
        <f>BI126</f>
        <v>46.768318181995092</v>
      </c>
      <c r="BL126" s="140">
        <f>SUM(BL124:BL125)</f>
        <v>48.639050909274893</v>
      </c>
      <c r="BM126" s="140">
        <f>SUM(BM124:BM125)</f>
        <v>50.584612945645887</v>
      </c>
      <c r="BN126" s="140">
        <f>BM126</f>
        <v>50.584612945645887</v>
      </c>
      <c r="BP126" s="140">
        <f>SUM(BP124:BP125)</f>
        <v>52.607997463471726</v>
      </c>
      <c r="BQ126" s="140">
        <f>SUM(BQ124:BQ125)</f>
        <v>54.712317362010594</v>
      </c>
      <c r="BR126" s="140">
        <f>BQ126</f>
        <v>54.712317362010594</v>
      </c>
      <c r="BT126" s="140">
        <f>SUM(BT124:BT125)</f>
        <v>56.900810056491025</v>
      </c>
      <c r="BU126" s="140">
        <f>SUM(BU124:BU125)</f>
        <v>59.17684245875067</v>
      </c>
      <c r="BV126" s="140">
        <f>BU126</f>
        <v>59.17684245875067</v>
      </c>
      <c r="BX126" s="140">
        <f>SUM(BX124:BX125)</f>
        <v>61.543916157100696</v>
      </c>
      <c r="BY126" s="140">
        <f>SUM(BY124:BY125)</f>
        <v>64.005672803384726</v>
      </c>
      <c r="BZ126" s="140">
        <f>BY126</f>
        <v>64.005672803384726</v>
      </c>
    </row>
    <row r="127" spans="1:78" s="140" customFormat="1">
      <c r="A127" s="149"/>
      <c r="B127" s="159"/>
      <c r="D127" s="161"/>
      <c r="E127" s="161"/>
      <c r="F127" s="161"/>
      <c r="H127" s="461">
        <f>H126/E126-1</f>
        <v>-5.2238805970149294E-2</v>
      </c>
      <c r="I127" s="461">
        <f>I126/H126-1</f>
        <v>-0.82992125984251963</v>
      </c>
      <c r="J127" s="461">
        <f>J126/F126-1</f>
        <v>-0.83880597014925373</v>
      </c>
      <c r="L127" s="461">
        <f>L126/I126-1</f>
        <v>-7.4074074074073959E-2</v>
      </c>
      <c r="M127" s="461">
        <f>M126/L126-1</f>
        <v>-0.91</v>
      </c>
      <c r="N127" s="461">
        <f>N126/J126-1</f>
        <v>-0.91666666666666663</v>
      </c>
      <c r="P127" s="461">
        <f>P126/M126-1</f>
        <v>10.555555555555555</v>
      </c>
      <c r="Q127" s="461">
        <f>Q126/P126-1</f>
        <v>-0.92307692307692313</v>
      </c>
      <c r="R127" s="461">
        <f>R126/N126-1</f>
        <v>-0.11111111111111105</v>
      </c>
      <c r="T127" s="461">
        <f>T126/Q126-1</f>
        <v>59.625</v>
      </c>
      <c r="U127" s="461">
        <f>U126/T126-1</f>
        <v>0.80824742268041239</v>
      </c>
      <c r="V127" s="461">
        <f>V126/R126-1</f>
        <v>108.625</v>
      </c>
      <c r="X127" s="461">
        <f>X126/U126-1</f>
        <v>0.63511972633979497</v>
      </c>
      <c r="Y127" s="461">
        <f>Y126/X126-1</f>
        <v>0.11506276150627603</v>
      </c>
      <c r="Z127" s="461">
        <f>Z126/V126-1</f>
        <v>0.82326111744583796</v>
      </c>
      <c r="AB127" s="461">
        <f>AB126/Y126-1</f>
        <v>0.12445278298936846</v>
      </c>
      <c r="AC127" s="461">
        <f>AC126/AB126-1</f>
        <v>0.60622914349276957</v>
      </c>
      <c r="AD127" s="461">
        <f>AD126/Z126-1</f>
        <v>0.80612883051907436</v>
      </c>
      <c r="AF127" s="461">
        <f>AF126/AC126-1</f>
        <v>6.7437673130193909</v>
      </c>
      <c r="AG127" s="461">
        <f>AG126/AF126-1</f>
        <v>0.22267930602754404</v>
      </c>
      <c r="AH127" s="461">
        <f>AH126/AD126-1</f>
        <v>8.4681440443213294</v>
      </c>
      <c r="AJ127" s="461">
        <f>AJ126/AG126-1</f>
        <v>-4.7908133411351472E-2</v>
      </c>
      <c r="AK127" s="461">
        <f>AK126/AJ126-1</f>
        <v>0.31093954060075268</v>
      </c>
      <c r="AL127" s="272">
        <f>AL126/AH126-1</f>
        <v>0.24813487419543589</v>
      </c>
      <c r="AN127" s="835">
        <f>AN126/AK126-1</f>
        <v>-7.1698555480676163E-2</v>
      </c>
      <c r="AO127" s="461">
        <f>AO126/AN126-1</f>
        <v>-2.7460387601794256E-3</v>
      </c>
      <c r="AP127" s="272">
        <f>AP126/AL126-1</f>
        <v>-7.424770722845675E-2</v>
      </c>
      <c r="AR127" s="406">
        <v>0.04</v>
      </c>
      <c r="AS127" s="406">
        <v>0.04</v>
      </c>
      <c r="AT127" s="461">
        <f t="shared" ref="AT127" si="424">AT126/AP126-1</f>
        <v>8.1600000000000117E-2</v>
      </c>
      <c r="AV127" s="406">
        <v>0.04</v>
      </c>
      <c r="AW127" s="406">
        <v>0.04</v>
      </c>
      <c r="AX127" s="461">
        <f t="shared" ref="AX127" si="425">AX126/AT126-1</f>
        <v>8.1599999999999895E-2</v>
      </c>
      <c r="AZ127" s="406">
        <v>0.04</v>
      </c>
      <c r="BA127" s="406">
        <v>0.04</v>
      </c>
      <c r="BB127" s="461">
        <f t="shared" ref="BB127" si="426">BB126/AX126-1</f>
        <v>8.1599999999999895E-2</v>
      </c>
      <c r="BD127" s="406">
        <v>0.04</v>
      </c>
      <c r="BE127" s="406">
        <v>0.04</v>
      </c>
      <c r="BF127" s="461">
        <f t="shared" ref="BF127" si="427">BF126/BB126-1</f>
        <v>8.1600000000000339E-2</v>
      </c>
      <c r="BH127" s="406">
        <v>0.04</v>
      </c>
      <c r="BI127" s="406">
        <v>0.04</v>
      </c>
      <c r="BJ127" s="461">
        <f t="shared" ref="BJ127" si="428">BJ126/BF126-1</f>
        <v>8.1600000000000117E-2</v>
      </c>
      <c r="BL127" s="406">
        <v>0.04</v>
      </c>
      <c r="BM127" s="406">
        <v>0.04</v>
      </c>
      <c r="BN127" s="461">
        <f t="shared" ref="BN127" si="429">BN126/BJ126-1</f>
        <v>8.1599999999999895E-2</v>
      </c>
      <c r="BP127" s="406">
        <v>0.04</v>
      </c>
      <c r="BQ127" s="406">
        <v>0.04</v>
      </c>
      <c r="BR127" s="461">
        <f t="shared" ref="BR127" si="430">BR126/BN126-1</f>
        <v>8.1600000000000117E-2</v>
      </c>
      <c r="BT127" s="406">
        <v>0.04</v>
      </c>
      <c r="BU127" s="406">
        <v>0.04</v>
      </c>
      <c r="BV127" s="461">
        <f t="shared" ref="BV127" si="431">BV126/BR126-1</f>
        <v>8.1600000000000117E-2</v>
      </c>
      <c r="BX127" s="406">
        <v>0.04</v>
      </c>
      <c r="BY127" s="406">
        <v>0.04</v>
      </c>
      <c r="BZ127" s="461">
        <f t="shared" ref="BZ127" si="432">BZ126/BV126-1</f>
        <v>8.1600000000000117E-2</v>
      </c>
    </row>
    <row r="128" spans="1:78" s="161" customFormat="1">
      <c r="A128" s="148"/>
      <c r="B128" s="160"/>
      <c r="D128" s="238"/>
      <c r="E128" s="230"/>
      <c r="F128" s="238"/>
      <c r="H128" s="138"/>
      <c r="I128" s="230"/>
      <c r="J128" s="238"/>
      <c r="L128" s="138"/>
      <c r="M128" s="230"/>
      <c r="N128" s="238"/>
      <c r="P128" s="138"/>
      <c r="Q128" s="230"/>
      <c r="R128" s="238"/>
      <c r="T128" s="238"/>
      <c r="U128" s="230"/>
      <c r="V128" s="238"/>
      <c r="W128" s="218"/>
      <c r="X128" s="238"/>
      <c r="Y128" s="230"/>
      <c r="Z128" s="238"/>
      <c r="AA128" s="218"/>
      <c r="AB128" s="138"/>
      <c r="AC128" s="230"/>
      <c r="AD128" s="138"/>
      <c r="AF128" s="238"/>
      <c r="AG128" s="230"/>
      <c r="AH128" s="138"/>
      <c r="AJ128" s="238"/>
      <c r="AK128" s="230"/>
      <c r="AL128" s="238"/>
      <c r="AN128" s="138"/>
      <c r="AO128" s="230"/>
      <c r="AP128" s="238"/>
      <c r="AR128" s="238"/>
      <c r="AS128" s="143"/>
      <c r="AT128" s="138"/>
      <c r="AV128" s="238"/>
      <c r="AW128" s="143"/>
      <c r="AX128" s="138"/>
      <c r="AZ128" s="238"/>
      <c r="BA128" s="143"/>
      <c r="BB128" s="138"/>
      <c r="BD128" s="238"/>
      <c r="BE128" s="143"/>
      <c r="BF128" s="138"/>
      <c r="BH128" s="238"/>
      <c r="BI128" s="143"/>
      <c r="BJ128" s="138"/>
      <c r="BL128" s="238"/>
      <c r="BM128" s="143"/>
      <c r="BN128" s="138"/>
      <c r="BP128" s="238"/>
      <c r="BQ128" s="143"/>
      <c r="BR128" s="138"/>
      <c r="BT128" s="238"/>
      <c r="BU128" s="143"/>
      <c r="BV128" s="138"/>
      <c r="BX128" s="238"/>
      <c r="BY128" s="143"/>
      <c r="BZ128" s="138"/>
    </row>
    <row r="129" spans="1:78" s="161" customFormat="1">
      <c r="A129" s="148"/>
      <c r="B129" s="162" t="s">
        <v>6</v>
      </c>
      <c r="D129" s="218"/>
      <c r="F129" s="218"/>
      <c r="H129" s="174"/>
      <c r="J129" s="218"/>
      <c r="L129" s="174"/>
      <c r="N129" s="218"/>
      <c r="P129" s="174"/>
      <c r="R129" s="218"/>
      <c r="T129" s="218"/>
      <c r="V129" s="218"/>
      <c r="W129" s="218"/>
      <c r="X129" s="218"/>
      <c r="Z129" s="218"/>
      <c r="AA129" s="218"/>
      <c r="AF129" s="218"/>
      <c r="AJ129" s="218"/>
      <c r="AL129" s="218"/>
      <c r="AN129" s="174"/>
      <c r="AP129" s="218"/>
      <c r="AR129" s="237"/>
      <c r="AV129" s="237"/>
      <c r="AZ129" s="237"/>
      <c r="BD129" s="237"/>
      <c r="BH129" s="237"/>
      <c r="BL129" s="237"/>
      <c r="BP129" s="237"/>
      <c r="BT129" s="237"/>
      <c r="BX129" s="237"/>
    </row>
    <row r="130" spans="1:78" s="161" customFormat="1">
      <c r="A130" s="148"/>
      <c r="B130" s="160" t="s">
        <v>191</v>
      </c>
      <c r="C130" s="155" t="s">
        <v>406</v>
      </c>
      <c r="D130" s="230">
        <v>0.156</v>
      </c>
      <c r="E130" s="161">
        <f>F130</f>
        <v>0.16300000000000001</v>
      </c>
      <c r="F130" s="230">
        <v>0.16300000000000001</v>
      </c>
      <c r="H130" s="174">
        <v>4.2999999999999997E-2</v>
      </c>
      <c r="I130" s="161">
        <f>J130</f>
        <v>0.47599999999999998</v>
      </c>
      <c r="J130" s="230">
        <v>0.47599999999999998</v>
      </c>
      <c r="L130" s="230">
        <v>0.438</v>
      </c>
      <c r="M130" s="161">
        <f>N130</f>
        <v>0.42899999999999999</v>
      </c>
      <c r="N130" s="230">
        <v>0.42899999999999999</v>
      </c>
      <c r="P130" s="174">
        <v>0.15</v>
      </c>
      <c r="Q130" s="161">
        <f>R130</f>
        <v>0.13300000000000001</v>
      </c>
      <c r="R130" s="230">
        <v>0.13300000000000001</v>
      </c>
      <c r="T130" s="230">
        <v>0.23499999999999999</v>
      </c>
      <c r="U130" s="161">
        <f>V130</f>
        <v>0.318</v>
      </c>
      <c r="V130" s="230">
        <v>0.318</v>
      </c>
      <c r="W130" s="218"/>
      <c r="X130" s="230">
        <v>4.7E-2</v>
      </c>
      <c r="Y130" s="161">
        <f>Z130</f>
        <v>3.532</v>
      </c>
      <c r="Z130" s="230">
        <v>3.532</v>
      </c>
      <c r="AA130" s="218"/>
      <c r="AB130" s="230">
        <v>2.62</v>
      </c>
      <c r="AC130" s="161">
        <f>AD130</f>
        <v>0.73899999999999999</v>
      </c>
      <c r="AD130" s="230">
        <v>0.73899999999999999</v>
      </c>
      <c r="AF130" s="230">
        <v>4.234</v>
      </c>
      <c r="AG130" s="161">
        <f>AH130</f>
        <v>17.286000000000001</v>
      </c>
      <c r="AH130" s="230">
        <v>17.286000000000001</v>
      </c>
      <c r="AJ130" s="230">
        <v>16.744</v>
      </c>
      <c r="AK130" s="161">
        <f>AL130</f>
        <v>14.56</v>
      </c>
      <c r="AL130" s="230">
        <v>14.56</v>
      </c>
      <c r="AN130" s="181">
        <v>4.6840000000000002</v>
      </c>
      <c r="AO130" s="161">
        <f>AP130</f>
        <v>9.9629999999999992</v>
      </c>
      <c r="AP130" s="916">
        <v>9.9629999999999992</v>
      </c>
      <c r="AR130" s="462">
        <f>AO130*(1+AR131)</f>
        <v>10.16226</v>
      </c>
      <c r="AS130" s="462">
        <f>AR130*(1+AS131)</f>
        <v>10.365505199999999</v>
      </c>
      <c r="AT130" s="161">
        <f>AS130</f>
        <v>10.365505199999999</v>
      </c>
      <c r="AV130" s="462">
        <f>AS130*(1+AV131)</f>
        <v>10.572815303999999</v>
      </c>
      <c r="AW130" s="462">
        <f>AV130*(1+AW131)</f>
        <v>10.784271610079999</v>
      </c>
      <c r="AX130" s="161">
        <f>AW130</f>
        <v>10.784271610079999</v>
      </c>
      <c r="AZ130" s="462">
        <f>AW130*(1+AZ131)</f>
        <v>10.999957042281599</v>
      </c>
      <c r="BA130" s="462">
        <f>AZ130*(1+BA131)</f>
        <v>11.219956183127231</v>
      </c>
      <c r="BB130" s="161">
        <f>BA130</f>
        <v>11.219956183127231</v>
      </c>
      <c r="BD130" s="462">
        <f>BA130*(1+BD131)</f>
        <v>11.444355306789776</v>
      </c>
      <c r="BE130" s="462">
        <f>BD130*(1+BE131)</f>
        <v>11.673242412925571</v>
      </c>
      <c r="BF130" s="161">
        <f>BE130</f>
        <v>11.673242412925571</v>
      </c>
      <c r="BH130" s="462">
        <f>BE130*(1+BH131)</f>
        <v>11.906707261184083</v>
      </c>
      <c r="BI130" s="462">
        <f>BH130*(1+BI131)</f>
        <v>12.144841406407766</v>
      </c>
      <c r="BJ130" s="161">
        <f>BI130</f>
        <v>12.144841406407766</v>
      </c>
      <c r="BL130" s="462">
        <f>BI130*(1+BL131)</f>
        <v>12.387738234535922</v>
      </c>
      <c r="BM130" s="462">
        <f>BL130*(1+BM131)</f>
        <v>12.63549299922664</v>
      </c>
      <c r="BN130" s="161">
        <f>BM130</f>
        <v>12.63549299922664</v>
      </c>
      <c r="BP130" s="462">
        <f>BM130*(1+BP131)</f>
        <v>12.888202859211173</v>
      </c>
      <c r="BQ130" s="462">
        <f>BP130*(1+BQ131)</f>
        <v>13.145966916395396</v>
      </c>
      <c r="BR130" s="161">
        <f>BQ130</f>
        <v>13.145966916395396</v>
      </c>
      <c r="BT130" s="462">
        <f>BQ130*(1+BT131)</f>
        <v>13.408886254723305</v>
      </c>
      <c r="BU130" s="462">
        <f>BT130*(1+BU131)</f>
        <v>13.67706397981777</v>
      </c>
      <c r="BV130" s="161">
        <f>BU130</f>
        <v>13.67706397981777</v>
      </c>
      <c r="BX130" s="462">
        <f>BU130*(1+BX131)</f>
        <v>13.950605259414125</v>
      </c>
      <c r="BY130" s="462">
        <f>BX130*(1+BY131)</f>
        <v>14.229617364602408</v>
      </c>
      <c r="BZ130" s="161">
        <f>BY130</f>
        <v>14.229617364602408</v>
      </c>
    </row>
    <row r="131" spans="1:78" s="161" customFormat="1">
      <c r="A131" s="148"/>
      <c r="B131" s="369" t="s">
        <v>463</v>
      </c>
      <c r="C131" s="161" t="s">
        <v>39</v>
      </c>
      <c r="D131" s="230"/>
      <c r="E131" s="230"/>
      <c r="F131" s="230"/>
      <c r="H131" s="370">
        <f>+H130/D130-1</f>
        <v>-0.72435897435897445</v>
      </c>
      <c r="I131" s="370">
        <f>+I130/E130-1</f>
        <v>1.9202453987730057</v>
      </c>
      <c r="J131" s="370">
        <f>+J130/F130-1</f>
        <v>1.9202453987730057</v>
      </c>
      <c r="L131" s="370">
        <f>+L130/H130-1</f>
        <v>9.1860465116279073</v>
      </c>
      <c r="M131" s="370">
        <f>+M130/I130-1</f>
        <v>-9.873949579831931E-2</v>
      </c>
      <c r="N131" s="370">
        <f>+N130/J130-1</f>
        <v>-9.873949579831931E-2</v>
      </c>
      <c r="P131" s="370">
        <f>+P130/L130-1</f>
        <v>-0.65753424657534243</v>
      </c>
      <c r="Q131" s="370">
        <f>+Q130/M130-1</f>
        <v>-0.68997668997668993</v>
      </c>
      <c r="R131" s="370">
        <f>+R130/N130-1</f>
        <v>-0.68997668997668993</v>
      </c>
      <c r="T131" s="370">
        <f>+T130/P130-1</f>
        <v>0.56666666666666665</v>
      </c>
      <c r="U131" s="370">
        <f>+U130/Q130-1</f>
        <v>1.3909774436090223</v>
      </c>
      <c r="V131" s="370">
        <f>+V130/R130-1</f>
        <v>1.3909774436090223</v>
      </c>
      <c r="W131" s="218"/>
      <c r="X131" s="370">
        <f>+X130/T130-1</f>
        <v>-0.8</v>
      </c>
      <c r="Y131" s="370">
        <f>+Y130/U130-1</f>
        <v>10.10691823899371</v>
      </c>
      <c r="Z131" s="370">
        <f>+Z130/V130-1</f>
        <v>10.10691823899371</v>
      </c>
      <c r="AA131" s="218"/>
      <c r="AB131" s="370">
        <f>+AB130/X130-1</f>
        <v>54.744680851063833</v>
      </c>
      <c r="AC131" s="370">
        <f>+AC130/Y130-1</f>
        <v>-0.79077010192525488</v>
      </c>
      <c r="AD131" s="370">
        <f>+AD130/Z130-1</f>
        <v>-0.79077010192525488</v>
      </c>
      <c r="AF131" s="370">
        <f>+AF130/AB130-1</f>
        <v>0.61603053435114496</v>
      </c>
      <c r="AG131" s="370">
        <f>+AG130/AC130-1</f>
        <v>22.391069012178622</v>
      </c>
      <c r="AH131" s="370">
        <f>+AH130/AD130-1</f>
        <v>22.391069012178622</v>
      </c>
      <c r="AJ131" s="370">
        <f>+AJ130/AF130-1</f>
        <v>2.954652810581011</v>
      </c>
      <c r="AK131" s="370">
        <f>+AK130/AG130-1</f>
        <v>-0.15769987272937647</v>
      </c>
      <c r="AL131" s="370">
        <f>+AL130/AH130-1</f>
        <v>-0.15769987272937647</v>
      </c>
      <c r="AN131" s="582">
        <f>+AN130/AJ130-1</f>
        <v>-0.7202580028666985</v>
      </c>
      <c r="AO131" s="370">
        <f>+AO130/AK130-1</f>
        <v>-0.31572802197802208</v>
      </c>
      <c r="AP131" s="370">
        <f>+AP130/AL130-1</f>
        <v>-0.31572802197802208</v>
      </c>
      <c r="AR131" s="463">
        <v>0.02</v>
      </c>
      <c r="AS131" s="463">
        <v>0.02</v>
      </c>
      <c r="AT131" s="370">
        <f>+AT130/AP130-1</f>
        <v>4.0399999999999991E-2</v>
      </c>
      <c r="AV131" s="463">
        <v>0.02</v>
      </c>
      <c r="AW131" s="463">
        <v>0.02</v>
      </c>
      <c r="AX131" s="370">
        <f>+AX130/AT130-1</f>
        <v>4.0399999999999991E-2</v>
      </c>
      <c r="AZ131" s="463">
        <v>0.02</v>
      </c>
      <c r="BA131" s="463">
        <v>0.02</v>
      </c>
      <c r="BB131" s="370">
        <f>+BB130/AX130-1</f>
        <v>4.0399999999999991E-2</v>
      </c>
      <c r="BD131" s="463">
        <v>0.02</v>
      </c>
      <c r="BE131" s="463">
        <v>0.02</v>
      </c>
      <c r="BF131" s="370">
        <f>+BF130/BB130-1</f>
        <v>4.0399999999999991E-2</v>
      </c>
      <c r="BH131" s="463">
        <v>0.02</v>
      </c>
      <c r="BI131" s="463">
        <v>0.02</v>
      </c>
      <c r="BJ131" s="370">
        <f>+BJ130/BF130-1</f>
        <v>4.0400000000000214E-2</v>
      </c>
      <c r="BL131" s="463">
        <v>0.02</v>
      </c>
      <c r="BM131" s="463">
        <v>0.02</v>
      </c>
      <c r="BN131" s="370">
        <f>+BN130/BJ130-1</f>
        <v>4.0399999999999991E-2</v>
      </c>
      <c r="BP131" s="463">
        <v>0.02</v>
      </c>
      <c r="BQ131" s="463">
        <v>0.02</v>
      </c>
      <c r="BR131" s="370">
        <f>+BR130/BN130-1</f>
        <v>4.0399999999999991E-2</v>
      </c>
      <c r="BT131" s="463">
        <v>0.02</v>
      </c>
      <c r="BU131" s="463">
        <v>0.02</v>
      </c>
      <c r="BV131" s="370">
        <f>+BV130/BR130-1</f>
        <v>4.0399999999999991E-2</v>
      </c>
      <c r="BX131" s="463">
        <v>0.02</v>
      </c>
      <c r="BY131" s="463">
        <v>0.02</v>
      </c>
      <c r="BZ131" s="370">
        <f>+BZ130/BV130-1</f>
        <v>4.0399999999999991E-2</v>
      </c>
    </row>
    <row r="132" spans="1:78" s="203" customFormat="1">
      <c r="A132" s="201"/>
      <c r="B132" s="202"/>
      <c r="D132" s="239"/>
      <c r="E132" s="143"/>
      <c r="F132" s="239"/>
      <c r="I132" s="143"/>
      <c r="J132" s="239"/>
      <c r="L132" s="239"/>
      <c r="M132" s="143"/>
      <c r="N132" s="239"/>
      <c r="Q132" s="143"/>
      <c r="R132" s="239"/>
      <c r="T132" s="239"/>
      <c r="U132" s="143"/>
      <c r="V132" s="239"/>
      <c r="W132" s="239"/>
      <c r="X132" s="239"/>
      <c r="Y132" s="143"/>
      <c r="Z132" s="239"/>
      <c r="AA132" s="239"/>
      <c r="AC132" s="143"/>
      <c r="AF132" s="239"/>
      <c r="AG132" s="143"/>
      <c r="AJ132" s="239"/>
      <c r="AK132" s="143"/>
      <c r="AL132" s="239"/>
      <c r="AO132" s="143"/>
      <c r="AP132" s="239"/>
      <c r="AR132" s="239"/>
      <c r="AS132" s="143"/>
      <c r="AV132" s="239"/>
      <c r="AW132" s="143"/>
      <c r="AZ132" s="239"/>
      <c r="BA132" s="143"/>
      <c r="BD132" s="239"/>
      <c r="BE132" s="143"/>
      <c r="BH132" s="239"/>
      <c r="BI132" s="143"/>
      <c r="BL132" s="239"/>
      <c r="BM132" s="143"/>
      <c r="BP132" s="239"/>
      <c r="BQ132" s="143"/>
      <c r="BT132" s="239"/>
      <c r="BU132" s="143"/>
      <c r="BX132" s="239"/>
      <c r="BY132" s="143"/>
    </row>
    <row r="133" spans="1:78" s="140" customFormat="1">
      <c r="A133" s="149"/>
      <c r="B133" s="160" t="s">
        <v>193</v>
      </c>
      <c r="C133" s="155" t="s">
        <v>406</v>
      </c>
      <c r="D133" s="230">
        <v>7.0000000000000007E-2</v>
      </c>
      <c r="E133" s="161">
        <f>F133</f>
        <v>0.04</v>
      </c>
      <c r="F133" s="230">
        <v>0.04</v>
      </c>
      <c r="H133" s="181">
        <v>1.2999999999999999E-2</v>
      </c>
      <c r="I133" s="161">
        <f>J133</f>
        <v>5.0999999999999997E-2</v>
      </c>
      <c r="J133" s="230">
        <v>5.0999999999999997E-2</v>
      </c>
      <c r="L133" s="230">
        <v>0.03</v>
      </c>
      <c r="M133" s="161">
        <f>N133</f>
        <v>1.7999999999999999E-2</v>
      </c>
      <c r="N133" s="230">
        <v>1.7999999999999999E-2</v>
      </c>
      <c r="P133" s="181">
        <v>0.751</v>
      </c>
      <c r="Q133" s="161">
        <f>R133</f>
        <v>0.39300000000000002</v>
      </c>
      <c r="R133" s="230">
        <v>0.39300000000000002</v>
      </c>
      <c r="T133" s="230">
        <v>0.04</v>
      </c>
      <c r="U133" s="161">
        <f>V133</f>
        <v>0.04</v>
      </c>
      <c r="V133" s="230">
        <v>0.04</v>
      </c>
      <c r="W133" s="219"/>
      <c r="X133" s="230">
        <v>0.04</v>
      </c>
      <c r="Y133" s="161">
        <f>Z133</f>
        <v>0.04</v>
      </c>
      <c r="Z133" s="230">
        <v>0.04</v>
      </c>
      <c r="AA133" s="219"/>
      <c r="AB133" s="230">
        <v>10.717000000000001</v>
      </c>
      <c r="AC133" s="161">
        <f>AD133</f>
        <v>9.2140000000000004</v>
      </c>
      <c r="AD133" s="230">
        <v>9.2140000000000004</v>
      </c>
      <c r="AF133" s="230">
        <v>8.6479999999999997</v>
      </c>
      <c r="AG133" s="161">
        <f>AH133</f>
        <v>29.890999999999998</v>
      </c>
      <c r="AH133" s="230">
        <v>29.890999999999998</v>
      </c>
      <c r="AJ133" s="230">
        <v>29.408999999999999</v>
      </c>
      <c r="AK133" s="161">
        <f>AL133</f>
        <v>24.395</v>
      </c>
      <c r="AL133" s="230">
        <v>24.395</v>
      </c>
      <c r="AM133" s="161"/>
      <c r="AN133" s="181">
        <v>20.826000000000001</v>
      </c>
      <c r="AO133" s="161">
        <f>AP133</f>
        <v>24.457000000000001</v>
      </c>
      <c r="AP133" s="916">
        <v>24.457000000000001</v>
      </c>
      <c r="AQ133" s="161"/>
      <c r="AR133" s="462">
        <f>AO133*(1+AR134)</f>
        <v>24.94614</v>
      </c>
      <c r="AS133" s="462">
        <f>AR133*(1+AS134)</f>
        <v>25.445062799999999</v>
      </c>
      <c r="AT133" s="161">
        <f>AS133</f>
        <v>25.445062799999999</v>
      </c>
      <c r="AU133" s="161"/>
      <c r="AV133" s="462">
        <f>AS133*(1+AV134)</f>
        <v>25.953964056</v>
      </c>
      <c r="AW133" s="462">
        <f>AV133*(1+AW134)</f>
        <v>26.47304333712</v>
      </c>
      <c r="AX133" s="161">
        <f>AW133</f>
        <v>26.47304333712</v>
      </c>
      <c r="AY133" s="161"/>
      <c r="AZ133" s="462">
        <f>AW133*(1+AZ134)</f>
        <v>27.002504203862401</v>
      </c>
      <c r="BA133" s="462">
        <f>AZ133*(1+BA134)</f>
        <v>27.542554287939648</v>
      </c>
      <c r="BB133" s="161">
        <f>BA133</f>
        <v>27.542554287939648</v>
      </c>
      <c r="BC133" s="161"/>
      <c r="BD133" s="462">
        <f>BA133*(1+BD134)</f>
        <v>28.093405373698442</v>
      </c>
      <c r="BE133" s="462">
        <f>BD133*(1+BE134)</f>
        <v>28.655273481172411</v>
      </c>
      <c r="BF133" s="161">
        <f>BE133</f>
        <v>28.655273481172411</v>
      </c>
      <c r="BG133" s="161"/>
      <c r="BH133" s="462">
        <f>BE133*(1+BH134)</f>
        <v>29.228378950795861</v>
      </c>
      <c r="BI133" s="462">
        <f>BH133*(1+BI134)</f>
        <v>29.812946529811779</v>
      </c>
      <c r="BJ133" s="161">
        <f>BI133</f>
        <v>29.812946529811779</v>
      </c>
      <c r="BK133" s="161"/>
      <c r="BL133" s="462">
        <f>BI133*(1+BL134)</f>
        <v>30.409205460408014</v>
      </c>
      <c r="BM133" s="462">
        <f>BL133*(1+BM134)</f>
        <v>31.017389569616174</v>
      </c>
      <c r="BN133" s="161">
        <f>BM133</f>
        <v>31.017389569616174</v>
      </c>
      <c r="BO133" s="161"/>
      <c r="BP133" s="462">
        <f>BM133*(1+BP134)</f>
        <v>31.637737361008497</v>
      </c>
      <c r="BQ133" s="462">
        <f>BP133*(1+BQ134)</f>
        <v>32.270492108228666</v>
      </c>
      <c r="BR133" s="161">
        <f>BQ133</f>
        <v>32.270492108228666</v>
      </c>
      <c r="BS133" s="161"/>
      <c r="BT133" s="462">
        <f>BQ133*(1+BT134)</f>
        <v>32.915901950393241</v>
      </c>
      <c r="BU133" s="462">
        <f>BT133*(1+BU134)</f>
        <v>33.574219989401108</v>
      </c>
      <c r="BV133" s="161">
        <f>BU133</f>
        <v>33.574219989401108</v>
      </c>
      <c r="BW133" s="161"/>
      <c r="BX133" s="462">
        <f>BU133*(1+BX134)</f>
        <v>34.245704389189129</v>
      </c>
      <c r="BY133" s="462">
        <f>BX133*(1+BY134)</f>
        <v>34.93061847697291</v>
      </c>
      <c r="BZ133" s="161">
        <f>BY133</f>
        <v>34.93061847697291</v>
      </c>
    </row>
    <row r="134" spans="1:78" s="161" customFormat="1">
      <c r="A134" s="148"/>
      <c r="B134" s="369" t="s">
        <v>296</v>
      </c>
      <c r="C134" s="161" t="s">
        <v>39</v>
      </c>
      <c r="D134" s="230"/>
      <c r="E134" s="230"/>
      <c r="F134" s="230"/>
      <c r="H134" s="370">
        <f>+H133/D133-1</f>
        <v>-0.81428571428571428</v>
      </c>
      <c r="I134" s="370">
        <f>+I133/E133-1</f>
        <v>0.27499999999999991</v>
      </c>
      <c r="J134" s="370">
        <f>+J133/F133-1</f>
        <v>0.27499999999999991</v>
      </c>
      <c r="L134" s="370">
        <f>+L133/H133-1</f>
        <v>1.3076923076923079</v>
      </c>
      <c r="M134" s="370">
        <f>+M133/I133-1</f>
        <v>-0.64705882352941169</v>
      </c>
      <c r="N134" s="370">
        <f>+N133/J133-1</f>
        <v>-0.64705882352941169</v>
      </c>
      <c r="P134" s="370">
        <f>+P133/L133-1</f>
        <v>24.033333333333335</v>
      </c>
      <c r="Q134" s="370">
        <f>+Q133/M133-1</f>
        <v>20.833333333333336</v>
      </c>
      <c r="R134" s="370">
        <f>+R133/N133-1</f>
        <v>20.833333333333336</v>
      </c>
      <c r="T134" s="370">
        <f>+T133/P133-1</f>
        <v>-0.94673768308921435</v>
      </c>
      <c r="U134" s="370">
        <f>+U133/Q133-1</f>
        <v>-0.89821882951653942</v>
      </c>
      <c r="V134" s="370">
        <f>+V133/R133-1</f>
        <v>-0.89821882951653942</v>
      </c>
      <c r="W134" s="218"/>
      <c r="X134" s="370">
        <f>+X133/T133-1</f>
        <v>0</v>
      </c>
      <c r="Y134" s="370">
        <f>+Y133/U133-1</f>
        <v>0</v>
      </c>
      <c r="Z134" s="370">
        <f>+Z133/V133-1</f>
        <v>0</v>
      </c>
      <c r="AA134" s="218"/>
      <c r="AB134" s="370">
        <f>+AB133/X133-1</f>
        <v>266.92500000000001</v>
      </c>
      <c r="AC134" s="370">
        <f>+AC133/Y133-1</f>
        <v>229.35</v>
      </c>
      <c r="AD134" s="370">
        <f>+AD133/Z133-1</f>
        <v>229.35</v>
      </c>
      <c r="AF134" s="370">
        <f>+AF133/AB133-1</f>
        <v>-0.19305775870112907</v>
      </c>
      <c r="AG134" s="370">
        <f>+AG133/AC133-1</f>
        <v>2.2440850879097023</v>
      </c>
      <c r="AH134" s="370">
        <f>+AH133/AD133-1</f>
        <v>2.2440850879097023</v>
      </c>
      <c r="AJ134" s="370">
        <f>+AJ133/AF133-1</f>
        <v>2.4006706753006477</v>
      </c>
      <c r="AK134" s="370">
        <f>+AK133/AG133-1</f>
        <v>-0.1838680539292763</v>
      </c>
      <c r="AL134" s="370">
        <f>+AL133/AH133-1</f>
        <v>-0.1838680539292763</v>
      </c>
      <c r="AN134" s="582">
        <f>+AN133/AJ133-1</f>
        <v>-0.29184943384678153</v>
      </c>
      <c r="AO134" s="370">
        <f>+AO133/AK133-1</f>
        <v>2.5415044066408043E-3</v>
      </c>
      <c r="AP134" s="370">
        <f>+AP133/AL133-1</f>
        <v>2.5415044066408043E-3</v>
      </c>
      <c r="AR134" s="463">
        <v>0.02</v>
      </c>
      <c r="AS134" s="463">
        <v>0.02</v>
      </c>
      <c r="AT134" s="370">
        <f>+AT133/AP133-1</f>
        <v>4.0399999999999991E-2</v>
      </c>
      <c r="AV134" s="463">
        <v>0.02</v>
      </c>
      <c r="AW134" s="463">
        <v>0.02</v>
      </c>
      <c r="AX134" s="370">
        <f>+AX133/AT133-1</f>
        <v>4.0399999999999991E-2</v>
      </c>
      <c r="AZ134" s="463">
        <v>0.02</v>
      </c>
      <c r="BA134" s="463">
        <v>0.02</v>
      </c>
      <c r="BB134" s="370">
        <f>+BB133/AX133-1</f>
        <v>4.0399999999999991E-2</v>
      </c>
      <c r="BD134" s="463">
        <v>0.02</v>
      </c>
      <c r="BE134" s="463">
        <v>0.02</v>
      </c>
      <c r="BF134" s="370">
        <f>+BF133/BB133-1</f>
        <v>4.0399999999999991E-2</v>
      </c>
      <c r="BH134" s="463">
        <v>0.02</v>
      </c>
      <c r="BI134" s="463">
        <v>0.02</v>
      </c>
      <c r="BJ134" s="370">
        <f>+BJ133/BF133-1</f>
        <v>4.0399999999999991E-2</v>
      </c>
      <c r="BL134" s="463">
        <v>0.02</v>
      </c>
      <c r="BM134" s="463">
        <v>0.02</v>
      </c>
      <c r="BN134" s="370">
        <f>+BN133/BJ133-1</f>
        <v>4.0399999999999991E-2</v>
      </c>
      <c r="BP134" s="463">
        <v>0.02</v>
      </c>
      <c r="BQ134" s="463">
        <v>0.02</v>
      </c>
      <c r="BR134" s="370">
        <f>+BR133/BN133-1</f>
        <v>4.0399999999999991E-2</v>
      </c>
      <c r="BT134" s="463">
        <v>0.02</v>
      </c>
      <c r="BU134" s="463">
        <v>0.02</v>
      </c>
      <c r="BV134" s="370">
        <f>+BV133/BR133-1</f>
        <v>4.0400000000000214E-2</v>
      </c>
      <c r="BX134" s="463">
        <v>0.02</v>
      </c>
      <c r="BY134" s="463">
        <v>0.02</v>
      </c>
      <c r="BZ134" s="370">
        <f>+BZ133/BV133-1</f>
        <v>4.0399999999999991E-2</v>
      </c>
    </row>
    <row r="135" spans="1:78" s="140" customFormat="1">
      <c r="A135" s="149"/>
      <c r="B135" s="160"/>
      <c r="D135" s="237"/>
      <c r="F135" s="237"/>
      <c r="H135" s="174"/>
      <c r="J135" s="237"/>
      <c r="L135" s="237"/>
      <c r="N135" s="237"/>
      <c r="P135" s="174"/>
      <c r="R135" s="237"/>
      <c r="T135" s="237"/>
      <c r="V135" s="237"/>
      <c r="W135" s="219"/>
      <c r="X135" s="237"/>
      <c r="Z135" s="237"/>
      <c r="AA135" s="219"/>
      <c r="AB135" s="250" t="s">
        <v>396</v>
      </c>
      <c r="AD135" s="237"/>
      <c r="AF135" s="237"/>
      <c r="AH135" s="237"/>
      <c r="AJ135" s="237"/>
      <c r="AL135" s="237"/>
      <c r="AN135" s="174"/>
      <c r="AP135" s="237"/>
      <c r="AR135" s="237"/>
      <c r="AV135" s="237"/>
      <c r="AZ135" s="237"/>
      <c r="BD135" s="237"/>
      <c r="BH135" s="237"/>
      <c r="BL135" s="237"/>
      <c r="BP135" s="237"/>
      <c r="BT135" s="237"/>
      <c r="BX135" s="237"/>
    </row>
    <row r="136" spans="1:78" s="140" customFormat="1">
      <c r="A136" s="149"/>
      <c r="B136" s="159" t="s">
        <v>226</v>
      </c>
      <c r="C136" s="155" t="s">
        <v>406</v>
      </c>
      <c r="D136" s="231">
        <v>131.38900000000001</v>
      </c>
      <c r="E136" s="140">
        <f>F136</f>
        <v>133.89400000000001</v>
      </c>
      <c r="F136" s="231">
        <v>133.89400000000001</v>
      </c>
      <c r="H136" s="175">
        <v>132.18600000000001</v>
      </c>
      <c r="I136" s="140">
        <f>J136</f>
        <v>141.71299999999999</v>
      </c>
      <c r="J136" s="231">
        <v>141.71299999999999</v>
      </c>
      <c r="L136" s="231">
        <v>145.11600000000001</v>
      </c>
      <c r="M136" s="140">
        <f>N136</f>
        <v>155.88800000000001</v>
      </c>
      <c r="N136" s="231">
        <v>155.88800000000001</v>
      </c>
      <c r="P136" s="175">
        <v>134.851</v>
      </c>
      <c r="Q136" s="140">
        <f>R136</f>
        <v>127.453</v>
      </c>
      <c r="R136" s="231">
        <v>127.453</v>
      </c>
      <c r="T136" s="231">
        <v>127.371</v>
      </c>
      <c r="U136" s="140">
        <f>V136</f>
        <v>271.041</v>
      </c>
      <c r="V136" s="231">
        <v>271.041</v>
      </c>
      <c r="X136" s="231">
        <v>267.33100000000002</v>
      </c>
      <c r="Y136" s="140">
        <f>Z136</f>
        <v>280.64299999999997</v>
      </c>
      <c r="Z136" s="231">
        <v>280.64299999999997</v>
      </c>
      <c r="AA136" s="219"/>
      <c r="AB136" s="231">
        <v>275.59899999999999</v>
      </c>
      <c r="AC136" s="140">
        <f>AD136</f>
        <v>250.1</v>
      </c>
      <c r="AD136" s="231">
        <v>250.1</v>
      </c>
      <c r="AF136" s="231">
        <v>249.798</v>
      </c>
      <c r="AG136" s="140">
        <f>AH136</f>
        <v>238.52600000000001</v>
      </c>
      <c r="AH136" s="231">
        <v>238.52600000000001</v>
      </c>
      <c r="AJ136" s="231">
        <v>248.78399999999999</v>
      </c>
      <c r="AK136" s="140">
        <f>AL136</f>
        <v>250.911</v>
      </c>
      <c r="AL136" s="231">
        <v>250.911</v>
      </c>
      <c r="AM136" s="474">
        <f>+AL136-AK136</f>
        <v>0</v>
      </c>
      <c r="AN136" s="175">
        <v>313.18900000000002</v>
      </c>
      <c r="AO136" s="140">
        <f>AP136</f>
        <v>301.85500000000002</v>
      </c>
      <c r="AP136" s="915">
        <v>301.85500000000002</v>
      </c>
      <c r="AQ136" s="474">
        <f>+AP136-AO136</f>
        <v>0</v>
      </c>
      <c r="AR136" s="219">
        <f>+AR145</f>
        <v>287.92805626774401</v>
      </c>
      <c r="AS136" s="219">
        <f>+AS145</f>
        <v>273.88372249999998</v>
      </c>
      <c r="AT136" s="219">
        <f>AS136</f>
        <v>273.88372249999998</v>
      </c>
      <c r="AU136" s="474">
        <f>+AT136-AS136</f>
        <v>0</v>
      </c>
      <c r="AV136" s="219">
        <f>+AV145</f>
        <v>259.97882506916352</v>
      </c>
      <c r="AW136" s="219">
        <f>+AW145</f>
        <v>245.84000229999998</v>
      </c>
      <c r="AX136" s="219">
        <f>AW136</f>
        <v>245.84000229999998</v>
      </c>
      <c r="AY136" s="474">
        <f>+AX136-AW136</f>
        <v>0</v>
      </c>
      <c r="AZ136" s="219">
        <f>+AZ145</f>
        <v>231.86915192869657</v>
      </c>
      <c r="BA136" s="219">
        <f>+BA145</f>
        <v>217.64566219199997</v>
      </c>
      <c r="BB136" s="219">
        <f>BA136</f>
        <v>217.64566219199997</v>
      </c>
      <c r="BC136" s="474">
        <f>+BB136-BA136</f>
        <v>0</v>
      </c>
      <c r="BD136" s="219">
        <f>+BD145</f>
        <v>203.62131142207232</v>
      </c>
      <c r="BE136" s="219">
        <f>+BE145</f>
        <v>189.32411013751999</v>
      </c>
      <c r="BF136" s="219">
        <f>BE136</f>
        <v>189.32411013751999</v>
      </c>
      <c r="BG136" s="474">
        <f>+BF136-BE136</f>
        <v>0</v>
      </c>
      <c r="BH136" s="219">
        <f>+BH145</f>
        <v>175.2600622896997</v>
      </c>
      <c r="BI136" s="219">
        <f>+BI145</f>
        <v>160.90133588608481</v>
      </c>
      <c r="BJ136" s="219">
        <f>BI136</f>
        <v>160.90133588608481</v>
      </c>
      <c r="BK136" s="474">
        <f>+BJ136-BI136</f>
        <v>0</v>
      </c>
      <c r="BL136" s="219">
        <f>+BL145</f>
        <v>146.81286021381456</v>
      </c>
      <c r="BM136" s="219">
        <f>+BM145</f>
        <v>132.40613170128611</v>
      </c>
      <c r="BN136" s="219">
        <f>BM136</f>
        <v>132.40613170128611</v>
      </c>
      <c r="BO136" s="474">
        <f>+BN136-BM136</f>
        <v>0</v>
      </c>
      <c r="BP136" s="219">
        <f>+BP145</f>
        <v>118.31008789867738</v>
      </c>
      <c r="BQ136" s="219">
        <f>+BQ145</f>
        <v>103.87033102858977</v>
      </c>
      <c r="BR136" s="219">
        <f>BQ136</f>
        <v>103.87033102858977</v>
      </c>
      <c r="BS136" s="474">
        <f>+BR136-BQ136</f>
        <v>0</v>
      </c>
      <c r="BT136" s="219">
        <f>+BT145</f>
        <v>89.785303843684332</v>
      </c>
      <c r="BU136" s="219">
        <f>+BU145</f>
        <v>75.329066545901725</v>
      </c>
      <c r="BV136" s="219">
        <f>BU136</f>
        <v>75.329066545901725</v>
      </c>
      <c r="BW136" s="474">
        <f>+BV136-BU136</f>
        <v>0</v>
      </c>
      <c r="BX136" s="219">
        <f>+BX145</f>
        <v>61.275511310554094</v>
      </c>
      <c r="BY136" s="219">
        <f>+BY145</f>
        <v>46.821049153299121</v>
      </c>
      <c r="BZ136" s="219">
        <f>BY136</f>
        <v>46.821049153299121</v>
      </c>
    </row>
    <row r="137" spans="1:78" s="140" customFormat="1">
      <c r="A137" s="149"/>
      <c r="B137" s="336" t="s">
        <v>268</v>
      </c>
      <c r="C137" s="155" t="s">
        <v>406</v>
      </c>
      <c r="D137" s="230">
        <v>141.661</v>
      </c>
      <c r="E137" s="218">
        <f>D136</f>
        <v>131.38900000000001</v>
      </c>
      <c r="F137" s="230">
        <v>141.661</v>
      </c>
      <c r="G137" s="219"/>
      <c r="H137" s="218">
        <f>F136</f>
        <v>133.89400000000001</v>
      </c>
      <c r="I137" s="218">
        <f>H136</f>
        <v>132.18600000000001</v>
      </c>
      <c r="J137" s="218">
        <f>F136</f>
        <v>133.89400000000001</v>
      </c>
      <c r="K137" s="219"/>
      <c r="L137" s="218">
        <f>J136</f>
        <v>141.71299999999999</v>
      </c>
      <c r="M137" s="218">
        <f>L136</f>
        <v>145.11600000000001</v>
      </c>
      <c r="N137" s="218">
        <f>J136</f>
        <v>141.71299999999999</v>
      </c>
      <c r="O137" s="219"/>
      <c r="P137" s="218">
        <f>N136</f>
        <v>155.88800000000001</v>
      </c>
      <c r="Q137" s="218">
        <f>P136</f>
        <v>134.851</v>
      </c>
      <c r="R137" s="218">
        <f>N136</f>
        <v>155.88800000000001</v>
      </c>
      <c r="S137" s="219"/>
      <c r="T137" s="218">
        <f>R136</f>
        <v>127.453</v>
      </c>
      <c r="U137" s="218">
        <f>T136</f>
        <v>127.371</v>
      </c>
      <c r="V137" s="218">
        <f>R136</f>
        <v>127.453</v>
      </c>
      <c r="X137" s="161">
        <f>V136</f>
        <v>271.041</v>
      </c>
      <c r="Y137" s="161">
        <f>X136</f>
        <v>267.33100000000002</v>
      </c>
      <c r="Z137" s="161">
        <f>V136</f>
        <v>271.041</v>
      </c>
      <c r="AB137" s="161">
        <f>Z136</f>
        <v>280.64299999999997</v>
      </c>
      <c r="AC137" s="161">
        <f>AB136</f>
        <v>275.59899999999999</v>
      </c>
      <c r="AD137" s="161">
        <f>Z136</f>
        <v>280.64299999999997</v>
      </c>
      <c r="AF137" s="161">
        <f>AD136</f>
        <v>250.1</v>
      </c>
      <c r="AG137" s="161">
        <f>AF136</f>
        <v>249.798</v>
      </c>
      <c r="AH137" s="161">
        <f>AD136</f>
        <v>250.1</v>
      </c>
      <c r="AJ137" s="161">
        <f>AH136</f>
        <v>238.52600000000001</v>
      </c>
      <c r="AK137" s="161">
        <f>AJ136</f>
        <v>248.78399999999999</v>
      </c>
      <c r="AL137" s="218">
        <f>AH136</f>
        <v>238.52600000000001</v>
      </c>
      <c r="AN137" s="161">
        <f>AL136</f>
        <v>250.911</v>
      </c>
      <c r="AO137" s="161">
        <f>AN136</f>
        <v>313.18900000000002</v>
      </c>
      <c r="AP137" s="218">
        <f>AL136</f>
        <v>250.911</v>
      </c>
      <c r="AR137" s="161">
        <f>AP136</f>
        <v>301.85500000000002</v>
      </c>
      <c r="AS137" s="161">
        <f>AR136</f>
        <v>287.92805626774401</v>
      </c>
      <c r="AT137" s="161">
        <f>AP136</f>
        <v>301.85500000000002</v>
      </c>
      <c r="AV137" s="161">
        <f>AT136</f>
        <v>273.88372249999998</v>
      </c>
      <c r="AW137" s="161">
        <f>AV136</f>
        <v>259.97882506916352</v>
      </c>
      <c r="AX137" s="161">
        <f>AT136</f>
        <v>273.88372249999998</v>
      </c>
      <c r="AZ137" s="161">
        <f>AX136</f>
        <v>245.84000229999998</v>
      </c>
      <c r="BA137" s="161">
        <f>AZ136</f>
        <v>231.86915192869657</v>
      </c>
      <c r="BB137" s="161">
        <f>AX136</f>
        <v>245.84000229999998</v>
      </c>
      <c r="BD137" s="161">
        <f>BB136</f>
        <v>217.64566219199997</v>
      </c>
      <c r="BE137" s="161">
        <f>BD136</f>
        <v>203.62131142207232</v>
      </c>
      <c r="BF137" s="161">
        <f>BB136</f>
        <v>217.64566219199997</v>
      </c>
      <c r="BH137" s="161">
        <f>BF136</f>
        <v>189.32411013751999</v>
      </c>
      <c r="BI137" s="161">
        <f>BH136</f>
        <v>175.2600622896997</v>
      </c>
      <c r="BJ137" s="161">
        <f>BF136</f>
        <v>189.32411013751999</v>
      </c>
      <c r="BL137" s="161">
        <f>BJ136</f>
        <v>160.90133588608481</v>
      </c>
      <c r="BM137" s="161">
        <f>BL136</f>
        <v>146.81286021381456</v>
      </c>
      <c r="BN137" s="161">
        <f>BJ136</f>
        <v>160.90133588608481</v>
      </c>
      <c r="BP137" s="161">
        <f>BN136</f>
        <v>132.40613170128611</v>
      </c>
      <c r="BQ137" s="161">
        <f>BP136</f>
        <v>118.31008789867738</v>
      </c>
      <c r="BR137" s="161">
        <f>BN136</f>
        <v>132.40613170128611</v>
      </c>
      <c r="BT137" s="161">
        <f>BR136</f>
        <v>103.87033102858977</v>
      </c>
      <c r="BU137" s="161">
        <f>BT136</f>
        <v>89.785303843684332</v>
      </c>
      <c r="BV137" s="161">
        <f>BR136</f>
        <v>103.87033102858977</v>
      </c>
      <c r="BX137" s="161">
        <f>BV136</f>
        <v>75.329066545901725</v>
      </c>
      <c r="BY137" s="161">
        <f>BX136</f>
        <v>61.275511310554094</v>
      </c>
      <c r="BZ137" s="161">
        <f>BV136</f>
        <v>75.329066545901725</v>
      </c>
    </row>
    <row r="138" spans="1:78" s="140" customFormat="1">
      <c r="A138" s="149"/>
      <c r="B138" s="337" t="s">
        <v>264</v>
      </c>
      <c r="C138" s="155" t="s">
        <v>406</v>
      </c>
      <c r="D138" s="799">
        <f t="shared" ref="D138:D143" si="433">+F138/2</f>
        <v>1.4855</v>
      </c>
      <c r="E138" s="218">
        <f t="shared" ref="E138:E144" si="434">F138-D138</f>
        <v>1.4855</v>
      </c>
      <c r="F138" s="230">
        <v>2.9710000000000001</v>
      </c>
      <c r="G138" s="219"/>
      <c r="H138" s="799">
        <f t="shared" ref="H138:H143" si="435">+J138/2</f>
        <v>4.6929999999999996</v>
      </c>
      <c r="I138" s="218">
        <f t="shared" ref="I138:I144" si="436">J138-H138</f>
        <v>4.6929999999999996</v>
      </c>
      <c r="J138" s="230">
        <v>9.3859999999999992</v>
      </c>
      <c r="K138" s="219"/>
      <c r="L138" s="799">
        <f t="shared" ref="L138:L143" si="437">+N138/2</f>
        <v>1.5349999999999999</v>
      </c>
      <c r="M138" s="218">
        <f t="shared" ref="M138:M144" si="438">N138-L138</f>
        <v>1.5349999999999999</v>
      </c>
      <c r="N138" s="230">
        <f>0.038+3.032</f>
        <v>3.07</v>
      </c>
      <c r="O138" s="219"/>
      <c r="P138" s="799">
        <f t="shared" ref="P138:P143" si="439">+R138/2</f>
        <v>4.7450000000000001</v>
      </c>
      <c r="Q138" s="218">
        <f t="shared" ref="Q138:Q144" si="440">R138-P138</f>
        <v>4.7450000000000001</v>
      </c>
      <c r="R138" s="230">
        <f>7.552+1.938</f>
        <v>9.49</v>
      </c>
      <c r="S138" s="219"/>
      <c r="T138" s="799">
        <f t="shared" ref="T138:T143" si="441">+V138/2</f>
        <v>71.013499999999993</v>
      </c>
      <c r="U138" s="218">
        <f t="shared" ref="U138:U144" si="442">V138-T138</f>
        <v>71.013499999999993</v>
      </c>
      <c r="V138" s="230">
        <v>142.02699999999999</v>
      </c>
      <c r="W138" s="138"/>
      <c r="X138" s="249">
        <f t="shared" ref="X138:X143" si="443">+Z138/2</f>
        <v>5.6154999999999999</v>
      </c>
      <c r="Y138" s="161">
        <f t="shared" ref="Y138:Y144" si="444">Z138-X138</f>
        <v>5.6154999999999999</v>
      </c>
      <c r="Z138" s="230">
        <v>11.231</v>
      </c>
      <c r="AB138" s="249">
        <f t="shared" ref="AB138:AB143" si="445">+AD138/2</f>
        <v>4.7759999999999998</v>
      </c>
      <c r="AC138" s="161">
        <f t="shared" ref="AC138:AC144" si="446">AD138-AB138</f>
        <v>4.7759999999999998</v>
      </c>
      <c r="AD138" s="230">
        <v>9.5519999999999996</v>
      </c>
      <c r="AF138" s="472">
        <f ca="1">+AG138*50%</f>
        <v>3.5073333333333334</v>
      </c>
      <c r="AG138" s="161">
        <f t="shared" ref="AG138:AG144" ca="1" si="447">AH138-AF138</f>
        <v>7.0146666666666668</v>
      </c>
      <c r="AH138" s="230">
        <v>10.522</v>
      </c>
      <c r="AJ138" s="472">
        <f ca="1">+AK138*50%</f>
        <v>5.18</v>
      </c>
      <c r="AK138" s="161">
        <f t="shared" ref="AK138:AK144" ca="1" si="448">AL138-AJ138</f>
        <v>10.36</v>
      </c>
      <c r="AL138" s="230">
        <v>15.54</v>
      </c>
      <c r="AM138" s="473">
        <f t="shared" ref="AM138:AM144" ca="1" si="449">+AL138-AK138-AJ138</f>
        <v>0</v>
      </c>
      <c r="AN138" s="185">
        <f ca="1">+AO138*50%</f>
        <v>25.868666666666662</v>
      </c>
      <c r="AO138" s="161">
        <f t="shared" ref="AO138:AO144" ca="1" si="450">AP138-AN138</f>
        <v>51.737333333333332</v>
      </c>
      <c r="AP138" s="916">
        <v>77.605999999999995</v>
      </c>
      <c r="AQ138" s="473">
        <f t="shared" ref="AQ138:AQ144" ca="1" si="451">+AP138-AO138-AN138</f>
        <v>0</v>
      </c>
      <c r="AR138" s="249">
        <f>CF!AR163</f>
        <v>-10.4167875</v>
      </c>
      <c r="AS138" s="249">
        <f>CF!AS163</f>
        <v>-10.345924999999999</v>
      </c>
      <c r="AT138" s="161">
        <f t="shared" ref="AT138:AT144" si="452">+AR138+AS138</f>
        <v>-20.762712499999999</v>
      </c>
      <c r="AU138" s="473">
        <f t="shared" ref="AU138:AU144" si="453">+AT138-AS138-AR138</f>
        <v>0</v>
      </c>
      <c r="AV138" s="249">
        <f>CF!AV163</f>
        <v>-10.5528435</v>
      </c>
      <c r="AW138" s="249">
        <f>CF!AW163</f>
        <v>-10.5528435</v>
      </c>
      <c r="AX138" s="161">
        <f t="shared" ref="AX138:AX144" si="454">+AV138+AW138</f>
        <v>-21.105687</v>
      </c>
      <c r="AY138" s="473">
        <f t="shared" ref="AY138:AY144" si="455">+AX138-AW138-AV138</f>
        <v>0</v>
      </c>
      <c r="AZ138" s="249">
        <f>CF!AZ163</f>
        <v>-10.76390037</v>
      </c>
      <c r="BA138" s="249">
        <f>CF!BA163</f>
        <v>-10.76390037</v>
      </c>
      <c r="BB138" s="161">
        <f t="shared" ref="BB138:BB144" si="456">+AZ138+BA138</f>
        <v>-21.52780074</v>
      </c>
      <c r="BC138" s="473">
        <f t="shared" ref="BC138:BC144" si="457">+BB138-BA138-AZ138</f>
        <v>0</v>
      </c>
      <c r="BD138" s="249">
        <f>CF!BD163</f>
        <v>-10.9791783774</v>
      </c>
      <c r="BE138" s="249">
        <f>CF!BE163</f>
        <v>-10.9791783774</v>
      </c>
      <c r="BF138" s="161">
        <f t="shared" ref="BF138:BF144" si="458">+BD138+BE138</f>
        <v>-21.9583567548</v>
      </c>
      <c r="BG138" s="473">
        <f t="shared" ref="BG138:BG144" si="459">+BF138-BE138-BD138</f>
        <v>0</v>
      </c>
      <c r="BH138" s="249">
        <f>CF!BH163</f>
        <v>-11.198761944948</v>
      </c>
      <c r="BI138" s="249">
        <f>CF!BI163</f>
        <v>-11.198761944948</v>
      </c>
      <c r="BJ138" s="161">
        <f t="shared" ref="BJ138:BJ144" si="460">+BH138+BI138</f>
        <v>-22.397523889896</v>
      </c>
      <c r="BK138" s="473">
        <f t="shared" ref="BK138:BK144" si="461">+BJ138-BI138-BH138</f>
        <v>0</v>
      </c>
      <c r="BL138" s="249">
        <f>CF!BL163</f>
        <v>-11.42273718384696</v>
      </c>
      <c r="BM138" s="249">
        <f>CF!BM163</f>
        <v>-11.42273718384696</v>
      </c>
      <c r="BN138" s="161">
        <f t="shared" ref="BN138:BN144" si="462">+BL138+BM138</f>
        <v>-22.845474367693921</v>
      </c>
      <c r="BO138" s="473">
        <f t="shared" ref="BO138:BO144" si="463">+BN138-BM138-BL138</f>
        <v>0</v>
      </c>
      <c r="BP138" s="249">
        <f>CF!BP163</f>
        <v>-11.6511919275239</v>
      </c>
      <c r="BQ138" s="249">
        <f>CF!BQ163</f>
        <v>-11.6511919275239</v>
      </c>
      <c r="BR138" s="161">
        <f t="shared" ref="BR138:BR144" si="464">+BP138+BQ138</f>
        <v>-23.3023838550478</v>
      </c>
      <c r="BS138" s="473">
        <f t="shared" ref="BS138:BS144" si="465">+BR138-BQ138-BP138</f>
        <v>0</v>
      </c>
      <c r="BT138" s="249">
        <f>CF!BT163</f>
        <v>-11.884215766074378</v>
      </c>
      <c r="BU138" s="249">
        <f>CF!BU163</f>
        <v>-11.884215766074378</v>
      </c>
      <c r="BV138" s="161">
        <f t="shared" ref="BV138:BV144" si="466">+BT138+BU138</f>
        <v>-23.768431532148757</v>
      </c>
      <c r="BW138" s="473">
        <f t="shared" ref="BW138:BW144" si="467">+BV138-BU138-BT138</f>
        <v>0</v>
      </c>
      <c r="BX138" s="249">
        <f>CF!BX163</f>
        <v>-12.121900081395866</v>
      </c>
      <c r="BY138" s="249">
        <f>CF!BY163</f>
        <v>-12.121900081395866</v>
      </c>
      <c r="BZ138" s="161">
        <f t="shared" ref="BZ138:BZ144" si="468">+BX138+BY138</f>
        <v>-24.243800162791732</v>
      </c>
    </row>
    <row r="139" spans="1:78" s="140" customFormat="1">
      <c r="A139" s="149"/>
      <c r="B139" s="337" t="s">
        <v>265</v>
      </c>
      <c r="C139" s="155" t="s">
        <v>406</v>
      </c>
      <c r="D139" s="799">
        <f t="shared" si="433"/>
        <v>0</v>
      </c>
      <c r="E139" s="218">
        <f t="shared" si="434"/>
        <v>0</v>
      </c>
      <c r="F139" s="230">
        <v>0</v>
      </c>
      <c r="G139" s="219"/>
      <c r="H139" s="799">
        <f t="shared" si="435"/>
        <v>0</v>
      </c>
      <c r="I139" s="218">
        <f t="shared" si="436"/>
        <v>0</v>
      </c>
      <c r="J139" s="230">
        <v>0</v>
      </c>
      <c r="K139" s="219"/>
      <c r="L139" s="799">
        <f t="shared" si="437"/>
        <v>0</v>
      </c>
      <c r="M139" s="218">
        <f t="shared" si="438"/>
        <v>0</v>
      </c>
      <c r="N139" s="230">
        <v>0</v>
      </c>
      <c r="O139" s="219"/>
      <c r="P139" s="799">
        <f t="shared" si="439"/>
        <v>0</v>
      </c>
      <c r="Q139" s="218">
        <f t="shared" si="440"/>
        <v>0</v>
      </c>
      <c r="R139" s="230">
        <v>0</v>
      </c>
      <c r="S139" s="219"/>
      <c r="T139" s="799">
        <f t="shared" si="441"/>
        <v>-2.4580000000000002</v>
      </c>
      <c r="U139" s="218">
        <f t="shared" si="442"/>
        <v>-2.4580000000000002</v>
      </c>
      <c r="V139" s="230">
        <f>-7.891+2.975</f>
        <v>-4.9160000000000004</v>
      </c>
      <c r="W139" s="138"/>
      <c r="X139" s="249">
        <f t="shared" si="443"/>
        <v>-0.65100000000000002</v>
      </c>
      <c r="Y139" s="161">
        <f t="shared" si="444"/>
        <v>-0.65100000000000002</v>
      </c>
      <c r="Z139" s="230">
        <v>-1.302</v>
      </c>
      <c r="AB139" s="249">
        <f t="shared" si="445"/>
        <v>-3.024</v>
      </c>
      <c r="AC139" s="161">
        <f t="shared" si="446"/>
        <v>-3.024</v>
      </c>
      <c r="AD139" s="230">
        <v>-6.048</v>
      </c>
      <c r="AF139" s="472">
        <f ca="1">+AG139*80%</f>
        <v>-2.7128888888888891</v>
      </c>
      <c r="AG139" s="161">
        <f t="shared" ca="1" si="447"/>
        <v>-3.391111111111111</v>
      </c>
      <c r="AH139" s="230">
        <v>-6.1040000000000001</v>
      </c>
      <c r="AJ139" s="472">
        <f ca="1">+AK139*80%</f>
        <v>-7.911111111111109E-2</v>
      </c>
      <c r="AK139" s="161">
        <f t="shared" ca="1" si="448"/>
        <v>-9.8888888888888901E-2</v>
      </c>
      <c r="AL139" s="230">
        <v>-0.17799999999999999</v>
      </c>
      <c r="AM139" s="473">
        <f t="shared" ca="1" si="449"/>
        <v>0</v>
      </c>
      <c r="AN139" s="185">
        <f ca="1">+AO139*80%</f>
        <v>-9.6888888888888872E-2</v>
      </c>
      <c r="AO139" s="161">
        <f t="shared" ca="1" si="450"/>
        <v>-0.12111111111111113</v>
      </c>
      <c r="AP139" s="916">
        <v>-0.218</v>
      </c>
      <c r="AQ139" s="473">
        <f t="shared" ca="1" si="451"/>
        <v>0</v>
      </c>
      <c r="AR139" s="475">
        <v>-2</v>
      </c>
      <c r="AS139" s="475">
        <v>-2</v>
      </c>
      <c r="AT139" s="161">
        <f t="shared" si="452"/>
        <v>-4</v>
      </c>
      <c r="AU139" s="473">
        <f t="shared" si="453"/>
        <v>0</v>
      </c>
      <c r="AV139" s="475">
        <v>-2</v>
      </c>
      <c r="AW139" s="475">
        <v>-2</v>
      </c>
      <c r="AX139" s="161">
        <f t="shared" si="454"/>
        <v>-4</v>
      </c>
      <c r="AY139" s="473">
        <f t="shared" si="455"/>
        <v>0</v>
      </c>
      <c r="AZ139" s="475">
        <v>-2</v>
      </c>
      <c r="BA139" s="475">
        <v>-2</v>
      </c>
      <c r="BB139" s="161">
        <f t="shared" si="456"/>
        <v>-4</v>
      </c>
      <c r="BC139" s="473">
        <f t="shared" si="457"/>
        <v>0</v>
      </c>
      <c r="BD139" s="475">
        <v>-2</v>
      </c>
      <c r="BE139" s="475">
        <v>-2</v>
      </c>
      <c r="BF139" s="161">
        <f t="shared" si="458"/>
        <v>-4</v>
      </c>
      <c r="BG139" s="473">
        <f t="shared" si="459"/>
        <v>0</v>
      </c>
      <c r="BH139" s="475">
        <v>-2</v>
      </c>
      <c r="BI139" s="475">
        <v>-2</v>
      </c>
      <c r="BJ139" s="161">
        <f t="shared" si="460"/>
        <v>-4</v>
      </c>
      <c r="BK139" s="473">
        <f t="shared" si="461"/>
        <v>0</v>
      </c>
      <c r="BL139" s="475">
        <v>-2</v>
      </c>
      <c r="BM139" s="475">
        <v>-2</v>
      </c>
      <c r="BN139" s="161">
        <f t="shared" si="462"/>
        <v>-4</v>
      </c>
      <c r="BO139" s="473">
        <f t="shared" si="463"/>
        <v>0</v>
      </c>
      <c r="BP139" s="475">
        <v>-2</v>
      </c>
      <c r="BQ139" s="475">
        <v>-2</v>
      </c>
      <c r="BR139" s="161">
        <f t="shared" si="464"/>
        <v>-4</v>
      </c>
      <c r="BS139" s="473">
        <f t="shared" si="465"/>
        <v>0</v>
      </c>
      <c r="BT139" s="475">
        <v>-2</v>
      </c>
      <c r="BU139" s="475">
        <v>-2</v>
      </c>
      <c r="BV139" s="161">
        <f t="shared" si="466"/>
        <v>-4</v>
      </c>
      <c r="BW139" s="473">
        <f t="shared" si="467"/>
        <v>0</v>
      </c>
      <c r="BX139" s="475">
        <v>-2</v>
      </c>
      <c r="BY139" s="475">
        <v>-2</v>
      </c>
      <c r="BZ139" s="161">
        <f t="shared" si="468"/>
        <v>-4</v>
      </c>
    </row>
    <row r="140" spans="1:78" s="140" customFormat="1">
      <c r="A140" s="149"/>
      <c r="B140" s="337" t="s">
        <v>266</v>
      </c>
      <c r="C140" s="155" t="s">
        <v>406</v>
      </c>
      <c r="D140" s="799">
        <f t="shared" si="433"/>
        <v>5.2780000000000005</v>
      </c>
      <c r="E140" s="218">
        <f t="shared" si="434"/>
        <v>5.2780000000000005</v>
      </c>
      <c r="F140" s="230">
        <f>9.906+0.65</f>
        <v>10.556000000000001</v>
      </c>
      <c r="G140" s="219"/>
      <c r="H140" s="799">
        <f t="shared" si="435"/>
        <v>-0.872</v>
      </c>
      <c r="I140" s="218">
        <f t="shared" si="436"/>
        <v>-0.872</v>
      </c>
      <c r="J140" s="230">
        <v>-1.744</v>
      </c>
      <c r="K140" s="219"/>
      <c r="L140" s="799">
        <f t="shared" si="437"/>
        <v>1.9929999999999999</v>
      </c>
      <c r="M140" s="218">
        <f t="shared" si="438"/>
        <v>1.9929999999999999</v>
      </c>
      <c r="N140" s="230">
        <f>4.313-0.327</f>
        <v>3.9859999999999998</v>
      </c>
      <c r="O140" s="219"/>
      <c r="P140" s="799">
        <f t="shared" si="439"/>
        <v>-17.096499999999999</v>
      </c>
      <c r="Q140" s="218">
        <f t="shared" si="440"/>
        <v>-17.096499999999999</v>
      </c>
      <c r="R140" s="230">
        <v>-34.192999999999998</v>
      </c>
      <c r="S140" s="219"/>
      <c r="T140" s="799">
        <f t="shared" si="441"/>
        <v>1.1135000000000002</v>
      </c>
      <c r="U140" s="218">
        <f t="shared" si="442"/>
        <v>1.1135000000000002</v>
      </c>
      <c r="V140" s="230">
        <f>-2.146+4.373</f>
        <v>2.2270000000000003</v>
      </c>
      <c r="W140" s="138"/>
      <c r="X140" s="249">
        <f t="shared" si="443"/>
        <v>-1.7410000000000001</v>
      </c>
      <c r="Y140" s="161">
        <f t="shared" si="444"/>
        <v>-1.7410000000000001</v>
      </c>
      <c r="Z140" s="230">
        <v>-3.4820000000000002</v>
      </c>
      <c r="AB140" s="249">
        <f t="shared" si="445"/>
        <v>-14.9785</v>
      </c>
      <c r="AC140" s="161">
        <f t="shared" si="446"/>
        <v>-14.9785</v>
      </c>
      <c r="AD140" s="230">
        <v>-29.957000000000001</v>
      </c>
      <c r="AF140" s="249">
        <f ca="1">+AF138*40%</f>
        <v>1.4029333333333334</v>
      </c>
      <c r="AG140" s="161">
        <f t="shared" ca="1" si="447"/>
        <v>-14.459933333333334</v>
      </c>
      <c r="AH140" s="230">
        <v>-13.057</v>
      </c>
      <c r="AJ140" s="249">
        <f ca="1">+AJ138*40%</f>
        <v>2.0720000000000001</v>
      </c>
      <c r="AK140" s="161">
        <f t="shared" ca="1" si="448"/>
        <v>-3.4460000000000002</v>
      </c>
      <c r="AL140" s="230">
        <v>-1.3740000000000001</v>
      </c>
      <c r="AM140" s="473">
        <f t="shared" ca="1" si="449"/>
        <v>0</v>
      </c>
      <c r="AN140" s="477">
        <f ca="1">+AN138*40%</f>
        <v>10.347466666666666</v>
      </c>
      <c r="AO140" s="161">
        <f t="shared" ca="1" si="450"/>
        <v>-34.874466666666663</v>
      </c>
      <c r="AP140" s="916">
        <v>-24.527000000000001</v>
      </c>
      <c r="AQ140" s="473">
        <f t="shared" ca="1" si="451"/>
        <v>0</v>
      </c>
      <c r="AR140" s="249">
        <f>+AR138*40%</f>
        <v>-4.1667149999999999</v>
      </c>
      <c r="AS140" s="249">
        <f>+AS138*40%</f>
        <v>-4.1383700000000001</v>
      </c>
      <c r="AT140" s="161">
        <f t="shared" si="452"/>
        <v>-8.3050850000000001</v>
      </c>
      <c r="AU140" s="473">
        <f t="shared" si="453"/>
        <v>0</v>
      </c>
      <c r="AV140" s="249">
        <f>+AV138*40%</f>
        <v>-4.2211373999999999</v>
      </c>
      <c r="AW140" s="249">
        <f>+AW138*40%</f>
        <v>-4.2211373999999999</v>
      </c>
      <c r="AX140" s="161">
        <f t="shared" si="454"/>
        <v>-8.4422747999999999</v>
      </c>
      <c r="AY140" s="473">
        <f t="shared" si="455"/>
        <v>0</v>
      </c>
      <c r="AZ140" s="249">
        <f>+AZ138*40%</f>
        <v>-4.3055601480000005</v>
      </c>
      <c r="BA140" s="249">
        <f>+BA138*40%</f>
        <v>-4.3055601480000005</v>
      </c>
      <c r="BB140" s="161">
        <f t="shared" si="456"/>
        <v>-8.6111202960000011</v>
      </c>
      <c r="BC140" s="473">
        <f t="shared" si="457"/>
        <v>0</v>
      </c>
      <c r="BD140" s="249">
        <f>+BD138*40%</f>
        <v>-4.3916713509600003</v>
      </c>
      <c r="BE140" s="249">
        <f>+BE138*40%</f>
        <v>-4.3916713509600003</v>
      </c>
      <c r="BF140" s="161">
        <f t="shared" si="458"/>
        <v>-8.7833427019200006</v>
      </c>
      <c r="BG140" s="473">
        <f t="shared" si="459"/>
        <v>0</v>
      </c>
      <c r="BH140" s="249">
        <f>+BH138*40%</f>
        <v>-4.4795047779792005</v>
      </c>
      <c r="BI140" s="249">
        <f>+BI138*40%</f>
        <v>-4.4795047779792005</v>
      </c>
      <c r="BJ140" s="161">
        <f t="shared" si="460"/>
        <v>-8.9590095559584011</v>
      </c>
      <c r="BK140" s="473">
        <f t="shared" si="461"/>
        <v>0</v>
      </c>
      <c r="BL140" s="249">
        <f>+BL138*40%</f>
        <v>-4.5690948735387842</v>
      </c>
      <c r="BM140" s="249">
        <f>+BM138*40%</f>
        <v>-4.5690948735387842</v>
      </c>
      <c r="BN140" s="161">
        <f t="shared" si="462"/>
        <v>-9.1381897470775684</v>
      </c>
      <c r="BO140" s="473">
        <f t="shared" si="463"/>
        <v>0</v>
      </c>
      <c r="BP140" s="249">
        <f>+BP138*40%</f>
        <v>-4.6604767710095603</v>
      </c>
      <c r="BQ140" s="249">
        <f>+BQ138*40%</f>
        <v>-4.6604767710095603</v>
      </c>
      <c r="BR140" s="161">
        <f t="shared" si="464"/>
        <v>-9.3209535420191205</v>
      </c>
      <c r="BS140" s="473">
        <f t="shared" si="465"/>
        <v>0</v>
      </c>
      <c r="BT140" s="249">
        <f>+BT138*40%</f>
        <v>-4.7536863064297519</v>
      </c>
      <c r="BU140" s="249">
        <f>+BU138*40%</f>
        <v>-4.7536863064297519</v>
      </c>
      <c r="BV140" s="161">
        <f t="shared" si="466"/>
        <v>-9.5073726128595037</v>
      </c>
      <c r="BW140" s="473">
        <f t="shared" si="467"/>
        <v>0</v>
      </c>
      <c r="BX140" s="249">
        <f>+BX138*40%</f>
        <v>-4.8487600325583466</v>
      </c>
      <c r="BY140" s="249">
        <f>+BY138*40%</f>
        <v>-4.8487600325583466</v>
      </c>
      <c r="BZ140" s="161">
        <f t="shared" si="468"/>
        <v>-9.6975200651166933</v>
      </c>
    </row>
    <row r="141" spans="1:78" s="140" customFormat="1">
      <c r="A141" s="149"/>
      <c r="B141" s="337" t="s">
        <v>267</v>
      </c>
      <c r="C141" s="155" t="s">
        <v>406</v>
      </c>
      <c r="D141" s="799">
        <f t="shared" si="433"/>
        <v>-11.1785</v>
      </c>
      <c r="E141" s="218">
        <f t="shared" si="434"/>
        <v>-11.1785</v>
      </c>
      <c r="F141" s="230">
        <v>-22.356999999999999</v>
      </c>
      <c r="G141" s="219"/>
      <c r="H141" s="799">
        <f t="shared" si="435"/>
        <v>0</v>
      </c>
      <c r="I141" s="218">
        <f t="shared" si="436"/>
        <v>0</v>
      </c>
      <c r="J141" s="230">
        <v>0</v>
      </c>
      <c r="K141" s="219"/>
      <c r="L141" s="799">
        <f t="shared" si="437"/>
        <v>0</v>
      </c>
      <c r="M141" s="218">
        <f t="shared" si="438"/>
        <v>0</v>
      </c>
      <c r="N141" s="230">
        <v>0</v>
      </c>
      <c r="O141" s="219"/>
      <c r="P141" s="799">
        <f t="shared" si="439"/>
        <v>0</v>
      </c>
      <c r="Q141" s="218">
        <f t="shared" si="440"/>
        <v>0</v>
      </c>
      <c r="R141" s="230">
        <v>0</v>
      </c>
      <c r="S141" s="219"/>
      <c r="T141" s="799">
        <f t="shared" si="441"/>
        <v>0</v>
      </c>
      <c r="U141" s="218">
        <f t="shared" si="442"/>
        <v>0</v>
      </c>
      <c r="V141" s="230">
        <v>0</v>
      </c>
      <c r="W141" s="138"/>
      <c r="X141" s="249">
        <f t="shared" si="443"/>
        <v>0</v>
      </c>
      <c r="Y141" s="161">
        <f t="shared" si="444"/>
        <v>0</v>
      </c>
      <c r="Z141" s="230">
        <v>0</v>
      </c>
      <c r="AB141" s="249">
        <f t="shared" si="445"/>
        <v>1.7000000000000001E-2</v>
      </c>
      <c r="AC141" s="161">
        <f t="shared" si="446"/>
        <v>1.7000000000000001E-2</v>
      </c>
      <c r="AD141" s="230">
        <v>3.4000000000000002E-2</v>
      </c>
      <c r="AF141" s="472">
        <f ca="1">+AG141</f>
        <v>-1.234</v>
      </c>
      <c r="AG141" s="161">
        <f t="shared" ca="1" si="447"/>
        <v>1.6999999999999904E-2</v>
      </c>
      <c r="AH141" s="230">
        <f>0.569-1.786</f>
        <v>-1.2170000000000001</v>
      </c>
      <c r="AJ141" s="472">
        <f ca="1">+AK141</f>
        <v>-1.6999999999999904E-2</v>
      </c>
      <c r="AK141" s="161">
        <f t="shared" ca="1" si="448"/>
        <v>1.6999999999999904E-2</v>
      </c>
      <c r="AL141" s="230">
        <v>0</v>
      </c>
      <c r="AM141" s="473">
        <f t="shared" ca="1" si="449"/>
        <v>0</v>
      </c>
      <c r="AN141" s="475">
        <v>0</v>
      </c>
      <c r="AO141" s="161">
        <f t="shared" si="450"/>
        <v>-6.3250000000000002</v>
      </c>
      <c r="AP141" s="916">
        <v>-6.3250000000000002</v>
      </c>
      <c r="AQ141" s="473">
        <f t="shared" si="451"/>
        <v>0</v>
      </c>
      <c r="AR141" s="475">
        <v>0</v>
      </c>
      <c r="AS141" s="475">
        <v>0</v>
      </c>
      <c r="AT141" s="161">
        <f t="shared" si="452"/>
        <v>0</v>
      </c>
      <c r="AU141" s="473">
        <f t="shared" si="453"/>
        <v>0</v>
      </c>
      <c r="AV141" s="475">
        <v>0</v>
      </c>
      <c r="AW141" s="475">
        <v>0</v>
      </c>
      <c r="AX141" s="161">
        <f t="shared" si="454"/>
        <v>0</v>
      </c>
      <c r="AY141" s="473">
        <f t="shared" si="455"/>
        <v>0</v>
      </c>
      <c r="AZ141" s="475">
        <v>0</v>
      </c>
      <c r="BA141" s="475">
        <v>0</v>
      </c>
      <c r="BB141" s="161">
        <f t="shared" si="456"/>
        <v>0</v>
      </c>
      <c r="BC141" s="473">
        <f t="shared" si="457"/>
        <v>0</v>
      </c>
      <c r="BD141" s="475">
        <v>0</v>
      </c>
      <c r="BE141" s="475">
        <v>0</v>
      </c>
      <c r="BF141" s="161">
        <f t="shared" si="458"/>
        <v>0</v>
      </c>
      <c r="BG141" s="473">
        <f t="shared" si="459"/>
        <v>0</v>
      </c>
      <c r="BH141" s="475">
        <v>0</v>
      </c>
      <c r="BI141" s="475">
        <v>0</v>
      </c>
      <c r="BJ141" s="161">
        <f t="shared" si="460"/>
        <v>0</v>
      </c>
      <c r="BK141" s="473">
        <f t="shared" si="461"/>
        <v>0</v>
      </c>
      <c r="BL141" s="475">
        <v>0</v>
      </c>
      <c r="BM141" s="475">
        <v>0</v>
      </c>
      <c r="BN141" s="161">
        <f t="shared" si="462"/>
        <v>0</v>
      </c>
      <c r="BO141" s="473">
        <f t="shared" si="463"/>
        <v>0</v>
      </c>
      <c r="BP141" s="475">
        <v>0</v>
      </c>
      <c r="BQ141" s="475">
        <v>0</v>
      </c>
      <c r="BR141" s="161">
        <f t="shared" si="464"/>
        <v>0</v>
      </c>
      <c r="BS141" s="473">
        <f t="shared" si="465"/>
        <v>0</v>
      </c>
      <c r="BT141" s="475">
        <v>0</v>
      </c>
      <c r="BU141" s="475">
        <v>0</v>
      </c>
      <c r="BV141" s="161">
        <f t="shared" si="466"/>
        <v>0</v>
      </c>
      <c r="BW141" s="473">
        <f t="shared" si="467"/>
        <v>0</v>
      </c>
      <c r="BX141" s="475">
        <v>0</v>
      </c>
      <c r="BY141" s="475">
        <v>0</v>
      </c>
      <c r="BZ141" s="161">
        <f t="shared" si="468"/>
        <v>0</v>
      </c>
    </row>
    <row r="142" spans="1:78" s="140" customFormat="1">
      <c r="A142" s="149"/>
      <c r="B142" s="337" t="s">
        <v>272</v>
      </c>
      <c r="C142" s="155" t="s">
        <v>406</v>
      </c>
      <c r="D142" s="799">
        <f t="shared" si="433"/>
        <v>10.520499999999998</v>
      </c>
      <c r="E142" s="218">
        <f t="shared" si="434"/>
        <v>10.520499999999998</v>
      </c>
      <c r="F142" s="230">
        <f>23.272-2.231</f>
        <v>21.040999999999997</v>
      </c>
      <c r="G142" s="219"/>
      <c r="H142" s="799">
        <f t="shared" si="435"/>
        <v>11.003</v>
      </c>
      <c r="I142" s="218">
        <f t="shared" si="436"/>
        <v>11.003</v>
      </c>
      <c r="J142" s="230">
        <f>24.67-2.664</f>
        <v>22.006</v>
      </c>
      <c r="K142" s="219"/>
      <c r="L142" s="799">
        <f t="shared" si="437"/>
        <v>14.9955</v>
      </c>
      <c r="M142" s="218">
        <f t="shared" si="438"/>
        <v>14.9955</v>
      </c>
      <c r="N142" s="230">
        <v>29.991</v>
      </c>
      <c r="O142" s="219"/>
      <c r="P142" s="799">
        <f t="shared" si="439"/>
        <v>10.905500000000002</v>
      </c>
      <c r="Q142" s="218">
        <f t="shared" si="440"/>
        <v>10.905500000000002</v>
      </c>
      <c r="R142" s="230">
        <f>27.367-3.868-1.435-0.253</f>
        <v>21.811000000000003</v>
      </c>
      <c r="S142" s="219"/>
      <c r="T142" s="799">
        <f t="shared" si="441"/>
        <v>14.596500000000001</v>
      </c>
      <c r="U142" s="218">
        <f t="shared" si="442"/>
        <v>14.596500000000001</v>
      </c>
      <c r="V142" s="230">
        <f>29.571-0.378</f>
        <v>29.193000000000001</v>
      </c>
      <c r="W142" s="138"/>
      <c r="X142" s="249">
        <f t="shared" si="443"/>
        <v>18.664000000000001</v>
      </c>
      <c r="Y142" s="161">
        <f t="shared" si="444"/>
        <v>18.664000000000001</v>
      </c>
      <c r="Z142" s="230">
        <v>37.328000000000003</v>
      </c>
      <c r="AB142" s="249">
        <f t="shared" si="445"/>
        <v>19.526499999999999</v>
      </c>
      <c r="AC142" s="161">
        <f t="shared" si="446"/>
        <v>19.526499999999999</v>
      </c>
      <c r="AD142" s="230">
        <v>39.052999999999997</v>
      </c>
      <c r="AF142" s="471">
        <f>+AB142*(1+AF147)</f>
        <v>21.088619999999999</v>
      </c>
      <c r="AG142" s="161">
        <f t="shared" si="447"/>
        <v>14.601379999999999</v>
      </c>
      <c r="AH142" s="230">
        <v>35.69</v>
      </c>
      <c r="AJ142" s="471">
        <f>+AF142*(1+AJ147)</f>
        <v>22.775709599999999</v>
      </c>
      <c r="AK142" s="161">
        <f t="shared" si="448"/>
        <v>13.378290400000004</v>
      </c>
      <c r="AL142" s="230">
        <v>36.154000000000003</v>
      </c>
      <c r="AM142" s="473">
        <f t="shared" si="449"/>
        <v>0</v>
      </c>
      <c r="AN142" s="471">
        <f>+AJ142*(1+AN147)</f>
        <v>24.597766368000002</v>
      </c>
      <c r="AO142" s="161">
        <f t="shared" si="450"/>
        <v>22.592233631999996</v>
      </c>
      <c r="AP142" s="916">
        <v>47.19</v>
      </c>
      <c r="AQ142" s="473">
        <f t="shared" si="451"/>
        <v>0</v>
      </c>
      <c r="AR142" s="471">
        <f>+AN142*(1+AR147)</f>
        <v>26.565587677440003</v>
      </c>
      <c r="AS142" s="471">
        <f>+AO142*(1+AS147)</f>
        <v>24.399612322559996</v>
      </c>
      <c r="AT142" s="161">
        <f t="shared" si="452"/>
        <v>50.965199999999996</v>
      </c>
      <c r="AU142" s="473">
        <f t="shared" si="453"/>
        <v>0</v>
      </c>
      <c r="AV142" s="471">
        <f>+AR142*(1+AV147)</f>
        <v>28.690834691635207</v>
      </c>
      <c r="AW142" s="471">
        <f>+AS142*(1+AW147)</f>
        <v>26.351581308364796</v>
      </c>
      <c r="AX142" s="161">
        <f t="shared" si="454"/>
        <v>55.042416000000003</v>
      </c>
      <c r="AY142" s="473">
        <f t="shared" si="455"/>
        <v>0</v>
      </c>
      <c r="AZ142" s="471">
        <f>+AV142*(1+AZ147)</f>
        <v>30.986101466966026</v>
      </c>
      <c r="BA142" s="471">
        <f>+AW142*(1+BA147)</f>
        <v>28.459707813033983</v>
      </c>
      <c r="BB142" s="161">
        <f t="shared" si="456"/>
        <v>59.445809280000006</v>
      </c>
      <c r="BC142" s="473">
        <f t="shared" si="457"/>
        <v>0</v>
      </c>
      <c r="BD142" s="471">
        <f>+AZ142*(1+BD147)</f>
        <v>33.464989584323312</v>
      </c>
      <c r="BE142" s="471">
        <f>+BA142*(1+BE147)</f>
        <v>30.736484438076705</v>
      </c>
      <c r="BF142" s="161">
        <f t="shared" si="458"/>
        <v>64.201474022400021</v>
      </c>
      <c r="BG142" s="473">
        <f t="shared" si="459"/>
        <v>0</v>
      </c>
      <c r="BH142" s="471">
        <f>+BD142*(1+BH147)</f>
        <v>36.142188751069177</v>
      </c>
      <c r="BI142" s="471">
        <f>+BE142*(1+BI147)</f>
        <v>33.195403193122843</v>
      </c>
      <c r="BJ142" s="161">
        <f t="shared" si="460"/>
        <v>69.337591944192013</v>
      </c>
      <c r="BK142" s="473">
        <f t="shared" si="461"/>
        <v>0</v>
      </c>
      <c r="BL142" s="471">
        <f>+BH142*(1+BL147)</f>
        <v>39.033563851154717</v>
      </c>
      <c r="BM142" s="471">
        <f>+BI142*(1+BM147)</f>
        <v>35.851035448572674</v>
      </c>
      <c r="BN142" s="161">
        <f t="shared" si="462"/>
        <v>74.884599299727398</v>
      </c>
      <c r="BO142" s="473">
        <f t="shared" si="463"/>
        <v>0</v>
      </c>
      <c r="BP142" s="471">
        <f>+BL142*(1+BP147)</f>
        <v>42.156248959247101</v>
      </c>
      <c r="BQ142" s="471">
        <f>+BM142*(1+BQ147)</f>
        <v>38.719118284458489</v>
      </c>
      <c r="BR142" s="161">
        <f t="shared" si="464"/>
        <v>80.875367243705597</v>
      </c>
      <c r="BS142" s="473">
        <f t="shared" si="465"/>
        <v>0</v>
      </c>
      <c r="BT142" s="471">
        <f>+BP142*(1+BT147)</f>
        <v>45.528748875986871</v>
      </c>
      <c r="BU142" s="471">
        <f>+BQ142*(1+BU147)</f>
        <v>41.816647747215171</v>
      </c>
      <c r="BV142" s="161">
        <f t="shared" si="466"/>
        <v>87.345396623202049</v>
      </c>
      <c r="BW142" s="473">
        <f t="shared" si="467"/>
        <v>0</v>
      </c>
      <c r="BX142" s="471">
        <f>+BT142*(1+BX147)</f>
        <v>49.171048786065825</v>
      </c>
      <c r="BY142" s="471">
        <f>+BU142*(1+BY147)</f>
        <v>45.161979566992386</v>
      </c>
      <c r="BZ142" s="161">
        <f t="shared" si="468"/>
        <v>94.333028353058211</v>
      </c>
    </row>
    <row r="143" spans="1:78" s="140" customFormat="1">
      <c r="A143" s="149"/>
      <c r="B143" s="337" t="s">
        <v>269</v>
      </c>
      <c r="C143" s="155" t="s">
        <v>406</v>
      </c>
      <c r="D143" s="799">
        <f t="shared" si="433"/>
        <v>-10.227</v>
      </c>
      <c r="E143" s="218">
        <f t="shared" si="434"/>
        <v>-10.227</v>
      </c>
      <c r="F143" s="230">
        <v>-20.454000000000001</v>
      </c>
      <c r="G143" s="219"/>
      <c r="H143" s="799">
        <f t="shared" si="435"/>
        <v>-10.919499999999999</v>
      </c>
      <c r="I143" s="218">
        <f t="shared" si="436"/>
        <v>-10.919499999999999</v>
      </c>
      <c r="J143" s="230">
        <v>-21.838999999999999</v>
      </c>
      <c r="K143" s="219"/>
      <c r="L143" s="799">
        <f t="shared" si="437"/>
        <v>-11.31</v>
      </c>
      <c r="M143" s="218">
        <f t="shared" si="438"/>
        <v>-11.31</v>
      </c>
      <c r="N143" s="230">
        <v>-22.62</v>
      </c>
      <c r="O143" s="219"/>
      <c r="P143" s="799">
        <f t="shared" si="439"/>
        <v>-13.185499999999999</v>
      </c>
      <c r="Q143" s="218">
        <f t="shared" si="440"/>
        <v>-13.185499999999999</v>
      </c>
      <c r="R143" s="230">
        <v>-26.370999999999999</v>
      </c>
      <c r="S143" s="219"/>
      <c r="T143" s="799">
        <f t="shared" si="441"/>
        <v>-12.2</v>
      </c>
      <c r="U143" s="218">
        <f t="shared" si="442"/>
        <v>-12.2</v>
      </c>
      <c r="V143" s="230">
        <v>-24.4</v>
      </c>
      <c r="W143" s="138"/>
      <c r="X143" s="249">
        <f t="shared" si="443"/>
        <v>-17.126000000000001</v>
      </c>
      <c r="Y143" s="161">
        <f t="shared" si="444"/>
        <v>-17.126000000000001</v>
      </c>
      <c r="Z143" s="230">
        <v>-34.252000000000002</v>
      </c>
      <c r="AB143" s="249">
        <f t="shared" si="445"/>
        <v>-21.5745</v>
      </c>
      <c r="AC143" s="161">
        <f t="shared" si="446"/>
        <v>-21.5745</v>
      </c>
      <c r="AD143" s="230">
        <v>-43.149000000000001</v>
      </c>
      <c r="AF143" s="218">
        <f>-AF142*AF148</f>
        <v>-18.979758</v>
      </c>
      <c r="AG143" s="161">
        <f t="shared" si="447"/>
        <v>-18.909242000000003</v>
      </c>
      <c r="AH143" s="230">
        <v>-37.889000000000003</v>
      </c>
      <c r="AJ143" s="218">
        <f>-AJ142*AJ148</f>
        <v>-20.498138640000001</v>
      </c>
      <c r="AK143" s="161">
        <f t="shared" si="448"/>
        <v>-17.474861359999998</v>
      </c>
      <c r="AL143" s="230">
        <v>-37.972999999999999</v>
      </c>
      <c r="AM143" s="473">
        <f t="shared" si="449"/>
        <v>0</v>
      </c>
      <c r="AN143" s="161">
        <f>-AN142*AN148</f>
        <v>-22.137989731200001</v>
      </c>
      <c r="AO143" s="161">
        <f t="shared" si="450"/>
        <v>-21.815010268800002</v>
      </c>
      <c r="AP143" s="916">
        <v>-43.953000000000003</v>
      </c>
      <c r="AQ143" s="473">
        <f t="shared" si="451"/>
        <v>0</v>
      </c>
      <c r="AR143" s="218">
        <f>-AR142*AR148</f>
        <v>-23.909028909696005</v>
      </c>
      <c r="AS143" s="218">
        <f>-AS142*AS148</f>
        <v>-21.959651090303996</v>
      </c>
      <c r="AT143" s="161">
        <f t="shared" si="452"/>
        <v>-45.868679999999998</v>
      </c>
      <c r="AU143" s="473">
        <f t="shared" si="453"/>
        <v>0</v>
      </c>
      <c r="AV143" s="218">
        <f>-AV142*AV148</f>
        <v>-25.821751222471686</v>
      </c>
      <c r="AW143" s="218">
        <f>-AW142*AW148</f>
        <v>-23.716423177528316</v>
      </c>
      <c r="AX143" s="161">
        <f t="shared" si="454"/>
        <v>-49.538174400000003</v>
      </c>
      <c r="AY143" s="473">
        <f t="shared" si="455"/>
        <v>0</v>
      </c>
      <c r="AZ143" s="218">
        <f>-AZ142*AZ148</f>
        <v>-27.887491320269426</v>
      </c>
      <c r="BA143" s="218">
        <f>-BA142*BA148</f>
        <v>-25.613737031730587</v>
      </c>
      <c r="BB143" s="161">
        <f t="shared" si="456"/>
        <v>-53.501228352000012</v>
      </c>
      <c r="BC143" s="473">
        <f t="shared" si="457"/>
        <v>0</v>
      </c>
      <c r="BD143" s="218">
        <f>-BD142*BD148</f>
        <v>-30.118490625890981</v>
      </c>
      <c r="BE143" s="218">
        <f>-BE142*BE148</f>
        <v>-27.662835994269035</v>
      </c>
      <c r="BF143" s="161">
        <f t="shared" si="458"/>
        <v>-57.781326620160016</v>
      </c>
      <c r="BG143" s="473">
        <f t="shared" si="459"/>
        <v>0</v>
      </c>
      <c r="BH143" s="218">
        <f>-BH142*BH148</f>
        <v>-32.527969875962263</v>
      </c>
      <c r="BI143" s="218">
        <f>-BI142*BI148</f>
        <v>-29.875862873810558</v>
      </c>
      <c r="BJ143" s="161">
        <f t="shared" si="460"/>
        <v>-62.403832749772818</v>
      </c>
      <c r="BK143" s="473">
        <f t="shared" si="461"/>
        <v>0</v>
      </c>
      <c r="BL143" s="218">
        <f>-BL142*BL148</f>
        <v>-35.130207466039245</v>
      </c>
      <c r="BM143" s="218">
        <f>-BM142*BM148</f>
        <v>-32.265931903715405</v>
      </c>
      <c r="BN143" s="161">
        <f t="shared" si="462"/>
        <v>-67.39613936975465</v>
      </c>
      <c r="BO143" s="473">
        <f t="shared" si="463"/>
        <v>0</v>
      </c>
      <c r="BP143" s="218">
        <f>-BP142*BP148</f>
        <v>-37.940624063322389</v>
      </c>
      <c r="BQ143" s="218">
        <f>-BQ142*BQ148</f>
        <v>-34.847206456012643</v>
      </c>
      <c r="BR143" s="161">
        <f t="shared" si="464"/>
        <v>-72.787830519335031</v>
      </c>
      <c r="BS143" s="473">
        <f t="shared" si="465"/>
        <v>0</v>
      </c>
      <c r="BT143" s="218">
        <f>-BT142*BT148</f>
        <v>-40.975873988388187</v>
      </c>
      <c r="BU143" s="218">
        <f>-BU142*BU148</f>
        <v>-37.634982972493653</v>
      </c>
      <c r="BV143" s="161">
        <f t="shared" si="466"/>
        <v>-78.610856960881847</v>
      </c>
      <c r="BW143" s="473">
        <f t="shared" si="467"/>
        <v>0</v>
      </c>
      <c r="BX143" s="218">
        <f>-BX142*BX148</f>
        <v>-44.253943907459245</v>
      </c>
      <c r="BY143" s="218">
        <f>-BY142*BY148</f>
        <v>-40.645781610293149</v>
      </c>
      <c r="BZ143" s="161">
        <f t="shared" si="468"/>
        <v>-84.899725517752387</v>
      </c>
    </row>
    <row r="144" spans="1:78" s="140" customFormat="1">
      <c r="A144" s="149"/>
      <c r="B144" s="337" t="s">
        <v>270</v>
      </c>
      <c r="C144" s="155" t="s">
        <v>406</v>
      </c>
      <c r="D144" s="218">
        <f>+D145-SUM(D137:D143)</f>
        <v>-6.1504999999999654</v>
      </c>
      <c r="E144" s="218">
        <f t="shared" si="434"/>
        <v>6.6264999999999654</v>
      </c>
      <c r="F144" s="230">
        <v>0.47599999999999998</v>
      </c>
      <c r="G144" s="219"/>
      <c r="H144" s="218">
        <f>+H145-SUM(H137:H143)</f>
        <v>-5.6125000000000114</v>
      </c>
      <c r="I144" s="218">
        <f t="shared" si="436"/>
        <v>5.6225000000000112</v>
      </c>
      <c r="J144" s="230">
        <v>0.01</v>
      </c>
      <c r="K144" s="219"/>
      <c r="L144" s="218">
        <f>+L145-SUM(L137:L143)</f>
        <v>-3.810499999999962</v>
      </c>
      <c r="M144" s="218">
        <f t="shared" si="438"/>
        <v>3.5584999999999622</v>
      </c>
      <c r="N144" s="230">
        <v>-0.252</v>
      </c>
      <c r="O144" s="219"/>
      <c r="P144" s="218">
        <f>+P145-SUM(P137:P143)</f>
        <v>-6.4055000000000177</v>
      </c>
      <c r="Q144" s="218">
        <f t="shared" si="440"/>
        <v>7.233500000000018</v>
      </c>
      <c r="R144" s="230">
        <v>0.82799999999999996</v>
      </c>
      <c r="S144" s="219"/>
      <c r="T144" s="218">
        <f>+T145-SUM(T137:T143)</f>
        <v>-72.147499999999994</v>
      </c>
      <c r="U144" s="218">
        <f t="shared" si="442"/>
        <v>71.604499999999987</v>
      </c>
      <c r="V144" s="230">
        <v>-0.54300000000000004</v>
      </c>
      <c r="W144" s="138"/>
      <c r="X144" s="161">
        <f>+X145-SUM(X137:X143)</f>
        <v>-8.4714999999999918</v>
      </c>
      <c r="Y144" s="161">
        <f t="shared" si="444"/>
        <v>8.5504999999999924</v>
      </c>
      <c r="Z144" s="230">
        <v>7.9000000000000001E-2</v>
      </c>
      <c r="AB144" s="161">
        <f>+AB145-SUM(AB137:AB143)</f>
        <v>10.21350000000001</v>
      </c>
      <c r="AC144" s="161">
        <f t="shared" si="446"/>
        <v>-10.241500000000011</v>
      </c>
      <c r="AD144" s="230">
        <v>-2.8000000000000001E-2</v>
      </c>
      <c r="AF144" s="161">
        <f ca="1">+AF145-SUM(AF137:AF143)</f>
        <v>-3.3742397777777455</v>
      </c>
      <c r="AG144" s="161">
        <f t="shared" ca="1" si="447"/>
        <v>3.8552397777777454</v>
      </c>
      <c r="AH144" s="230">
        <v>0.48099999999999998</v>
      </c>
      <c r="AJ144" s="161">
        <f ca="1">+AJ145-SUM(AJ137:AJ143)</f>
        <v>0.8245401511110515</v>
      </c>
      <c r="AK144" s="161">
        <f t="shared" ca="1" si="448"/>
        <v>-0.60854015111105153</v>
      </c>
      <c r="AL144" s="230">
        <v>0.216</v>
      </c>
      <c r="AM144" s="473">
        <f t="shared" ca="1" si="449"/>
        <v>0</v>
      </c>
      <c r="AN144" s="161">
        <f ca="1">+AN145-SUM(AN137:AN143)</f>
        <v>23.698978918755529</v>
      </c>
      <c r="AO144" s="161">
        <f t="shared" ca="1" si="450"/>
        <v>-22.52797891875548</v>
      </c>
      <c r="AP144" s="916">
        <f>301.855-SUM(AP137:AP143)</f>
        <v>1.1710000000000491</v>
      </c>
      <c r="AQ144" s="473">
        <f t="shared" ca="1" si="451"/>
        <v>0</v>
      </c>
      <c r="AR144" s="475">
        <v>0</v>
      </c>
      <c r="AS144" s="475">
        <v>0</v>
      </c>
      <c r="AT144" s="161">
        <f t="shared" si="452"/>
        <v>0</v>
      </c>
      <c r="AU144" s="473">
        <f t="shared" si="453"/>
        <v>0</v>
      </c>
      <c r="AV144" s="475">
        <v>0</v>
      </c>
      <c r="AW144" s="475">
        <v>0</v>
      </c>
      <c r="AX144" s="161">
        <f t="shared" si="454"/>
        <v>0</v>
      </c>
      <c r="AY144" s="473">
        <f t="shared" si="455"/>
        <v>0</v>
      </c>
      <c r="AZ144" s="475">
        <v>0</v>
      </c>
      <c r="BA144" s="475">
        <v>0</v>
      </c>
      <c r="BB144" s="161">
        <f t="shared" si="456"/>
        <v>0</v>
      </c>
      <c r="BC144" s="473">
        <f t="shared" si="457"/>
        <v>0</v>
      </c>
      <c r="BD144" s="475">
        <v>0</v>
      </c>
      <c r="BE144" s="475">
        <v>0</v>
      </c>
      <c r="BF144" s="161">
        <f t="shared" si="458"/>
        <v>0</v>
      </c>
      <c r="BG144" s="473">
        <f t="shared" si="459"/>
        <v>0</v>
      </c>
      <c r="BH144" s="475">
        <v>0</v>
      </c>
      <c r="BI144" s="475">
        <v>0</v>
      </c>
      <c r="BJ144" s="161">
        <f t="shared" si="460"/>
        <v>0</v>
      </c>
      <c r="BK144" s="473">
        <f t="shared" si="461"/>
        <v>0</v>
      </c>
      <c r="BL144" s="475">
        <v>0</v>
      </c>
      <c r="BM144" s="475">
        <v>0</v>
      </c>
      <c r="BN144" s="161">
        <f t="shared" si="462"/>
        <v>0</v>
      </c>
      <c r="BO144" s="473">
        <f t="shared" si="463"/>
        <v>0</v>
      </c>
      <c r="BP144" s="475">
        <v>0</v>
      </c>
      <c r="BQ144" s="475">
        <v>0</v>
      </c>
      <c r="BR144" s="161">
        <f t="shared" si="464"/>
        <v>0</v>
      </c>
      <c r="BS144" s="473">
        <f t="shared" si="465"/>
        <v>0</v>
      </c>
      <c r="BT144" s="475">
        <v>0</v>
      </c>
      <c r="BU144" s="475">
        <v>0</v>
      </c>
      <c r="BV144" s="161">
        <f t="shared" si="466"/>
        <v>0</v>
      </c>
      <c r="BW144" s="473">
        <f t="shared" si="467"/>
        <v>0</v>
      </c>
      <c r="BX144" s="475">
        <v>0</v>
      </c>
      <c r="BY144" s="475">
        <v>0</v>
      </c>
      <c r="BZ144" s="161">
        <f t="shared" si="468"/>
        <v>0</v>
      </c>
    </row>
    <row r="145" spans="1:78" s="140" customFormat="1">
      <c r="A145" s="149"/>
      <c r="B145" s="336" t="s">
        <v>271</v>
      </c>
      <c r="C145" s="155" t="s">
        <v>406</v>
      </c>
      <c r="D145" s="263">
        <f>D136</f>
        <v>131.38900000000001</v>
      </c>
      <c r="E145" s="218">
        <f>SUM(E137:E144)</f>
        <v>133.89399999999998</v>
      </c>
      <c r="F145" s="218">
        <f>+SUM(F137:F144)</f>
        <v>133.89400000000001</v>
      </c>
      <c r="G145" s="219"/>
      <c r="H145" s="263">
        <f>H136</f>
        <v>132.18600000000001</v>
      </c>
      <c r="I145" s="218">
        <f>SUM(I137:I144)</f>
        <v>141.71299999999999</v>
      </c>
      <c r="J145" s="218">
        <f>+SUM(J137:J144)</f>
        <v>141.71299999999999</v>
      </c>
      <c r="K145" s="219"/>
      <c r="L145" s="263">
        <f>L136</f>
        <v>145.11600000000001</v>
      </c>
      <c r="M145" s="218">
        <f>SUM(M137:M144)</f>
        <v>155.88799999999995</v>
      </c>
      <c r="N145" s="218">
        <f>+SUM(N137:N144)</f>
        <v>155.88799999999998</v>
      </c>
      <c r="O145" s="219"/>
      <c r="P145" s="263">
        <f>P136</f>
        <v>134.851</v>
      </c>
      <c r="Q145" s="218">
        <f>SUM(Q137:Q144)</f>
        <v>127.45300000000002</v>
      </c>
      <c r="R145" s="218">
        <f>+SUM(R137:R144)</f>
        <v>127.45300000000002</v>
      </c>
      <c r="S145" s="219"/>
      <c r="T145" s="263">
        <f>T136</f>
        <v>127.371</v>
      </c>
      <c r="U145" s="218">
        <f>SUM(U137:U144)</f>
        <v>271.041</v>
      </c>
      <c r="V145" s="218">
        <f>+SUM(V137:V144)</f>
        <v>271.041</v>
      </c>
      <c r="W145" s="138"/>
      <c r="X145" s="263">
        <f>X136</f>
        <v>267.33100000000002</v>
      </c>
      <c r="Y145" s="161">
        <f>SUM(Y137:Y144)</f>
        <v>280.64300000000003</v>
      </c>
      <c r="Z145" s="161">
        <f>+SUM(Z137:Z144)</f>
        <v>280.64299999999992</v>
      </c>
      <c r="AB145" s="263">
        <f>AB136</f>
        <v>275.59899999999999</v>
      </c>
      <c r="AC145" s="161">
        <f>SUM(AC137:AC144)</f>
        <v>250.1</v>
      </c>
      <c r="AD145" s="161">
        <f>+SUM(AD137:AD144)</f>
        <v>250.1</v>
      </c>
      <c r="AF145" s="230">
        <v>249.798</v>
      </c>
      <c r="AG145" s="161">
        <f ca="1">SUM(AG137:AG144)</f>
        <v>238.52599999999993</v>
      </c>
      <c r="AH145" s="161">
        <f>+SUM(AH137:AH144)</f>
        <v>238.52599999999995</v>
      </c>
      <c r="AJ145" s="231">
        <v>248.78399999999999</v>
      </c>
      <c r="AK145" s="161">
        <f ca="1">SUM(AK137:AK144)</f>
        <v>250.91100000000006</v>
      </c>
      <c r="AL145" s="218">
        <f>+SUM(AL137:AL144)</f>
        <v>250.911</v>
      </c>
      <c r="AM145" s="474">
        <f ca="1">+AL145-AK145</f>
        <v>0</v>
      </c>
      <c r="AN145" s="175">
        <v>313.18900000000002</v>
      </c>
      <c r="AO145" s="161">
        <f ca="1">SUM(AO137:AO144)</f>
        <v>301.85500000000008</v>
      </c>
      <c r="AP145" s="218">
        <f>+SUM(AP137:AP144)</f>
        <v>301.85500000000002</v>
      </c>
      <c r="AQ145" s="474">
        <f ca="1">+AP145-AO145</f>
        <v>0</v>
      </c>
      <c r="AR145" s="161">
        <f>+SUM(AR137:AR144)</f>
        <v>287.92805626774401</v>
      </c>
      <c r="AS145" s="161">
        <f>+SUM(AS137:AS144)</f>
        <v>273.88372249999998</v>
      </c>
      <c r="AT145" s="161">
        <f>+SUM(AT137:AT144)</f>
        <v>273.88372249999998</v>
      </c>
      <c r="AU145" s="474">
        <f>+AT145-AS145</f>
        <v>0</v>
      </c>
      <c r="AV145" s="161">
        <f>+SUM(AV137:AV144)</f>
        <v>259.97882506916352</v>
      </c>
      <c r="AW145" s="161">
        <f>+SUM(AW137:AW144)</f>
        <v>245.84000229999998</v>
      </c>
      <c r="AX145" s="161">
        <f>+SUM(AX137:AX144)</f>
        <v>245.84000229999998</v>
      </c>
      <c r="AY145" s="474">
        <f>+AX145-AW145</f>
        <v>0</v>
      </c>
      <c r="AZ145" s="161">
        <f>+SUM(AZ137:AZ144)</f>
        <v>231.86915192869657</v>
      </c>
      <c r="BA145" s="161">
        <f>+SUM(BA137:BA144)</f>
        <v>217.64566219199997</v>
      </c>
      <c r="BB145" s="161">
        <f>+SUM(BB137:BB144)</f>
        <v>217.64566219199997</v>
      </c>
      <c r="BC145" s="474">
        <f>+BB145-BA145</f>
        <v>0</v>
      </c>
      <c r="BD145" s="161">
        <f>+SUM(BD137:BD144)</f>
        <v>203.62131142207232</v>
      </c>
      <c r="BE145" s="161">
        <f>+SUM(BE137:BE144)</f>
        <v>189.32411013751999</v>
      </c>
      <c r="BF145" s="161">
        <f>+SUM(BF137:BF144)</f>
        <v>189.32411013751999</v>
      </c>
      <c r="BG145" s="474">
        <f>+BF145-BE145</f>
        <v>0</v>
      </c>
      <c r="BH145" s="161">
        <f>+SUM(BH137:BH144)</f>
        <v>175.2600622896997</v>
      </c>
      <c r="BI145" s="161">
        <f>+SUM(BI137:BI144)</f>
        <v>160.90133588608481</v>
      </c>
      <c r="BJ145" s="161">
        <f>+SUM(BJ137:BJ144)</f>
        <v>160.90133588608478</v>
      </c>
      <c r="BK145" s="474">
        <f>+BJ145-BI145</f>
        <v>0</v>
      </c>
      <c r="BL145" s="161">
        <f>+SUM(BL137:BL144)</f>
        <v>146.81286021381456</v>
      </c>
      <c r="BM145" s="161">
        <f>+SUM(BM137:BM144)</f>
        <v>132.40613170128611</v>
      </c>
      <c r="BN145" s="161">
        <f>+SUM(BN137:BN144)</f>
        <v>132.40613170128606</v>
      </c>
      <c r="BO145" s="474">
        <f>+BN145-BM145</f>
        <v>0</v>
      </c>
      <c r="BP145" s="161">
        <f>+SUM(BP137:BP144)</f>
        <v>118.31008789867738</v>
      </c>
      <c r="BQ145" s="161">
        <f>+SUM(BQ137:BQ144)</f>
        <v>103.87033102858977</v>
      </c>
      <c r="BR145" s="161">
        <f>+SUM(BR137:BR144)</f>
        <v>103.87033102858977</v>
      </c>
      <c r="BS145" s="474">
        <f>+BR145-BQ145</f>
        <v>0</v>
      </c>
      <c r="BT145" s="161">
        <f>+SUM(BT137:BT144)</f>
        <v>89.785303843684332</v>
      </c>
      <c r="BU145" s="161">
        <f>+SUM(BU137:BU144)</f>
        <v>75.329066545901725</v>
      </c>
      <c r="BV145" s="161">
        <f>+SUM(BV137:BV144)</f>
        <v>75.329066545901725</v>
      </c>
      <c r="BW145" s="474">
        <f>+BV145-BU145</f>
        <v>0</v>
      </c>
      <c r="BX145" s="161">
        <f>+SUM(BX137:BX144)</f>
        <v>61.275511310554094</v>
      </c>
      <c r="BY145" s="161">
        <f>+SUM(BY137:BY144)</f>
        <v>46.821049153299121</v>
      </c>
      <c r="BZ145" s="161">
        <f>+SUM(BZ137:BZ144)</f>
        <v>46.821049153299128</v>
      </c>
    </row>
    <row r="146" spans="1:78" s="140" customFormat="1" ht="4.2" customHeight="1">
      <c r="A146" s="149"/>
      <c r="B146" s="336"/>
      <c r="D146" s="172"/>
      <c r="E146" s="161"/>
      <c r="F146" s="161"/>
      <c r="H146" s="172"/>
      <c r="I146" s="161"/>
      <c r="J146" s="161"/>
      <c r="L146" s="172"/>
      <c r="M146" s="161"/>
      <c r="N146" s="161"/>
      <c r="P146" s="172"/>
      <c r="Q146" s="161"/>
      <c r="R146" s="161"/>
      <c r="T146" s="172"/>
      <c r="U146" s="161"/>
      <c r="V146" s="161"/>
      <c r="W146" s="138"/>
      <c r="X146" s="172"/>
      <c r="Y146" s="161"/>
      <c r="Z146" s="161"/>
      <c r="AB146" s="172"/>
      <c r="AC146" s="161"/>
      <c r="AD146" s="161"/>
      <c r="AF146" s="181"/>
      <c r="AG146" s="161"/>
      <c r="AH146" s="161"/>
      <c r="AJ146" s="181"/>
      <c r="AK146" s="161"/>
      <c r="AL146" s="218"/>
      <c r="AM146" s="476"/>
      <c r="AN146" s="181"/>
      <c r="AO146" s="161"/>
      <c r="AP146" s="218"/>
      <c r="AQ146" s="476"/>
      <c r="AR146" s="161"/>
      <c r="AS146" s="161"/>
      <c r="AT146" s="161"/>
      <c r="AU146" s="476"/>
      <c r="AV146" s="161"/>
      <c r="AW146" s="161"/>
      <c r="AX146" s="161"/>
      <c r="AY146" s="476"/>
      <c r="AZ146" s="161"/>
      <c r="BA146" s="161"/>
      <c r="BB146" s="161"/>
      <c r="BC146" s="476"/>
      <c r="BD146" s="161"/>
      <c r="BE146" s="161"/>
      <c r="BF146" s="161"/>
      <c r="BG146" s="476"/>
      <c r="BH146" s="161"/>
      <c r="BI146" s="161"/>
      <c r="BJ146" s="161"/>
      <c r="BK146" s="476"/>
      <c r="BL146" s="161"/>
      <c r="BM146" s="161"/>
      <c r="BN146" s="161"/>
      <c r="BO146" s="476"/>
      <c r="BP146" s="161"/>
      <c r="BQ146" s="161"/>
      <c r="BR146" s="161"/>
      <c r="BS146" s="476"/>
      <c r="BT146" s="161"/>
      <c r="BU146" s="161"/>
      <c r="BV146" s="161"/>
      <c r="BW146" s="476"/>
      <c r="BX146" s="161"/>
      <c r="BY146" s="161"/>
      <c r="BZ146" s="161"/>
    </row>
    <row r="147" spans="1:78" s="161" customFormat="1">
      <c r="A147" s="148"/>
      <c r="B147" s="369" t="s">
        <v>465</v>
      </c>
      <c r="C147" s="161" t="s">
        <v>39</v>
      </c>
      <c r="D147" s="218"/>
      <c r="F147" s="218"/>
      <c r="H147" s="238">
        <f>+H142/D142-1</f>
        <v>4.5862839218668405E-2</v>
      </c>
      <c r="I147" s="238">
        <f>+I142/E142-1</f>
        <v>4.5862839218668405E-2</v>
      </c>
      <c r="J147" s="238">
        <f>+J142/F142-1</f>
        <v>4.5862839218668405E-2</v>
      </c>
      <c r="L147" s="238">
        <f>+L142/H142-1</f>
        <v>0.36285558484049796</v>
      </c>
      <c r="M147" s="238">
        <f>+M142/I142-1</f>
        <v>0.36285558484049796</v>
      </c>
      <c r="N147" s="238">
        <f>+N142/J142-1</f>
        <v>0.36285558484049796</v>
      </c>
      <c r="P147" s="238">
        <f>+P142/L142-1</f>
        <v>-0.27274849121403077</v>
      </c>
      <c r="Q147" s="238">
        <f>+Q142/M142-1</f>
        <v>-0.27274849121403077</v>
      </c>
      <c r="R147" s="238">
        <f>+R142/N142-1</f>
        <v>-0.27274849121403077</v>
      </c>
      <c r="T147" s="238">
        <f>+T142/P142-1</f>
        <v>0.33845307413690318</v>
      </c>
      <c r="U147" s="238">
        <f>+U142/Q142-1</f>
        <v>0.33845307413690318</v>
      </c>
      <c r="V147" s="238">
        <f>+V142/R142-1</f>
        <v>0.33845307413690318</v>
      </c>
      <c r="W147" s="218"/>
      <c r="X147" s="238">
        <f>+X142/T142-1</f>
        <v>0.27866269311136227</v>
      </c>
      <c r="Y147" s="238">
        <f>+Y142/U142-1</f>
        <v>0.27866269311136227</v>
      </c>
      <c r="Z147" s="238">
        <f>+Z142/V142-1</f>
        <v>0.27866269311136227</v>
      </c>
      <c r="AA147" s="218"/>
      <c r="AB147" s="238">
        <f>+AB142/X142-1</f>
        <v>4.621195885126439E-2</v>
      </c>
      <c r="AC147" s="238">
        <f>+AC142/Y142-1</f>
        <v>4.621195885126439E-2</v>
      </c>
      <c r="AD147" s="238">
        <f>+AD142/Z142-1</f>
        <v>4.621195885126439E-2</v>
      </c>
      <c r="AF147" s="240">
        <v>0.08</v>
      </c>
      <c r="AG147" s="238">
        <f>+AG142/AC142-1</f>
        <v>-0.25222748572452824</v>
      </c>
      <c r="AH147" s="238">
        <f>+AH142/AD142-1</f>
        <v>-8.6113742862264142E-2</v>
      </c>
      <c r="AJ147" s="240">
        <v>0.08</v>
      </c>
      <c r="AK147" s="238">
        <f>+AK142/AG142-1</f>
        <v>-8.3765342727878722E-2</v>
      </c>
      <c r="AL147" s="238">
        <f>+AL142/AH142-1</f>
        <v>1.3000840571588901E-2</v>
      </c>
      <c r="AN147" s="143">
        <v>0.08</v>
      </c>
      <c r="AO147" s="238">
        <f>+AO142/AK142-1</f>
        <v>0.68872351821574962</v>
      </c>
      <c r="AP147" s="238">
        <f>+AP142/AL142-1</f>
        <v>0.3052497648946173</v>
      </c>
      <c r="AR147" s="240">
        <v>0.08</v>
      </c>
      <c r="AS147" s="240">
        <v>0.08</v>
      </c>
      <c r="AT147" s="238">
        <f>+AT142/AP142-1</f>
        <v>8.0000000000000071E-2</v>
      </c>
      <c r="AV147" s="240">
        <v>0.08</v>
      </c>
      <c r="AW147" s="240">
        <v>0.08</v>
      </c>
      <c r="AX147" s="238">
        <f>+AX142/AT142-1</f>
        <v>8.0000000000000071E-2</v>
      </c>
      <c r="AZ147" s="240">
        <v>0.08</v>
      </c>
      <c r="BA147" s="240">
        <v>0.08</v>
      </c>
      <c r="BB147" s="238">
        <f>+BB142/AX142-1</f>
        <v>8.0000000000000071E-2</v>
      </c>
      <c r="BD147" s="240">
        <v>0.08</v>
      </c>
      <c r="BE147" s="240">
        <v>0.08</v>
      </c>
      <c r="BF147" s="238">
        <f>+BF142/BB142-1</f>
        <v>8.0000000000000293E-2</v>
      </c>
      <c r="BH147" s="240">
        <v>0.08</v>
      </c>
      <c r="BI147" s="240">
        <v>0.08</v>
      </c>
      <c r="BJ147" s="238">
        <f>+BJ142/BF142-1</f>
        <v>7.9999999999999849E-2</v>
      </c>
      <c r="BL147" s="240">
        <v>0.08</v>
      </c>
      <c r="BM147" s="240">
        <v>0.08</v>
      </c>
      <c r="BN147" s="238">
        <f>+BN142/BJ142-1</f>
        <v>8.0000000000000293E-2</v>
      </c>
      <c r="BP147" s="240">
        <v>0.08</v>
      </c>
      <c r="BQ147" s="240">
        <v>0.08</v>
      </c>
      <c r="BR147" s="238">
        <f>+BR142/BN142-1</f>
        <v>8.0000000000000071E-2</v>
      </c>
      <c r="BT147" s="240">
        <v>0.08</v>
      </c>
      <c r="BU147" s="240">
        <v>0.08</v>
      </c>
      <c r="BV147" s="238">
        <f>+BV142/BR142-1</f>
        <v>8.0000000000000071E-2</v>
      </c>
      <c r="BX147" s="240">
        <v>0.08</v>
      </c>
      <c r="BY147" s="240">
        <v>0.08</v>
      </c>
      <c r="BZ147" s="238">
        <f>+BZ142/BV142-1</f>
        <v>8.0000000000000071E-2</v>
      </c>
    </row>
    <row r="148" spans="1:78" s="161" customFormat="1">
      <c r="A148" s="148"/>
      <c r="B148" s="369" t="s">
        <v>466</v>
      </c>
      <c r="C148" s="161" t="s">
        <v>39</v>
      </c>
      <c r="D148" s="218"/>
      <c r="F148" s="218"/>
      <c r="H148" s="238">
        <f>-H143/H142</f>
        <v>0.99241116059256562</v>
      </c>
      <c r="I148" s="238">
        <f>-I143/I142</f>
        <v>0.99241116059256562</v>
      </c>
      <c r="J148" s="238">
        <f>-J143/J142</f>
        <v>0.99241116059256562</v>
      </c>
      <c r="L148" s="238">
        <f>-L143/L142</f>
        <v>0.75422626788036418</v>
      </c>
      <c r="M148" s="238">
        <f>-M143/M142</f>
        <v>0.75422626788036418</v>
      </c>
      <c r="N148" s="238">
        <f>-N143/N142</f>
        <v>0.75422626788036418</v>
      </c>
      <c r="P148" s="238">
        <f>-P143/P142</f>
        <v>1.2090688184860847</v>
      </c>
      <c r="Q148" s="238">
        <f>-Q143/Q142</f>
        <v>1.2090688184860847</v>
      </c>
      <c r="R148" s="238">
        <f>-R143/R142</f>
        <v>1.2090688184860847</v>
      </c>
      <c r="T148" s="238">
        <f>-T143/T142</f>
        <v>0.83581680539855441</v>
      </c>
      <c r="U148" s="238">
        <f>-U143/U142</f>
        <v>0.83581680539855441</v>
      </c>
      <c r="V148" s="238">
        <f>-V143/V142</f>
        <v>0.83581680539855441</v>
      </c>
      <c r="W148" s="218"/>
      <c r="X148" s="238">
        <f>-X143/X142</f>
        <v>0.91759537076725251</v>
      </c>
      <c r="Y148" s="238">
        <f>-Y143/Y142</f>
        <v>0.91759537076725251</v>
      </c>
      <c r="Z148" s="238">
        <f>-Z143/Z142</f>
        <v>0.91759537076725251</v>
      </c>
      <c r="AA148" s="218"/>
      <c r="AB148" s="238">
        <f>-AB143/AB142</f>
        <v>1.1048831075717616</v>
      </c>
      <c r="AC148" s="238">
        <f>-AC143/AC142</f>
        <v>1.1048831075717616</v>
      </c>
      <c r="AD148" s="238">
        <f>-AD143/AD142</f>
        <v>1.1048831075717616</v>
      </c>
      <c r="AF148" s="240">
        <v>0.9</v>
      </c>
      <c r="AG148" s="238">
        <f>-AG143/AG142</f>
        <v>1.2950311545894979</v>
      </c>
      <c r="AH148" s="238">
        <f>-AH143/AH142</f>
        <v>1.0616138974502662</v>
      </c>
      <c r="AJ148" s="240">
        <v>0.9</v>
      </c>
      <c r="AK148" s="238">
        <f>-AK143/AK142</f>
        <v>1.3062103480725753</v>
      </c>
      <c r="AL148" s="238">
        <f>-AL143/AL142</f>
        <v>1.0503125518614813</v>
      </c>
      <c r="AN148" s="143">
        <v>0.9</v>
      </c>
      <c r="AO148" s="238">
        <f>-AO143/AO142</f>
        <v>0.96559776355627258</v>
      </c>
      <c r="AP148" s="238">
        <f>-AP143/AP142</f>
        <v>0.93140495867768602</v>
      </c>
      <c r="AR148" s="240">
        <v>0.9</v>
      </c>
      <c r="AS148" s="240">
        <v>0.9</v>
      </c>
      <c r="AT148" s="238">
        <f>-AT143/AT142</f>
        <v>0.9</v>
      </c>
      <c r="AV148" s="240">
        <v>0.9</v>
      </c>
      <c r="AW148" s="240">
        <v>0.9</v>
      </c>
      <c r="AX148" s="238">
        <f>-AX143/AX142</f>
        <v>0.9</v>
      </c>
      <c r="AZ148" s="240">
        <v>0.9</v>
      </c>
      <c r="BA148" s="240">
        <v>0.9</v>
      </c>
      <c r="BB148" s="238">
        <f>-BB143/BB142</f>
        <v>0.90000000000000013</v>
      </c>
      <c r="BD148" s="240">
        <v>0.9</v>
      </c>
      <c r="BE148" s="240">
        <v>0.9</v>
      </c>
      <c r="BF148" s="238">
        <f>-BF143/BF142</f>
        <v>0.89999999999999991</v>
      </c>
      <c r="BH148" s="240">
        <v>0.9</v>
      </c>
      <c r="BI148" s="240">
        <v>0.9</v>
      </c>
      <c r="BJ148" s="238">
        <f>-BJ143/BJ142</f>
        <v>0.90000000000000013</v>
      </c>
      <c r="BL148" s="240">
        <v>0.9</v>
      </c>
      <c r="BM148" s="240">
        <v>0.9</v>
      </c>
      <c r="BN148" s="238">
        <f>-BN143/BN142</f>
        <v>0.89999999999999991</v>
      </c>
      <c r="BP148" s="240">
        <v>0.9</v>
      </c>
      <c r="BQ148" s="240">
        <v>0.9</v>
      </c>
      <c r="BR148" s="238">
        <f>-BR143/BR142</f>
        <v>0.89999999999999991</v>
      </c>
      <c r="BT148" s="240">
        <v>0.9</v>
      </c>
      <c r="BU148" s="240">
        <v>0.9</v>
      </c>
      <c r="BV148" s="238">
        <f>-BV143/BV142</f>
        <v>0.9</v>
      </c>
      <c r="BX148" s="240">
        <v>0.9</v>
      </c>
      <c r="BY148" s="240">
        <v>0.9</v>
      </c>
      <c r="BZ148" s="238">
        <f>-BZ143/BZ142</f>
        <v>0.9</v>
      </c>
    </row>
    <row r="149" spans="1:78" s="140" customFormat="1" hidden="1" outlineLevel="1">
      <c r="B149" s="244" t="s">
        <v>302</v>
      </c>
      <c r="C149" s="243"/>
      <c r="D149" s="341">
        <f>+D145-D136</f>
        <v>0</v>
      </c>
      <c r="E149" s="341">
        <f>+E145-E136</f>
        <v>0</v>
      </c>
      <c r="F149" s="341">
        <f>+F145-F136</f>
        <v>0</v>
      </c>
      <c r="G149" s="341"/>
      <c r="H149" s="341">
        <f>+H145-H136</f>
        <v>0</v>
      </c>
      <c r="I149" s="341">
        <f>+I145-I136</f>
        <v>0</v>
      </c>
      <c r="J149" s="341">
        <f>+J145-J136</f>
        <v>0</v>
      </c>
      <c r="K149" s="341"/>
      <c r="L149" s="341">
        <f>+L145-L136</f>
        <v>0</v>
      </c>
      <c r="M149" s="341">
        <f>+M145-M136</f>
        <v>0</v>
      </c>
      <c r="N149" s="341">
        <f>+N145-N136</f>
        <v>0</v>
      </c>
      <c r="O149" s="341"/>
      <c r="P149" s="341">
        <f>+P145-P136</f>
        <v>0</v>
      </c>
      <c r="Q149" s="341">
        <f>+Q145-Q136</f>
        <v>0</v>
      </c>
      <c r="R149" s="341">
        <f>+R145-R136</f>
        <v>0</v>
      </c>
      <c r="S149" s="341"/>
      <c r="T149" s="341">
        <f>+T145-T136</f>
        <v>0</v>
      </c>
      <c r="U149" s="341">
        <f>+U145-U136</f>
        <v>0</v>
      </c>
      <c r="V149" s="341">
        <f>+V145-V136</f>
        <v>0</v>
      </c>
      <c r="W149" s="341"/>
      <c r="X149" s="341">
        <f>+X145-X136</f>
        <v>0</v>
      </c>
      <c r="Y149" s="341">
        <f>+Y145-Y136</f>
        <v>0</v>
      </c>
      <c r="Z149" s="341">
        <f>+Z145-Z136</f>
        <v>0</v>
      </c>
      <c r="AA149" s="341"/>
      <c r="AB149" s="341">
        <f>+AB145-AB136</f>
        <v>0</v>
      </c>
      <c r="AC149" s="341">
        <f>+AC145-AC136</f>
        <v>0</v>
      </c>
      <c r="AD149" s="341">
        <f>+AD145-AD136</f>
        <v>0</v>
      </c>
      <c r="AE149" s="341"/>
      <c r="AF149" s="341">
        <f>+AF145-AF136</f>
        <v>0</v>
      </c>
      <c r="AG149" s="341">
        <f ca="1">+AG145-AG136</f>
        <v>0</v>
      </c>
      <c r="AH149" s="341">
        <f>+AH145-AH136</f>
        <v>0</v>
      </c>
      <c r="AI149" s="341"/>
      <c r="AJ149" s="262">
        <f>+AJ145-AJ136</f>
        <v>0</v>
      </c>
      <c r="AK149" s="341">
        <f ca="1">+AK145-AK136</f>
        <v>0</v>
      </c>
      <c r="AL149" s="262">
        <f>+AL145-AL136</f>
        <v>0</v>
      </c>
      <c r="AM149" s="341"/>
      <c r="AN149" s="136">
        <f>+AN145-AN136</f>
        <v>0</v>
      </c>
      <c r="AO149" s="341">
        <f ca="1">+AO145-AO136</f>
        <v>0</v>
      </c>
      <c r="AP149" s="262">
        <f>+AP145-AP136</f>
        <v>0</v>
      </c>
      <c r="AQ149" s="341"/>
      <c r="AR149" s="341">
        <f>+AR145-AR136</f>
        <v>0</v>
      </c>
      <c r="AS149" s="341">
        <f>+AS145-AS136</f>
        <v>0</v>
      </c>
      <c r="AT149" s="341">
        <f>+AT145-AT136</f>
        <v>0</v>
      </c>
      <c r="AU149" s="341"/>
      <c r="AV149" s="341">
        <f>+AV145-AV136</f>
        <v>0</v>
      </c>
      <c r="AW149" s="341">
        <f>+AW145-AW136</f>
        <v>0</v>
      </c>
      <c r="AX149" s="341">
        <f>+AX145-AX136</f>
        <v>0</v>
      </c>
      <c r="AY149" s="341"/>
      <c r="AZ149" s="341">
        <f>+AZ145-AZ136</f>
        <v>0</v>
      </c>
      <c r="BA149" s="341">
        <f>+BA145-BA136</f>
        <v>0</v>
      </c>
      <c r="BB149" s="341">
        <f>+BB145-BB136</f>
        <v>0</v>
      </c>
      <c r="BC149" s="341"/>
      <c r="BD149" s="341">
        <f>+BD145-BD136</f>
        <v>0</v>
      </c>
      <c r="BE149" s="341">
        <f>+BE145-BE136</f>
        <v>0</v>
      </c>
      <c r="BF149" s="341">
        <f>+BF145-BF136</f>
        <v>0</v>
      </c>
      <c r="BG149" s="341"/>
      <c r="BH149" s="341">
        <f>+BH145-BH136</f>
        <v>0</v>
      </c>
      <c r="BI149" s="341">
        <f>+BI145-BI136</f>
        <v>0</v>
      </c>
      <c r="BJ149" s="341">
        <f>+BJ145-BJ136</f>
        <v>0</v>
      </c>
      <c r="BK149" s="341"/>
      <c r="BL149" s="341">
        <f>+BL145-BL136</f>
        <v>0</v>
      </c>
      <c r="BM149" s="341">
        <f>+BM145-BM136</f>
        <v>0</v>
      </c>
      <c r="BN149" s="341">
        <f>+BN145-BN136</f>
        <v>0</v>
      </c>
      <c r="BO149" s="341"/>
      <c r="BP149" s="341">
        <f>+BP145-BP136</f>
        <v>0</v>
      </c>
      <c r="BQ149" s="341">
        <f>+BQ145-BQ136</f>
        <v>0</v>
      </c>
      <c r="BR149" s="341">
        <f>+BR145-BR136</f>
        <v>0</v>
      </c>
      <c r="BS149" s="341"/>
      <c r="BT149" s="341">
        <f>+BT145-BT136</f>
        <v>0</v>
      </c>
      <c r="BU149" s="341">
        <f>+BU145-BU136</f>
        <v>0</v>
      </c>
      <c r="BV149" s="341">
        <f>+BV145-BV136</f>
        <v>0</v>
      </c>
      <c r="BW149" s="341"/>
      <c r="BX149" s="341">
        <f>+BX145-BX136</f>
        <v>0</v>
      </c>
      <c r="BY149" s="341">
        <f>+BY145-BY136</f>
        <v>0</v>
      </c>
      <c r="BZ149" s="341">
        <f>+BZ145-BZ136</f>
        <v>0</v>
      </c>
    </row>
    <row r="150" spans="1:78" s="161" customFormat="1" collapsed="1">
      <c r="A150" s="148"/>
      <c r="B150" s="159"/>
      <c r="D150" s="218"/>
      <c r="F150" s="218"/>
      <c r="J150" s="218"/>
      <c r="L150" s="218"/>
      <c r="N150" s="218"/>
      <c r="R150" s="218"/>
      <c r="T150" s="218"/>
      <c r="V150" s="218"/>
      <c r="W150" s="218"/>
      <c r="X150" s="218"/>
      <c r="Z150" s="218"/>
      <c r="AA150" s="218"/>
      <c r="AB150" s="218"/>
      <c r="AD150" s="218"/>
      <c r="AF150" s="218"/>
      <c r="AH150" s="218"/>
      <c r="AL150" s="218"/>
      <c r="AP150" s="218"/>
      <c r="AR150" s="218"/>
      <c r="AV150" s="218"/>
      <c r="AZ150" s="218"/>
      <c r="BD150" s="218"/>
      <c r="BH150" s="218"/>
      <c r="BL150" s="218"/>
      <c r="BP150" s="218"/>
      <c r="BT150" s="218"/>
      <c r="BX150" s="218"/>
    </row>
    <row r="151" spans="1:78" s="161" customFormat="1">
      <c r="A151" s="148"/>
      <c r="B151" s="160" t="s">
        <v>227</v>
      </c>
      <c r="C151" s="155" t="s">
        <v>406</v>
      </c>
      <c r="D151" s="230">
        <v>6.9820000000000002</v>
      </c>
      <c r="E151" s="161">
        <f>F151</f>
        <v>9.8059999999999992</v>
      </c>
      <c r="F151" s="230">
        <v>9.8059999999999992</v>
      </c>
      <c r="H151" s="181">
        <v>11.558</v>
      </c>
      <c r="I151" s="161">
        <f>J151</f>
        <v>11.648</v>
      </c>
      <c r="J151" s="230">
        <v>11.648</v>
      </c>
      <c r="L151" s="230">
        <v>12.131</v>
      </c>
      <c r="M151" s="161">
        <f>N151</f>
        <v>11.996</v>
      </c>
      <c r="N151" s="230">
        <v>11.996</v>
      </c>
      <c r="P151" s="181">
        <v>13.862</v>
      </c>
      <c r="Q151" s="161">
        <f>R151</f>
        <v>14.558999999999999</v>
      </c>
      <c r="R151" s="230">
        <v>14.558999999999999</v>
      </c>
      <c r="T151" s="230">
        <v>14.029</v>
      </c>
      <c r="U151" s="161">
        <f>V151</f>
        <v>11.676</v>
      </c>
      <c r="V151" s="230">
        <v>11.676</v>
      </c>
      <c r="W151" s="218"/>
      <c r="X151" s="230">
        <v>11.994</v>
      </c>
      <c r="Y151" s="161">
        <f>Z151</f>
        <v>7.5339999999999998</v>
      </c>
      <c r="Z151" s="230">
        <v>7.5339999999999998</v>
      </c>
      <c r="AA151" s="218"/>
      <c r="AB151" s="230">
        <v>6.8979999999999997</v>
      </c>
      <c r="AC151" s="161">
        <f>AD151</f>
        <v>6.3470000000000004</v>
      </c>
      <c r="AD151" s="230">
        <v>6.3470000000000004</v>
      </c>
      <c r="AF151" s="230">
        <v>15.385</v>
      </c>
      <c r="AG151" s="161">
        <f>AH151</f>
        <v>12.885</v>
      </c>
      <c r="AH151" s="230">
        <v>12.885</v>
      </c>
      <c r="AJ151" s="230">
        <v>12.484</v>
      </c>
      <c r="AK151" s="161">
        <f>AL151</f>
        <v>11.598000000000001</v>
      </c>
      <c r="AL151" s="230">
        <v>11.598000000000001</v>
      </c>
      <c r="AN151" s="181">
        <v>12.519</v>
      </c>
      <c r="AO151" s="161">
        <f>AP151</f>
        <v>12.811999999999999</v>
      </c>
      <c r="AP151" s="916">
        <v>12.811999999999999</v>
      </c>
      <c r="AR151" s="462">
        <f>AO151*(1+AR152)</f>
        <v>13.068239999999999</v>
      </c>
      <c r="AS151" s="462">
        <f>AR151*(1+AS152)</f>
        <v>13.3296048</v>
      </c>
      <c r="AT151" s="161">
        <f>AS151</f>
        <v>13.3296048</v>
      </c>
      <c r="AV151" s="462">
        <f>AS151*(1+AV152)</f>
        <v>13.596196896</v>
      </c>
      <c r="AW151" s="462">
        <f>AV151*(1+AW152)</f>
        <v>13.868120833920001</v>
      </c>
      <c r="AX151" s="161">
        <f>AW151</f>
        <v>13.868120833920001</v>
      </c>
      <c r="AZ151" s="462">
        <f>AW151*(1+AZ152)</f>
        <v>14.145483250598401</v>
      </c>
      <c r="BA151" s="462">
        <f>AZ151*(1+BA152)</f>
        <v>14.42839291561037</v>
      </c>
      <c r="BB151" s="161">
        <f>BA151</f>
        <v>14.42839291561037</v>
      </c>
      <c r="BD151" s="462">
        <f>BA151*(1+BD152)</f>
        <v>14.716960773922578</v>
      </c>
      <c r="BE151" s="462">
        <f>BD151*(1+BE152)</f>
        <v>15.01129998940103</v>
      </c>
      <c r="BF151" s="161">
        <f>BE151</f>
        <v>15.01129998940103</v>
      </c>
      <c r="BH151" s="462">
        <f>BE151*(1+BH152)</f>
        <v>15.31152598918905</v>
      </c>
      <c r="BI151" s="462">
        <f>BH151*(1+BI152)</f>
        <v>15.617756508972832</v>
      </c>
      <c r="BJ151" s="161">
        <f>BI151</f>
        <v>15.617756508972832</v>
      </c>
      <c r="BL151" s="462">
        <f>BI151*(1+BL152)</f>
        <v>15.930111639152289</v>
      </c>
      <c r="BM151" s="462">
        <f>BL151*(1+BM152)</f>
        <v>16.248713871935333</v>
      </c>
      <c r="BN151" s="161">
        <f>BM151</f>
        <v>16.248713871935333</v>
      </c>
      <c r="BP151" s="462">
        <f>BM151*(1+BP152)</f>
        <v>16.573688149374039</v>
      </c>
      <c r="BQ151" s="462">
        <f>BP151*(1+BQ152)</f>
        <v>16.905161912361521</v>
      </c>
      <c r="BR151" s="161">
        <f>BQ151</f>
        <v>16.905161912361521</v>
      </c>
      <c r="BT151" s="462">
        <f>BQ151*(1+BT152)</f>
        <v>17.243265150608753</v>
      </c>
      <c r="BU151" s="462">
        <f>BT151*(1+BU152)</f>
        <v>17.588130453620927</v>
      </c>
      <c r="BV151" s="161">
        <f>BU151</f>
        <v>17.588130453620927</v>
      </c>
      <c r="BX151" s="462">
        <f>BU151*(1+BX152)</f>
        <v>17.939893062693347</v>
      </c>
      <c r="BY151" s="462">
        <f>BX151*(1+BY152)</f>
        <v>18.298690923947213</v>
      </c>
      <c r="BZ151" s="161">
        <f>BY151</f>
        <v>18.298690923947213</v>
      </c>
    </row>
    <row r="152" spans="1:78" s="161" customFormat="1">
      <c r="A152" s="148"/>
      <c r="B152" s="369" t="s">
        <v>463</v>
      </c>
      <c r="C152" s="161" t="s">
        <v>39</v>
      </c>
      <c r="D152" s="230"/>
      <c r="E152" s="230"/>
      <c r="F152" s="230"/>
      <c r="H152" s="370">
        <f>+H151/D151-1</f>
        <v>0.65539959896877686</v>
      </c>
      <c r="I152" s="370">
        <f>+I151/E151-1</f>
        <v>0.18784417703446876</v>
      </c>
      <c r="J152" s="370">
        <f>+J151/F151-1</f>
        <v>0.18784417703446876</v>
      </c>
      <c r="L152" s="370">
        <f>+L151/H151-1</f>
        <v>4.9576051219934358E-2</v>
      </c>
      <c r="M152" s="370">
        <f>+M151/I151-1</f>
        <v>2.9876373626373631E-2</v>
      </c>
      <c r="N152" s="370">
        <f>+N151/J151-1</f>
        <v>2.9876373626373631E-2</v>
      </c>
      <c r="P152" s="370">
        <f>+P151/L151-1</f>
        <v>0.14269227598714029</v>
      </c>
      <c r="Q152" s="370">
        <f>+Q151/M151-1</f>
        <v>0.21365455151717239</v>
      </c>
      <c r="R152" s="370">
        <f>+R151/N151-1</f>
        <v>0.21365455151717239</v>
      </c>
      <c r="T152" s="370">
        <f>+T151/P151-1</f>
        <v>1.2047323618525452E-2</v>
      </c>
      <c r="U152" s="370">
        <f>+U151/Q151-1</f>
        <v>-0.19802184215948893</v>
      </c>
      <c r="V152" s="370">
        <f>+V151/R151-1</f>
        <v>-0.19802184215948893</v>
      </c>
      <c r="W152" s="218"/>
      <c r="X152" s="370">
        <f>+X151/T151-1</f>
        <v>-0.14505666832988806</v>
      </c>
      <c r="Y152" s="370">
        <f>+Y151/U151-1</f>
        <v>-0.35474477560808504</v>
      </c>
      <c r="Z152" s="370">
        <f>+Z151/V151-1</f>
        <v>-0.35474477560808504</v>
      </c>
      <c r="AA152" s="218"/>
      <c r="AB152" s="370">
        <f>+AB151/X151-1</f>
        <v>-0.42487910621977654</v>
      </c>
      <c r="AC152" s="370">
        <f>+AC151/Y151-1</f>
        <v>-0.15755242898858501</v>
      </c>
      <c r="AD152" s="370">
        <f>+AD151/Z151-1</f>
        <v>-0.15755242898858501</v>
      </c>
      <c r="AF152" s="370">
        <f>+AF151/AB151-1</f>
        <v>1.2303566251087275</v>
      </c>
      <c r="AG152" s="370">
        <f>+AG151/AC151-1</f>
        <v>1.0300929573026627</v>
      </c>
      <c r="AH152" s="370">
        <f>+AH151/AD151-1</f>
        <v>1.0300929573026627</v>
      </c>
      <c r="AJ152" s="370">
        <f>+AJ151/AF151-1</f>
        <v>-0.18856028599285013</v>
      </c>
      <c r="AK152" s="370">
        <f>+AK151/AG151-1</f>
        <v>-9.9883585564609967E-2</v>
      </c>
      <c r="AL152" s="370">
        <f>+AL151/AH151-1</f>
        <v>-9.9883585564609967E-2</v>
      </c>
      <c r="AN152" s="582">
        <f>+AN151/AJ151-1</f>
        <v>2.8035885933994642E-3</v>
      </c>
      <c r="AO152" s="370">
        <f>+AO151/AK151-1</f>
        <v>0.10467321952060682</v>
      </c>
      <c r="AP152" s="370">
        <f>+AP151/AL151-1</f>
        <v>0.10467321952060682</v>
      </c>
      <c r="AR152" s="463">
        <v>0.02</v>
      </c>
      <c r="AS152" s="463">
        <v>0.02</v>
      </c>
      <c r="AT152" s="370">
        <f>+AT151/AP151-1</f>
        <v>4.0399999999999991E-2</v>
      </c>
      <c r="AV152" s="463">
        <v>0.02</v>
      </c>
      <c r="AW152" s="463">
        <v>0.02</v>
      </c>
      <c r="AX152" s="370">
        <f>+AX151/AT151-1</f>
        <v>4.0399999999999991E-2</v>
      </c>
      <c r="AZ152" s="463">
        <v>0.02</v>
      </c>
      <c r="BA152" s="463">
        <v>0.02</v>
      </c>
      <c r="BB152" s="370">
        <f>+BB151/AX151-1</f>
        <v>4.0400000000000214E-2</v>
      </c>
      <c r="BD152" s="463">
        <v>0.02</v>
      </c>
      <c r="BE152" s="463">
        <v>0.02</v>
      </c>
      <c r="BF152" s="370">
        <f>+BF151/BB151-1</f>
        <v>4.0399999999999991E-2</v>
      </c>
      <c r="BH152" s="463">
        <v>0.02</v>
      </c>
      <c r="BI152" s="463">
        <v>0.02</v>
      </c>
      <c r="BJ152" s="370">
        <f>+BJ151/BF151-1</f>
        <v>4.0399999999999991E-2</v>
      </c>
      <c r="BL152" s="463">
        <v>0.02</v>
      </c>
      <c r="BM152" s="463">
        <v>0.02</v>
      </c>
      <c r="BN152" s="370">
        <f>+BN151/BJ151-1</f>
        <v>4.0399999999999991E-2</v>
      </c>
      <c r="BP152" s="463">
        <v>0.02</v>
      </c>
      <c r="BQ152" s="463">
        <v>0.02</v>
      </c>
      <c r="BR152" s="370">
        <f>+BR151/BN151-1</f>
        <v>4.0399999999999991E-2</v>
      </c>
      <c r="BT152" s="463">
        <v>0.02</v>
      </c>
      <c r="BU152" s="463">
        <v>0.02</v>
      </c>
      <c r="BV152" s="370">
        <f>+BV151/BR151-1</f>
        <v>4.0399999999999991E-2</v>
      </c>
      <c r="BX152" s="463">
        <v>0.02</v>
      </c>
      <c r="BY152" s="463">
        <v>0.02</v>
      </c>
      <c r="BZ152" s="370">
        <f>+BZ151/BV151-1</f>
        <v>4.0399999999999991E-2</v>
      </c>
    </row>
    <row r="153" spans="1:78" s="161" customFormat="1">
      <c r="A153" s="148"/>
      <c r="B153" s="337" t="s">
        <v>520</v>
      </c>
      <c r="C153" s="161" t="s">
        <v>406</v>
      </c>
      <c r="D153" s="230">
        <v>1.0109999999999999</v>
      </c>
      <c r="E153" s="161">
        <f>+F153-D153</f>
        <v>1.5210000000000001</v>
      </c>
      <c r="F153" s="230">
        <v>2.532</v>
      </c>
      <c r="G153" s="218"/>
      <c r="H153" s="230">
        <v>1.3120000000000001</v>
      </c>
      <c r="I153" s="161">
        <f>+J153-H153</f>
        <v>1.5389999999999999</v>
      </c>
      <c r="J153" s="230">
        <v>2.851</v>
      </c>
      <c r="K153" s="218"/>
      <c r="L153" s="230">
        <v>1.929</v>
      </c>
      <c r="M153" s="161">
        <f>+N153-L153</f>
        <v>0.7609999999999999</v>
      </c>
      <c r="N153" s="230">
        <v>2.69</v>
      </c>
      <c r="O153" s="218"/>
      <c r="P153" s="230">
        <v>1.929</v>
      </c>
      <c r="Q153" s="161">
        <f>+R153-P153</f>
        <v>1.5029999999999999</v>
      </c>
      <c r="R153" s="230">
        <v>3.4319999999999999</v>
      </c>
      <c r="S153" s="218"/>
      <c r="T153" s="230">
        <v>1.9279999999999999</v>
      </c>
      <c r="U153" s="161">
        <f>+V153-T153</f>
        <v>1.4489999999999998</v>
      </c>
      <c r="V153" s="230">
        <v>3.3769999999999998</v>
      </c>
      <c r="W153" s="218"/>
      <c r="X153" s="230">
        <v>1.3680000000000001</v>
      </c>
      <c r="Y153" s="161">
        <f>+Z153-X153</f>
        <v>1.7739999999999998</v>
      </c>
      <c r="Z153" s="230">
        <v>3.1419999999999999</v>
      </c>
      <c r="AA153" s="218"/>
      <c r="AB153" s="230">
        <v>1.097</v>
      </c>
      <c r="AC153" s="161">
        <f>+AD153-AB153</f>
        <v>1.2360000000000002</v>
      </c>
      <c r="AD153" s="230">
        <v>2.3330000000000002</v>
      </c>
      <c r="AF153" s="230">
        <v>1.7350000000000001</v>
      </c>
      <c r="AG153" s="161">
        <f>+AH153-AF153</f>
        <v>2.141</v>
      </c>
      <c r="AH153" s="230">
        <v>3.8759999999999999</v>
      </c>
      <c r="AJ153" s="250">
        <f>+AF153</f>
        <v>1.7350000000000001</v>
      </c>
      <c r="AK153" s="161">
        <f>+AL153-AJ153</f>
        <v>2.9369999999999994</v>
      </c>
      <c r="AL153" s="230">
        <v>4.6719999999999997</v>
      </c>
      <c r="AN153" s="905">
        <f>+AJ153</f>
        <v>1.7350000000000001</v>
      </c>
      <c r="AO153" s="161">
        <f>+AP153-AN153</f>
        <v>3.1415446512250629</v>
      </c>
      <c r="AP153" s="905">
        <f>AL153/7469*7796</f>
        <v>4.8765446512250632</v>
      </c>
      <c r="AR153" s="462">
        <f>+AR154*AR151*AR7</f>
        <v>1.6469562739726027</v>
      </c>
      <c r="AS153" s="462">
        <f>+AS154*AS151*AS7</f>
        <v>1.6525058005479454</v>
      </c>
      <c r="AT153" s="462">
        <f t="shared" ref="AT153" si="469">+AR153+AS153</f>
        <v>3.2994620745205481</v>
      </c>
      <c r="AV153" s="462">
        <f>+AV154*AV151*AV7</f>
        <v>1.7134933074410961</v>
      </c>
      <c r="AW153" s="462">
        <f>+AW154*AW151*AW7</f>
        <v>1.7192670348900823</v>
      </c>
      <c r="AX153" s="462">
        <f t="shared" ref="AX153" si="470">+AV153+AW153</f>
        <v>3.4327603423311785</v>
      </c>
      <c r="AZ153" s="462">
        <f>+AZ154*AZ151*AZ7</f>
        <v>1.7778476216599084</v>
      </c>
      <c r="BA153" s="462">
        <f>+BA154*BA151*BA7</f>
        <v>1.7936936548094859</v>
      </c>
      <c r="BB153" s="462">
        <f t="shared" ref="BB153" si="471">+AZ153+BA153</f>
        <v>3.5715412764693943</v>
      </c>
      <c r="BD153" s="462">
        <f>+BD154*BD151*BD7</f>
        <v>1.8547402619190099</v>
      </c>
      <c r="BE153" s="462">
        <f>+BE154*BE151*BE7</f>
        <v>1.8609899301928674</v>
      </c>
      <c r="BF153" s="462">
        <f t="shared" ref="BF153" si="472">+BD153+BE153</f>
        <v>3.7157301921118773</v>
      </c>
      <c r="BH153" s="462">
        <f>+BH154*BH151*BH7</f>
        <v>1.929671768500538</v>
      </c>
      <c r="BI153" s="462">
        <f>+BI154*BI151*BI7</f>
        <v>1.9361739233726594</v>
      </c>
      <c r="BJ153" s="462">
        <f t="shared" ref="BJ153" si="473">+BH153+BI153</f>
        <v>3.8658456918731972</v>
      </c>
      <c r="BL153" s="462">
        <f>+BL154*BL151*BL7</f>
        <v>2.0076305079479599</v>
      </c>
      <c r="BM153" s="462">
        <f>+BM154*BM151*BM7</f>
        <v>2.0143953498769145</v>
      </c>
      <c r="BN153" s="462">
        <f t="shared" ref="BN153" si="474">+BL153+BM153</f>
        <v>4.0220258578248744</v>
      </c>
      <c r="BP153" s="462">
        <f>+BP154*BP151*BP7</f>
        <v>2.0830318439103985</v>
      </c>
      <c r="BQ153" s="462">
        <f>+BQ154*BQ151*BQ7</f>
        <v>2.101597997301774</v>
      </c>
      <c r="BR153" s="462">
        <f t="shared" ref="BR153" si="475">+BP153+BQ153</f>
        <v>4.184629841212173</v>
      </c>
      <c r="BT153" s="462">
        <f>+BT154*BT151*BT7</f>
        <v>2.1731238272000075</v>
      </c>
      <c r="BU153" s="462">
        <f>+BU154*BU151*BU7</f>
        <v>2.1804463096612245</v>
      </c>
      <c r="BV153" s="462">
        <f t="shared" ref="BV153" si="476">+BT153+BU153</f>
        <v>4.3535701368612321</v>
      </c>
      <c r="BX153" s="462">
        <f>+BX154*BX151*BX7</f>
        <v>2.2609180298188876</v>
      </c>
      <c r="BY153" s="462">
        <f>+BY154*BY151*BY7</f>
        <v>2.2685363405715382</v>
      </c>
      <c r="BZ153" s="462">
        <f t="shared" ref="BZ153" si="477">+BX153+BY153</f>
        <v>4.5294543703904253</v>
      </c>
    </row>
    <row r="154" spans="1:78" s="161" customFormat="1">
      <c r="A154" s="148"/>
      <c r="B154" s="337" t="s">
        <v>521</v>
      </c>
      <c r="C154" s="161" t="s">
        <v>39</v>
      </c>
      <c r="D154" s="238">
        <f>+D153/D151/D7</f>
        <v>0.28802791027860458</v>
      </c>
      <c r="E154" s="238">
        <f>+E153/E151/E7</f>
        <v>0.31192272952419808</v>
      </c>
      <c r="F154" s="238"/>
      <c r="G154" s="218"/>
      <c r="H154" s="238">
        <f>+H153/H151/H7</f>
        <v>0.22517811867556445</v>
      </c>
      <c r="I154" s="238">
        <f>+I153/I151/I7</f>
        <v>0.26644130213708944</v>
      </c>
      <c r="J154" s="238"/>
      <c r="K154" s="218"/>
      <c r="L154" s="238">
        <f>+L153/L151/L7</f>
        <v>0.31543557110242171</v>
      </c>
      <c r="M154" s="238">
        <f>+M153/M151/M7</f>
        <v>0.12792708066593098</v>
      </c>
      <c r="N154" s="238"/>
      <c r="O154" s="218"/>
      <c r="P154" s="238">
        <f>+P153/P151/P7</f>
        <v>0.27604594669192595</v>
      </c>
      <c r="Q154" s="238">
        <f>+Q153/Q151/Q7</f>
        <v>0.20818130381275807</v>
      </c>
      <c r="R154" s="238"/>
      <c r="S154" s="218"/>
      <c r="T154" s="238">
        <f>+T153/T151/T7</f>
        <v>0.2733654200770454</v>
      </c>
      <c r="U154" s="238">
        <f>+U153/U151/U7</f>
        <v>0.2495651830184204</v>
      </c>
      <c r="V154" s="238"/>
      <c r="W154" s="218"/>
      <c r="X154" s="238">
        <f>+X153/X151/X7</f>
        <v>0.22625443156360789</v>
      </c>
      <c r="Y154" s="238">
        <f>+Y153/Y151/Y7</f>
        <v>0.47483452547347049</v>
      </c>
      <c r="Z154" s="238"/>
      <c r="AA154" s="218"/>
      <c r="AB154" s="238">
        <f>+AB153/AB151/AB7</f>
        <v>0.31547030015001198</v>
      </c>
      <c r="AC154" s="238">
        <f>+AC153/AC151/AC7</f>
        <v>0.38630027195319944</v>
      </c>
      <c r="AD154" s="238"/>
      <c r="AE154" s="218"/>
      <c r="AF154" s="238">
        <f>+AF153/AF151/AF7</f>
        <v>0.22370568453179973</v>
      </c>
      <c r="AG154" s="238">
        <f>+AG153/AG151/AG7</f>
        <v>0.33507847790805617</v>
      </c>
      <c r="AH154" s="238"/>
      <c r="AI154" s="218"/>
      <c r="AJ154" s="238">
        <f>+AJ153/AJ151/AJ7</f>
        <v>0.27644515414513188</v>
      </c>
      <c r="AK154" s="238">
        <f>+AK153/AK151/AK7</f>
        <v>0.50924941587124717</v>
      </c>
      <c r="AL154" s="238"/>
      <c r="AN154" s="138">
        <f>+AN153/AN151/AN7</f>
        <v>0.27491907952086742</v>
      </c>
      <c r="AO154" s="238">
        <f>+AO153/AO151/AO7</f>
        <v>0.49447073862778335</v>
      </c>
      <c r="AP154" s="238"/>
      <c r="AR154" s="463">
        <v>0.25</v>
      </c>
      <c r="AS154" s="463">
        <v>0.25</v>
      </c>
      <c r="AT154" s="370"/>
      <c r="AV154" s="463">
        <v>0.25</v>
      </c>
      <c r="AW154" s="463">
        <v>0.25</v>
      </c>
      <c r="AX154" s="370"/>
      <c r="AZ154" s="463">
        <v>0.25</v>
      </c>
      <c r="BA154" s="463">
        <v>0.25</v>
      </c>
      <c r="BB154" s="370"/>
      <c r="BD154" s="463">
        <v>0.25</v>
      </c>
      <c r="BE154" s="463">
        <v>0.25</v>
      </c>
      <c r="BF154" s="370"/>
      <c r="BH154" s="463">
        <v>0.25</v>
      </c>
      <c r="BI154" s="463">
        <v>0.25</v>
      </c>
      <c r="BJ154" s="370"/>
      <c r="BL154" s="463">
        <v>0.25</v>
      </c>
      <c r="BM154" s="463">
        <v>0.25</v>
      </c>
      <c r="BN154" s="370"/>
      <c r="BP154" s="463">
        <v>0.25</v>
      </c>
      <c r="BQ154" s="463">
        <v>0.25</v>
      </c>
      <c r="BR154" s="370"/>
      <c r="BT154" s="463">
        <v>0.25</v>
      </c>
      <c r="BU154" s="463">
        <v>0.25</v>
      </c>
      <c r="BV154" s="370"/>
      <c r="BX154" s="463">
        <v>0.25</v>
      </c>
      <c r="BY154" s="463">
        <v>0.25</v>
      </c>
      <c r="BZ154" s="370"/>
    </row>
    <row r="155" spans="1:78" s="161" customFormat="1">
      <c r="A155" s="148"/>
      <c r="B155" s="160"/>
      <c r="D155" s="237"/>
      <c r="F155" s="237"/>
      <c r="H155" s="174"/>
      <c r="J155" s="237"/>
      <c r="L155" s="237"/>
      <c r="N155" s="237"/>
      <c r="P155" s="174"/>
      <c r="R155" s="237"/>
      <c r="T155" s="237"/>
      <c r="V155" s="237"/>
      <c r="W155" s="218"/>
      <c r="X155" s="237"/>
      <c r="Z155" s="237"/>
      <c r="AA155" s="218"/>
      <c r="AB155" s="237"/>
      <c r="AD155" s="237"/>
      <c r="AF155" s="237"/>
      <c r="AH155" s="237"/>
      <c r="AJ155" s="237"/>
      <c r="AL155" s="237"/>
      <c r="AN155" s="174"/>
      <c r="AP155" s="237"/>
      <c r="AR155" s="237"/>
      <c r="AV155" s="237"/>
      <c r="AZ155" s="237"/>
      <c r="BD155" s="237"/>
      <c r="BH155" s="237"/>
      <c r="BL155" s="237"/>
      <c r="BP155" s="237"/>
      <c r="BT155" s="237"/>
      <c r="BX155" s="237"/>
    </row>
    <row r="156" spans="1:78" s="140" customFormat="1">
      <c r="A156" s="149"/>
      <c r="B156" s="159" t="s">
        <v>469</v>
      </c>
      <c r="C156" s="155" t="s">
        <v>406</v>
      </c>
      <c r="D156" s="231">
        <v>224.64599999999999</v>
      </c>
      <c r="E156" s="140">
        <f>F156</f>
        <v>246.74600000000001</v>
      </c>
      <c r="F156" s="231">
        <v>246.74600000000001</v>
      </c>
      <c r="H156" s="175">
        <v>252.12799999999999</v>
      </c>
      <c r="I156" s="140">
        <f>J156</f>
        <v>263.85899999999998</v>
      </c>
      <c r="J156" s="231">
        <v>263.85899999999998</v>
      </c>
      <c r="L156" s="231">
        <v>271.15100000000001</v>
      </c>
      <c r="M156" s="140">
        <f>N156</f>
        <v>267.09699999999998</v>
      </c>
      <c r="N156" s="231">
        <v>267.09699999999998</v>
      </c>
      <c r="P156" s="175">
        <v>328.113</v>
      </c>
      <c r="Q156" s="140">
        <f>R156</f>
        <v>401.14600000000002</v>
      </c>
      <c r="R156" s="231">
        <v>401.14600000000002</v>
      </c>
      <c r="T156" s="231">
        <v>395.73899999999998</v>
      </c>
      <c r="U156" s="140">
        <f>V156</f>
        <v>382.99599999999998</v>
      </c>
      <c r="V156" s="231">
        <v>382.99599999999998</v>
      </c>
      <c r="X156" s="231">
        <v>510.73500000000001</v>
      </c>
      <c r="Y156" s="140">
        <f>Z156</f>
        <v>469.67700000000002</v>
      </c>
      <c r="Z156" s="231">
        <v>469.67700000000002</v>
      </c>
      <c r="AA156" s="219"/>
      <c r="AB156" s="231">
        <v>514.83600000000001</v>
      </c>
      <c r="AC156" s="140">
        <f>AD156</f>
        <v>622.51</v>
      </c>
      <c r="AD156" s="231">
        <v>622.51</v>
      </c>
      <c r="AF156" s="470">
        <v>1806.8510000000001</v>
      </c>
      <c r="AG156" s="140">
        <f>AH156</f>
        <v>1956.8409999999999</v>
      </c>
      <c r="AH156" s="231">
        <v>1956.8409999999999</v>
      </c>
      <c r="AJ156" s="470">
        <v>2005.4269999999999</v>
      </c>
      <c r="AK156" s="140">
        <f>AL156</f>
        <v>2042.894</v>
      </c>
      <c r="AL156" s="231">
        <v>2042.894</v>
      </c>
      <c r="AN156" s="509">
        <v>2462.299</v>
      </c>
      <c r="AO156" s="140">
        <f>AP156</f>
        <v>2601.65</v>
      </c>
      <c r="AP156" s="915">
        <v>2601.65</v>
      </c>
      <c r="AR156" s="166">
        <f t="shared" ref="AR156:AT156" si="478">+AR164</f>
        <v>2546.3255974000003</v>
      </c>
      <c r="AS156" s="166">
        <f t="shared" si="478"/>
        <v>2482.3110900000001</v>
      </c>
      <c r="AT156" s="166">
        <f t="shared" si="478"/>
        <v>2482.3110900000001</v>
      </c>
      <c r="AV156" s="166">
        <f t="shared" ref="AV156:AX156" si="479">+AV164</f>
        <v>2428.0449003822505</v>
      </c>
      <c r="AW156" s="166">
        <f t="shared" si="479"/>
        <v>2371.9514197250001</v>
      </c>
      <c r="AX156" s="166">
        <f t="shared" si="479"/>
        <v>2371.9514197250005</v>
      </c>
      <c r="AZ156" s="166">
        <f t="shared" ref="AZ156:BB156" si="480">+AZ164</f>
        <v>2324.7911668491879</v>
      </c>
      <c r="BA156" s="166">
        <f t="shared" si="480"/>
        <v>2276.1014142777503</v>
      </c>
      <c r="BB156" s="166">
        <f t="shared" si="480"/>
        <v>2276.1014142777499</v>
      </c>
      <c r="BD156" s="166">
        <f t="shared" ref="BD156:BF156" si="481">+BD164</f>
        <v>2234.8100305878847</v>
      </c>
      <c r="BE156" s="166">
        <f t="shared" si="481"/>
        <v>2192.2366010551527</v>
      </c>
      <c r="BF156" s="166">
        <f t="shared" si="481"/>
        <v>2192.2366010551532</v>
      </c>
      <c r="BH156" s="166">
        <f t="shared" ref="BH156:BJ156" si="482">+BH164</f>
        <v>2155.7867393135639</v>
      </c>
      <c r="BI156" s="166">
        <f t="shared" si="482"/>
        <v>2118.2605112049891</v>
      </c>
      <c r="BJ156" s="166">
        <f t="shared" si="482"/>
        <v>2118.2605112049891</v>
      </c>
      <c r="BL156" s="166">
        <f t="shared" ref="BL156:BN156" si="483">+BL164</f>
        <v>2085.7988804148899</v>
      </c>
      <c r="BM156" s="166">
        <f t="shared" si="483"/>
        <v>2052.4318958564377</v>
      </c>
      <c r="BN156" s="166">
        <f t="shared" si="483"/>
        <v>2052.4318958564377</v>
      </c>
      <c r="BP156" s="166">
        <f t="shared" ref="BP156:BR156" si="484">+BP164</f>
        <v>2023.2496598451828</v>
      </c>
      <c r="BQ156" s="166">
        <f t="shared" si="484"/>
        <v>1993.3043151287657</v>
      </c>
      <c r="BR156" s="166">
        <f t="shared" si="484"/>
        <v>1993.3043151287659</v>
      </c>
      <c r="BT156" s="166">
        <f t="shared" ref="BT156:BV156" si="485">+BT164</f>
        <v>1966.8125231348426</v>
      </c>
      <c r="BU156" s="166">
        <f t="shared" si="485"/>
        <v>1939.6759965366564</v>
      </c>
      <c r="BV156" s="166">
        <f t="shared" si="485"/>
        <v>1939.6759965366566</v>
      </c>
      <c r="BX156" s="166">
        <f t="shared" ref="BX156:BZ156" si="486">+BX164</f>
        <v>1915.3851903550271</v>
      </c>
      <c r="BY156" s="166">
        <f t="shared" si="486"/>
        <v>1890.5482169853012</v>
      </c>
      <c r="BZ156" s="166">
        <f t="shared" si="486"/>
        <v>1890.5482169853015</v>
      </c>
    </row>
    <row r="157" spans="1:78" s="140" customFormat="1">
      <c r="A157" s="149"/>
      <c r="B157" s="336" t="s">
        <v>268</v>
      </c>
      <c r="C157" s="155" t="s">
        <v>406</v>
      </c>
      <c r="D157" s="230">
        <v>199.83600000000001</v>
      </c>
      <c r="E157" s="218">
        <f>D156</f>
        <v>224.64599999999999</v>
      </c>
      <c r="F157" s="230">
        <v>199.83600000000001</v>
      </c>
      <c r="G157" s="219"/>
      <c r="H157" s="218">
        <f>F156</f>
        <v>246.74600000000001</v>
      </c>
      <c r="I157" s="218">
        <f>H156</f>
        <v>252.12799999999999</v>
      </c>
      <c r="J157" s="218">
        <f>F156</f>
        <v>246.74600000000001</v>
      </c>
      <c r="K157" s="219"/>
      <c r="L157" s="218">
        <f>J156</f>
        <v>263.85899999999998</v>
      </c>
      <c r="M157" s="218">
        <f>L156</f>
        <v>271.15100000000001</v>
      </c>
      <c r="N157" s="218">
        <f>J156</f>
        <v>263.85899999999998</v>
      </c>
      <c r="O157" s="219"/>
      <c r="P157" s="218">
        <f>N156</f>
        <v>267.09699999999998</v>
      </c>
      <c r="Q157" s="218">
        <f>P156</f>
        <v>328.113</v>
      </c>
      <c r="R157" s="218">
        <f>N156</f>
        <v>267.09699999999998</v>
      </c>
      <c r="S157" s="219"/>
      <c r="T157" s="161">
        <f>R156</f>
        <v>401.14600000000002</v>
      </c>
      <c r="U157" s="161">
        <f>T156</f>
        <v>395.73899999999998</v>
      </c>
      <c r="V157" s="161">
        <f>R156</f>
        <v>401.14600000000002</v>
      </c>
      <c r="X157" s="161">
        <f>V156</f>
        <v>382.99599999999998</v>
      </c>
      <c r="Y157" s="161">
        <f>X156</f>
        <v>510.73500000000001</v>
      </c>
      <c r="Z157" s="161">
        <f>V156</f>
        <v>382.99599999999998</v>
      </c>
      <c r="AA157" s="219"/>
      <c r="AB157" s="161">
        <f>Z156</f>
        <v>469.67700000000002</v>
      </c>
      <c r="AC157" s="161">
        <f>AB156</f>
        <v>514.83600000000001</v>
      </c>
      <c r="AD157" s="161">
        <f>Z156</f>
        <v>469.67700000000002</v>
      </c>
      <c r="AF157" s="165">
        <f>AD164</f>
        <v>622.5100000000001</v>
      </c>
      <c r="AG157" s="161">
        <f>AF156</f>
        <v>1806.8510000000001</v>
      </c>
      <c r="AH157" s="231">
        <v>688.46600000000001</v>
      </c>
      <c r="AJ157" s="165">
        <f>AH164</f>
        <v>1956.8409999999999</v>
      </c>
      <c r="AK157" s="161">
        <f>AJ156</f>
        <v>2005.4269999999999</v>
      </c>
      <c r="AL157" s="231">
        <v>2061.444</v>
      </c>
      <c r="AN157" s="165">
        <f>AL164</f>
        <v>2042.894</v>
      </c>
      <c r="AO157" s="161">
        <f>AN156</f>
        <v>2462.299</v>
      </c>
      <c r="AP157" s="915">
        <v>2036.3330000000001</v>
      </c>
      <c r="AR157" s="165">
        <f t="shared" ref="AR157" si="487">+AO164</f>
        <v>2608.2110000000002</v>
      </c>
      <c r="AS157" s="165">
        <f t="shared" ref="AS157" si="488">+AR164</f>
        <v>2546.3255974000003</v>
      </c>
      <c r="AT157" s="165">
        <f t="shared" ref="AT157" si="489">AR157</f>
        <v>2608.2110000000002</v>
      </c>
      <c r="AV157" s="165">
        <f t="shared" ref="AV157" si="490">+AS164</f>
        <v>2482.3110900000001</v>
      </c>
      <c r="AW157" s="165">
        <f t="shared" ref="AW157" si="491">+AV164</f>
        <v>2428.0449003822505</v>
      </c>
      <c r="AX157" s="165">
        <f t="shared" ref="AX157" si="492">AV157</f>
        <v>2482.3110900000001</v>
      </c>
      <c r="AZ157" s="165">
        <f t="shared" ref="AZ157" si="493">+AW164</f>
        <v>2371.9514197250001</v>
      </c>
      <c r="BA157" s="165">
        <f t="shared" ref="BA157" si="494">+AZ164</f>
        <v>2324.7911668491879</v>
      </c>
      <c r="BB157" s="165">
        <f t="shared" ref="BB157" si="495">AZ157</f>
        <v>2371.9514197250001</v>
      </c>
      <c r="BD157" s="165">
        <f t="shared" ref="BD157" si="496">+BA164</f>
        <v>2276.1014142777503</v>
      </c>
      <c r="BE157" s="165">
        <f t="shared" ref="BE157" si="497">+BD164</f>
        <v>2234.8100305878847</v>
      </c>
      <c r="BF157" s="165">
        <f t="shared" ref="BF157" si="498">BD157</f>
        <v>2276.1014142777503</v>
      </c>
      <c r="BH157" s="165">
        <f t="shared" ref="BH157" si="499">+BE164</f>
        <v>2192.2366010551527</v>
      </c>
      <c r="BI157" s="165">
        <f t="shared" ref="BI157" si="500">+BH164</f>
        <v>2155.7867393135639</v>
      </c>
      <c r="BJ157" s="165">
        <f t="shared" ref="BJ157" si="501">BH157</f>
        <v>2192.2366010551527</v>
      </c>
      <c r="BL157" s="165">
        <f t="shared" ref="BL157" si="502">+BI164</f>
        <v>2118.2605112049891</v>
      </c>
      <c r="BM157" s="165">
        <f t="shared" ref="BM157" si="503">+BL164</f>
        <v>2085.7988804148899</v>
      </c>
      <c r="BN157" s="165">
        <f t="shared" ref="BN157" si="504">BL157</f>
        <v>2118.2605112049891</v>
      </c>
      <c r="BP157" s="165">
        <f t="shared" ref="BP157" si="505">+BM164</f>
        <v>2052.4318958564377</v>
      </c>
      <c r="BQ157" s="165">
        <f t="shared" ref="BQ157" si="506">+BP164</f>
        <v>2023.2496598451828</v>
      </c>
      <c r="BR157" s="165">
        <f t="shared" ref="BR157" si="507">BP157</f>
        <v>2052.4318958564377</v>
      </c>
      <c r="BT157" s="165">
        <f t="shared" ref="BT157" si="508">+BQ164</f>
        <v>1993.3043151287657</v>
      </c>
      <c r="BU157" s="165">
        <f t="shared" ref="BU157" si="509">+BT164</f>
        <v>1966.8125231348426</v>
      </c>
      <c r="BV157" s="165">
        <f t="shared" ref="BV157" si="510">BT157</f>
        <v>1993.3043151287657</v>
      </c>
      <c r="BX157" s="165">
        <f t="shared" ref="BX157" si="511">+BU164</f>
        <v>1939.6759965366564</v>
      </c>
      <c r="BY157" s="165">
        <f t="shared" ref="BY157" si="512">+BX164</f>
        <v>1915.3851903550271</v>
      </c>
      <c r="BZ157" s="165">
        <f t="shared" ref="BZ157" si="513">BX157</f>
        <v>1939.6759965366564</v>
      </c>
    </row>
    <row r="158" spans="1:78" s="140" customFormat="1">
      <c r="A158" s="149"/>
      <c r="B158" s="337" t="s">
        <v>274</v>
      </c>
      <c r="C158" s="155" t="s">
        <v>406</v>
      </c>
      <c r="D158" s="800">
        <v>28</v>
      </c>
      <c r="E158" s="218">
        <f t="shared" ref="E158:E163" si="514">F158-D158</f>
        <v>35.343000000000004</v>
      </c>
      <c r="F158" s="230">
        <v>63.343000000000004</v>
      </c>
      <c r="G158" s="219"/>
      <c r="H158" s="800">
        <v>8</v>
      </c>
      <c r="I158" s="218">
        <f t="shared" ref="I158:I163" si="515">J158-H158</f>
        <v>12.908000000000001</v>
      </c>
      <c r="J158" s="230">
        <v>20.908000000000001</v>
      </c>
      <c r="K158" s="219"/>
      <c r="L158" s="800">
        <v>12</v>
      </c>
      <c r="M158" s="218">
        <f t="shared" ref="M158:M163" si="516">N158-L158</f>
        <v>6.6099999999999994</v>
      </c>
      <c r="N158" s="230">
        <v>18.61</v>
      </c>
      <c r="O158" s="219"/>
      <c r="P158" s="800">
        <v>72</v>
      </c>
      <c r="Q158" s="218">
        <f t="shared" ref="Q158:Q163" si="517">R158-P158</f>
        <v>83.781000000000006</v>
      </c>
      <c r="R158" s="230">
        <f>6.151+149.63</f>
        <v>155.78100000000001</v>
      </c>
      <c r="S158" s="219"/>
      <c r="T158" s="445">
        <v>3</v>
      </c>
      <c r="U158" s="161">
        <f t="shared" ref="U158:U163" si="518">V158-T158</f>
        <v>8.254999999999999</v>
      </c>
      <c r="V158" s="181">
        <f>2.665+8.578+0.012</f>
        <v>11.254999999999999</v>
      </c>
      <c r="W158" s="138"/>
      <c r="X158" s="445">
        <v>135</v>
      </c>
      <c r="Y158" s="161">
        <f t="shared" ref="Y158:Y163" si="519">Z158-X158</f>
        <v>4.6169999999999902</v>
      </c>
      <c r="Z158" s="181">
        <f>0.38+139.237</f>
        <v>139.61699999999999</v>
      </c>
      <c r="AA158" s="219"/>
      <c r="AB158" s="444">
        <v>60</v>
      </c>
      <c r="AC158" s="161">
        <f t="shared" ref="AC158:AC163" si="520">AD158-AB158</f>
        <v>121.07</v>
      </c>
      <c r="AD158" s="230">
        <f>0.956+180.114</f>
        <v>181.07</v>
      </c>
      <c r="AF158" s="487">
        <v>1180</v>
      </c>
      <c r="AG158" s="161">
        <f t="shared" ref="AG158:AG163" si="521">AH158-AF158</f>
        <v>137.64999999999986</v>
      </c>
      <c r="AH158" s="230">
        <f>9.021+1308.629</f>
        <v>1317.6499999999999</v>
      </c>
      <c r="AJ158" s="834">
        <v>105</v>
      </c>
      <c r="AK158" s="161">
        <f t="shared" ref="AK158:AK163" si="522">AL158-AJ158</f>
        <v>59.742999999999995</v>
      </c>
      <c r="AL158" s="230">
        <f>7.011+157.732</f>
        <v>164.74299999999999</v>
      </c>
      <c r="AN158" s="887">
        <v>105</v>
      </c>
      <c r="AO158" s="161">
        <f t="shared" ref="AO158:AO163" si="523">AP158-AN158</f>
        <v>422.81600000000003</v>
      </c>
      <c r="AP158" s="916">
        <f>9.796+518.02</f>
        <v>527.81600000000003</v>
      </c>
      <c r="AR158" s="483">
        <f t="shared" ref="AR158:AS158" si="524">+AR170+AR182</f>
        <v>-8.3334299999999999</v>
      </c>
      <c r="AS158" s="483">
        <f t="shared" si="524"/>
        <v>-8.2767400000000002</v>
      </c>
      <c r="AT158" s="165">
        <f t="shared" ref="AT158:AT163" si="525">+AR158+AS158</f>
        <v>-16.61017</v>
      </c>
      <c r="AV158" s="483">
        <f t="shared" ref="AV158:AW158" si="526">+AV170+AV182</f>
        <v>-9.497559149999999</v>
      </c>
      <c r="AW158" s="483">
        <f t="shared" si="526"/>
        <v>-9.497559149999999</v>
      </c>
      <c r="AX158" s="165">
        <f t="shared" ref="AX158:AX163" si="527">+AV158+AW158</f>
        <v>-18.995118299999998</v>
      </c>
      <c r="AZ158" s="483">
        <f t="shared" ref="AZ158:BA158" si="528">+AZ170+AZ182</f>
        <v>-9.6875103330000005</v>
      </c>
      <c r="BA158" s="483">
        <f t="shared" si="528"/>
        <v>-9.6875103330000005</v>
      </c>
      <c r="BB158" s="165">
        <f t="shared" ref="BB158:BB163" si="529">+AZ158+BA158</f>
        <v>-19.375020666000001</v>
      </c>
      <c r="BD158" s="483">
        <f t="shared" ref="BD158:BE158" si="530">+BD170+BD182</f>
        <v>-9.8812605396599995</v>
      </c>
      <c r="BE158" s="483">
        <f t="shared" si="530"/>
        <v>-9.8812605396599995</v>
      </c>
      <c r="BF158" s="165">
        <f t="shared" ref="BF158:BF163" si="531">+BD158+BE158</f>
        <v>-19.762521079319999</v>
      </c>
      <c r="BH158" s="483">
        <f t="shared" ref="BH158:BI158" si="532">+BH170+BH182</f>
        <v>-10.0788857504532</v>
      </c>
      <c r="BI158" s="483">
        <f t="shared" si="532"/>
        <v>-10.0788857504532</v>
      </c>
      <c r="BJ158" s="165">
        <f t="shared" ref="BJ158:BJ163" si="533">+BH158+BI158</f>
        <v>-20.157771500906399</v>
      </c>
      <c r="BL158" s="483">
        <f t="shared" ref="BL158:BM158" si="534">+BL170+BL182</f>
        <v>-10.280463465462264</v>
      </c>
      <c r="BM158" s="483">
        <f t="shared" si="534"/>
        <v>-10.280463465462264</v>
      </c>
      <c r="BN158" s="165">
        <f t="shared" ref="BN158:BN163" si="535">+BL158+BM158</f>
        <v>-20.560926930924527</v>
      </c>
      <c r="BP158" s="483">
        <f t="shared" ref="BP158:BQ158" si="536">+BP170+BP182</f>
        <v>-10.486072734771509</v>
      </c>
      <c r="BQ158" s="483">
        <f t="shared" si="536"/>
        <v>-10.486072734771509</v>
      </c>
      <c r="BR158" s="165">
        <f t="shared" ref="BR158:BR163" si="537">+BP158+BQ158</f>
        <v>-20.972145469543019</v>
      </c>
      <c r="BT158" s="483">
        <f t="shared" ref="BT158:BU158" si="538">+BT170+BT182</f>
        <v>-10.695794189466941</v>
      </c>
      <c r="BU158" s="483">
        <f t="shared" si="538"/>
        <v>-10.695794189466941</v>
      </c>
      <c r="BV158" s="165">
        <f t="shared" ref="BV158:BV163" si="539">+BT158+BU158</f>
        <v>-21.391588378933882</v>
      </c>
      <c r="BX158" s="483">
        <f t="shared" ref="BX158:BY158" si="540">+BX170+BX182</f>
        <v>-10.909710073256278</v>
      </c>
      <c r="BY158" s="483">
        <f t="shared" si="540"/>
        <v>-10.909710073256278</v>
      </c>
      <c r="BZ158" s="165">
        <f t="shared" ref="BZ158:BZ163" si="541">+BX158+BY158</f>
        <v>-21.819420146512556</v>
      </c>
    </row>
    <row r="159" spans="1:78" s="140" customFormat="1">
      <c r="A159" s="149"/>
      <c r="B159" s="337" t="s">
        <v>273</v>
      </c>
      <c r="C159" s="155" t="s">
        <v>406</v>
      </c>
      <c r="D159" s="800">
        <v>0</v>
      </c>
      <c r="E159" s="218">
        <f t="shared" si="514"/>
        <v>-11.141999999999999</v>
      </c>
      <c r="F159" s="230">
        <f>-13.608+2.466</f>
        <v>-11.141999999999999</v>
      </c>
      <c r="G159" s="219"/>
      <c r="H159" s="800">
        <v>0</v>
      </c>
      <c r="I159" s="218">
        <f t="shared" si="515"/>
        <v>0</v>
      </c>
      <c r="J159" s="230">
        <v>0</v>
      </c>
      <c r="K159" s="219"/>
      <c r="L159" s="800">
        <v>0</v>
      </c>
      <c r="M159" s="218">
        <f t="shared" si="516"/>
        <v>-7.5280000000000014</v>
      </c>
      <c r="N159" s="230">
        <f>-10.55+2.011+1.011</f>
        <v>-7.5280000000000014</v>
      </c>
      <c r="O159" s="219"/>
      <c r="P159" s="800">
        <v>0</v>
      </c>
      <c r="Q159" s="218">
        <f t="shared" si="517"/>
        <v>-0.28999999999999981</v>
      </c>
      <c r="R159" s="230">
        <f>-1.746+0.342+1.114</f>
        <v>-0.28999999999999981</v>
      </c>
      <c r="S159" s="219"/>
      <c r="T159" s="445">
        <v>0</v>
      </c>
      <c r="U159" s="161">
        <f t="shared" si="518"/>
        <v>-11.574000000000002</v>
      </c>
      <c r="V159" s="181">
        <f>-12.233+0.004+0.655</f>
        <v>-11.574000000000002</v>
      </c>
      <c r="W159" s="138"/>
      <c r="X159" s="444">
        <v>0</v>
      </c>
      <c r="Y159" s="161">
        <f t="shared" si="519"/>
        <v>-39.573</v>
      </c>
      <c r="Z159" s="181">
        <f>-39.573</f>
        <v>-39.573</v>
      </c>
      <c r="AA159" s="219"/>
      <c r="AB159" s="249">
        <f>+AD159/2</f>
        <v>-3.1609999999999996</v>
      </c>
      <c r="AC159" s="161">
        <f t="shared" si="520"/>
        <v>-3.1609999999999996</v>
      </c>
      <c r="AD159" s="230">
        <f>-6.459+0.137</f>
        <v>-6.3219999999999992</v>
      </c>
      <c r="AF159" s="483">
        <f>+AF171+AF183</f>
        <v>-5.2082100000000002</v>
      </c>
      <c r="AG159" s="161">
        <f t="shared" si="521"/>
        <v>-5.4207899999999993</v>
      </c>
      <c r="AH159" s="230">
        <v>-10.629</v>
      </c>
      <c r="AJ159" s="483">
        <f>+AJ171+AJ183</f>
        <v>-11.318019999999999</v>
      </c>
      <c r="AK159" s="161">
        <f t="shared" si="522"/>
        <v>-11.77998</v>
      </c>
      <c r="AL159" s="230">
        <v>-23.097999999999999</v>
      </c>
      <c r="AN159" s="483">
        <f>+AN171+AN183</f>
        <v>-12.56066</v>
      </c>
      <c r="AO159" s="161">
        <f t="shared" si="523"/>
        <v>-13.07334</v>
      </c>
      <c r="AP159" s="916">
        <v>-25.634</v>
      </c>
      <c r="AR159" s="483">
        <f t="shared" ref="AR159:AS159" si="542">+AR171+AR183</f>
        <v>-2.4500000000000002</v>
      </c>
      <c r="AS159" s="483">
        <f t="shared" si="542"/>
        <v>-2.5499999999999998</v>
      </c>
      <c r="AT159" s="165">
        <f t="shared" si="525"/>
        <v>-5</v>
      </c>
      <c r="AV159" s="483">
        <f t="shared" ref="AV159:AW159" si="543">+AV171+AV183</f>
        <v>-2.4500000000000002</v>
      </c>
      <c r="AW159" s="483">
        <f t="shared" si="543"/>
        <v>-2.5499999999999998</v>
      </c>
      <c r="AX159" s="165">
        <f t="shared" si="527"/>
        <v>-5</v>
      </c>
      <c r="AZ159" s="483">
        <f t="shared" ref="AZ159:BA159" si="544">+AZ171+AZ183</f>
        <v>-2.4500000000000002</v>
      </c>
      <c r="BA159" s="483">
        <f t="shared" si="544"/>
        <v>-2.5499999999999998</v>
      </c>
      <c r="BB159" s="165">
        <f t="shared" si="529"/>
        <v>-5</v>
      </c>
      <c r="BD159" s="483">
        <f t="shared" ref="BD159:BE159" si="545">+BD171+BD183</f>
        <v>-2.4500000000000002</v>
      </c>
      <c r="BE159" s="483">
        <f t="shared" si="545"/>
        <v>-2.5499999999999998</v>
      </c>
      <c r="BF159" s="165">
        <f t="shared" si="531"/>
        <v>-5</v>
      </c>
      <c r="BH159" s="483">
        <f t="shared" ref="BH159:BI159" si="546">+BH171+BH183</f>
        <v>-2.4500000000000002</v>
      </c>
      <c r="BI159" s="483">
        <f t="shared" si="546"/>
        <v>-2.5499999999999998</v>
      </c>
      <c r="BJ159" s="165">
        <f t="shared" si="533"/>
        <v>-5</v>
      </c>
      <c r="BL159" s="483">
        <f t="shared" ref="BL159:BM159" si="547">+BL171+BL183</f>
        <v>-2.4500000000000002</v>
      </c>
      <c r="BM159" s="483">
        <f t="shared" si="547"/>
        <v>-2.5499999999999998</v>
      </c>
      <c r="BN159" s="165">
        <f t="shared" si="535"/>
        <v>-5</v>
      </c>
      <c r="BP159" s="483">
        <f t="shared" ref="BP159:BQ159" si="548">+BP171+BP183</f>
        <v>-2.4500000000000002</v>
      </c>
      <c r="BQ159" s="483">
        <f t="shared" si="548"/>
        <v>-2.5499999999999998</v>
      </c>
      <c r="BR159" s="165">
        <f t="shared" si="537"/>
        <v>-5</v>
      </c>
      <c r="BT159" s="483">
        <f t="shared" ref="BT159:BU159" si="549">+BT171+BT183</f>
        <v>-2.4500000000000002</v>
      </c>
      <c r="BU159" s="483">
        <f t="shared" si="549"/>
        <v>-2.5499999999999998</v>
      </c>
      <c r="BV159" s="165">
        <f t="shared" si="539"/>
        <v>-5</v>
      </c>
      <c r="BX159" s="483">
        <f t="shared" ref="BX159:BY159" si="550">+BX171+BX183</f>
        <v>-2.4500000000000002</v>
      </c>
      <c r="BY159" s="483">
        <f t="shared" si="550"/>
        <v>-2.5499999999999998</v>
      </c>
      <c r="BZ159" s="165">
        <f t="shared" si="541"/>
        <v>-5</v>
      </c>
    </row>
    <row r="160" spans="1:78" s="140" customFormat="1">
      <c r="A160" s="149"/>
      <c r="B160" s="337" t="s">
        <v>438</v>
      </c>
      <c r="C160" s="155" t="s">
        <v>406</v>
      </c>
      <c r="D160" s="799">
        <f>+F160/2</f>
        <v>-1.8640000000000001</v>
      </c>
      <c r="E160" s="218">
        <f t="shared" si="514"/>
        <v>-1.8640000000000001</v>
      </c>
      <c r="F160" s="230">
        <v>-3.7280000000000002</v>
      </c>
      <c r="G160" s="219"/>
      <c r="H160" s="799">
        <f>+J160/2</f>
        <v>-2.089</v>
      </c>
      <c r="I160" s="218">
        <f t="shared" si="515"/>
        <v>-2.089</v>
      </c>
      <c r="J160" s="230">
        <v>-4.1779999999999999</v>
      </c>
      <c r="K160" s="219"/>
      <c r="L160" s="799">
        <f>+N160/2</f>
        <v>-2.3029999999999999</v>
      </c>
      <c r="M160" s="218">
        <f>N160-L160</f>
        <v>-2.3029999999999999</v>
      </c>
      <c r="N160" s="230">
        <v>-4.6059999999999999</v>
      </c>
      <c r="O160" s="219"/>
      <c r="P160" s="799">
        <f>+R160/2</f>
        <v>-3.9390000000000001</v>
      </c>
      <c r="Q160" s="218">
        <f t="shared" si="517"/>
        <v>-3.9390000000000001</v>
      </c>
      <c r="R160" s="230">
        <v>-7.8780000000000001</v>
      </c>
      <c r="S160" s="219"/>
      <c r="T160" s="477">
        <f>+V160/2</f>
        <v>-3.7629999999999999</v>
      </c>
      <c r="U160" s="161">
        <f t="shared" si="518"/>
        <v>-3.7629999999999999</v>
      </c>
      <c r="V160" s="181">
        <v>-7.5259999999999998</v>
      </c>
      <c r="W160" s="138"/>
      <c r="X160" s="249">
        <f>+Z160/2</f>
        <v>-4.9055</v>
      </c>
      <c r="Y160" s="161">
        <f t="shared" si="519"/>
        <v>-4.9055</v>
      </c>
      <c r="Z160" s="181">
        <v>-9.8109999999999999</v>
      </c>
      <c r="AA160" s="219"/>
      <c r="AB160" s="249">
        <f>+AD160/2</f>
        <v>-5.008</v>
      </c>
      <c r="AC160" s="161">
        <f t="shared" si="520"/>
        <v>-5.008</v>
      </c>
      <c r="AD160" s="230">
        <v>-10.016</v>
      </c>
      <c r="AF160" s="483">
        <f>+AF172+AF184</f>
        <v>-18.741029999999999</v>
      </c>
      <c r="AG160" s="161">
        <f t="shared" si="521"/>
        <v>-19.505970000000001</v>
      </c>
      <c r="AH160" s="230">
        <f>65.956-104.203</f>
        <v>-38.247</v>
      </c>
      <c r="AJ160" s="483">
        <f>+AJ172+AJ184</f>
        <v>-24.822909999999997</v>
      </c>
      <c r="AK160" s="161">
        <f t="shared" si="522"/>
        <v>-25.836089999999995</v>
      </c>
      <c r="AL160" s="230">
        <f>104.203-154.862</f>
        <v>-50.658999999999992</v>
      </c>
      <c r="AN160" s="483">
        <f>+AN172+AN184</f>
        <v>-30.866079999999993</v>
      </c>
      <c r="AO160" s="161">
        <f t="shared" si="523"/>
        <v>-32.125919999999994</v>
      </c>
      <c r="AP160" s="916">
        <f>150.381-213.373</f>
        <v>-62.99199999999999</v>
      </c>
      <c r="AR160" s="483">
        <f t="shared" ref="AR160:AS163" si="551">+AR172+AR184</f>
        <v>-49.631972600000012</v>
      </c>
      <c r="AS160" s="483">
        <f t="shared" si="551"/>
        <v>-51.657767400000012</v>
      </c>
      <c r="AT160" s="165">
        <f t="shared" si="525"/>
        <v>-101.28974000000002</v>
      </c>
      <c r="AV160" s="483">
        <f t="shared" ref="AV160:AW163" si="552">+AV172+AV184</f>
        <v>-40.848630467750013</v>
      </c>
      <c r="AW160" s="483">
        <f t="shared" si="552"/>
        <v>-42.515921507250013</v>
      </c>
      <c r="AX160" s="165">
        <f t="shared" si="527"/>
        <v>-83.364551975000026</v>
      </c>
      <c r="AZ160" s="483">
        <f t="shared" ref="AZ160:BA163" si="553">+AZ172+AZ184</f>
        <v>-33.55274254281251</v>
      </c>
      <c r="BA160" s="483">
        <f t="shared" si="553"/>
        <v>-34.922242238437505</v>
      </c>
      <c r="BB160" s="165">
        <f t="shared" si="529"/>
        <v>-68.474984781250015</v>
      </c>
      <c r="BD160" s="483">
        <f t="shared" ref="BD160:BE163" si="554">+BD172+BD184</f>
        <v>-27.490123150205978</v>
      </c>
      <c r="BE160" s="483">
        <f t="shared" si="554"/>
        <v>-28.612168993071531</v>
      </c>
      <c r="BF160" s="165">
        <f t="shared" si="531"/>
        <v>-56.102292143277509</v>
      </c>
      <c r="BH160" s="483">
        <f t="shared" ref="BH160:BI163" si="555">+BH172+BH184</f>
        <v>-22.450975991135994</v>
      </c>
      <c r="BI160" s="483">
        <f t="shared" si="555"/>
        <v>-23.367342358121139</v>
      </c>
      <c r="BJ160" s="165">
        <f t="shared" si="533"/>
        <v>-45.818318349257133</v>
      </c>
      <c r="BL160" s="483">
        <f t="shared" ref="BL160:BM163" si="556">+BL172+BL184</f>
        <v>-18.261167324637213</v>
      </c>
      <c r="BM160" s="483">
        <f t="shared" si="556"/>
        <v>-19.00652109298975</v>
      </c>
      <c r="BN160" s="165">
        <f t="shared" si="535"/>
        <v>-37.267688417626964</v>
      </c>
      <c r="BP160" s="483">
        <f t="shared" ref="BP160:BQ163" si="557">+BP172+BP184</f>
        <v>-14.776163276483103</v>
      </c>
      <c r="BQ160" s="483">
        <f t="shared" si="557"/>
        <v>-15.37927198164568</v>
      </c>
      <c r="BR160" s="165">
        <f t="shared" si="537"/>
        <v>-30.155435258128783</v>
      </c>
      <c r="BT160" s="483">
        <f t="shared" ref="BT160:BU160" si="558">+BT172+BT184</f>
        <v>-11.875997804455878</v>
      </c>
      <c r="BU160" s="483">
        <f t="shared" si="558"/>
        <v>-12.360732408719382</v>
      </c>
      <c r="BV160" s="165">
        <f t="shared" si="539"/>
        <v>-24.23673021317526</v>
      </c>
      <c r="BX160" s="483">
        <f t="shared" ref="BX160:BY160" si="559">+BX172+BX184</f>
        <v>-9.4610961083727805</v>
      </c>
      <c r="BY160" s="483">
        <f t="shared" si="559"/>
        <v>-9.8472632964696292</v>
      </c>
      <c r="BZ160" s="165">
        <f t="shared" si="541"/>
        <v>-19.30835940484241</v>
      </c>
    </row>
    <row r="161" spans="1:78" s="140" customFormat="1">
      <c r="A161" s="149"/>
      <c r="B161" s="337" t="s">
        <v>439</v>
      </c>
      <c r="C161" s="155" t="s">
        <v>406</v>
      </c>
      <c r="D161" s="799">
        <f>+F161/2</f>
        <v>-1.02</v>
      </c>
      <c r="E161" s="218">
        <f t="shared" si="514"/>
        <v>-1.02</v>
      </c>
      <c r="F161" s="230">
        <v>-2.04</v>
      </c>
      <c r="G161" s="219"/>
      <c r="H161" s="799">
        <f>+J161/2</f>
        <v>-0.1595</v>
      </c>
      <c r="I161" s="218">
        <f t="shared" si="515"/>
        <v>-0.1595</v>
      </c>
      <c r="J161" s="230">
        <v>-0.31900000000000001</v>
      </c>
      <c r="K161" s="219"/>
      <c r="L161" s="799">
        <f>+N161/2</f>
        <v>-1.2589999999999999</v>
      </c>
      <c r="M161" s="218">
        <f t="shared" si="516"/>
        <v>-1.2589999999999999</v>
      </c>
      <c r="N161" s="230">
        <v>-2.5179999999999998</v>
      </c>
      <c r="O161" s="219"/>
      <c r="P161" s="799">
        <f>+R161/2</f>
        <v>-7.5469999999999997</v>
      </c>
      <c r="Q161" s="218">
        <f t="shared" si="517"/>
        <v>-7.5469999999999997</v>
      </c>
      <c r="R161" s="230">
        <v>-15.093999999999999</v>
      </c>
      <c r="S161" s="219"/>
      <c r="T161" s="477">
        <f>+V161/2</f>
        <v>-2.7244999999999999</v>
      </c>
      <c r="U161" s="161">
        <f t="shared" si="518"/>
        <v>-2.7244999999999999</v>
      </c>
      <c r="V161" s="181">
        <v>-5.4489999999999998</v>
      </c>
      <c r="W161" s="138"/>
      <c r="X161" s="249">
        <f>+Z161/2</f>
        <v>-1.5</v>
      </c>
      <c r="Y161" s="161">
        <f t="shared" si="519"/>
        <v>-1.5</v>
      </c>
      <c r="Z161" s="181">
        <v>-3</v>
      </c>
      <c r="AA161" s="219"/>
      <c r="AB161" s="249">
        <f>+AD161/2</f>
        <v>-4.2195</v>
      </c>
      <c r="AC161" s="161">
        <f t="shared" si="520"/>
        <v>-4.2195</v>
      </c>
      <c r="AD161" s="230">
        <v>-8.4390000000000001</v>
      </c>
      <c r="AF161" s="483">
        <f>+AF173+AF185</f>
        <v>-3.1075799999999996</v>
      </c>
      <c r="AG161" s="161">
        <f t="shared" si="521"/>
        <v>-3.2344200000000001</v>
      </c>
      <c r="AH161" s="230">
        <v>-6.3419999999999996</v>
      </c>
      <c r="AJ161" s="483">
        <f>+AJ173+AJ185</f>
        <v>0</v>
      </c>
      <c r="AK161" s="161">
        <f t="shared" si="522"/>
        <v>0</v>
      </c>
      <c r="AL161" s="230">
        <v>0</v>
      </c>
      <c r="AN161" s="483">
        <f>+AN173+AN185</f>
        <v>0</v>
      </c>
      <c r="AO161" s="161">
        <f t="shared" si="523"/>
        <v>0</v>
      </c>
      <c r="AP161" s="916">
        <v>0</v>
      </c>
      <c r="AR161" s="483">
        <f t="shared" si="551"/>
        <v>-1.47</v>
      </c>
      <c r="AS161" s="483">
        <f t="shared" si="551"/>
        <v>-1.53</v>
      </c>
      <c r="AT161" s="165">
        <f t="shared" si="525"/>
        <v>-3</v>
      </c>
      <c r="AV161" s="483">
        <f t="shared" si="552"/>
        <v>-1.47</v>
      </c>
      <c r="AW161" s="483">
        <f t="shared" si="552"/>
        <v>-1.53</v>
      </c>
      <c r="AX161" s="165">
        <f t="shared" si="527"/>
        <v>-3</v>
      </c>
      <c r="AZ161" s="483">
        <f t="shared" si="553"/>
        <v>-1.47</v>
      </c>
      <c r="BA161" s="483">
        <f t="shared" si="553"/>
        <v>-1.53</v>
      </c>
      <c r="BB161" s="165">
        <f t="shared" si="529"/>
        <v>-3</v>
      </c>
      <c r="BD161" s="483">
        <f t="shared" si="554"/>
        <v>-1.47</v>
      </c>
      <c r="BE161" s="483">
        <f t="shared" si="554"/>
        <v>-1.53</v>
      </c>
      <c r="BF161" s="165">
        <f t="shared" si="531"/>
        <v>-3</v>
      </c>
      <c r="BH161" s="483">
        <f t="shared" si="555"/>
        <v>-1.47</v>
      </c>
      <c r="BI161" s="483">
        <f t="shared" si="555"/>
        <v>-1.53</v>
      </c>
      <c r="BJ161" s="165">
        <f t="shared" si="533"/>
        <v>-3</v>
      </c>
      <c r="BL161" s="483">
        <f t="shared" si="556"/>
        <v>-1.47</v>
      </c>
      <c r="BM161" s="483">
        <f t="shared" si="556"/>
        <v>-1.53</v>
      </c>
      <c r="BN161" s="165">
        <f t="shared" si="535"/>
        <v>-3</v>
      </c>
      <c r="BP161" s="483">
        <f t="shared" si="557"/>
        <v>-1.47</v>
      </c>
      <c r="BQ161" s="483">
        <f t="shared" si="557"/>
        <v>-1.53</v>
      </c>
      <c r="BR161" s="165">
        <f t="shared" si="537"/>
        <v>-3</v>
      </c>
      <c r="BT161" s="483">
        <f t="shared" ref="BT161:BU161" si="560">+BT173+BT185</f>
        <v>-1.47</v>
      </c>
      <c r="BU161" s="483">
        <f t="shared" si="560"/>
        <v>-1.53</v>
      </c>
      <c r="BV161" s="165">
        <f t="shared" si="539"/>
        <v>-3</v>
      </c>
      <c r="BX161" s="483">
        <f t="shared" ref="BX161:BY161" si="561">+BX173+BX185</f>
        <v>-1.47</v>
      </c>
      <c r="BY161" s="483">
        <f t="shared" si="561"/>
        <v>-1.53</v>
      </c>
      <c r="BZ161" s="165">
        <f t="shared" si="541"/>
        <v>-3</v>
      </c>
    </row>
    <row r="162" spans="1:78" s="140" customFormat="1">
      <c r="A162" s="149"/>
      <c r="B162" s="337" t="s">
        <v>275</v>
      </c>
      <c r="C162" s="155" t="s">
        <v>406</v>
      </c>
      <c r="D162" s="799">
        <f>+F162/2</f>
        <v>0.23849999999999999</v>
      </c>
      <c r="E162" s="218">
        <f t="shared" si="514"/>
        <v>0.23849999999999999</v>
      </c>
      <c r="F162" s="230">
        <v>0.47699999999999998</v>
      </c>
      <c r="G162" s="219"/>
      <c r="H162" s="799">
        <f>+J162/2</f>
        <v>-8.8499999999999995E-2</v>
      </c>
      <c r="I162" s="218">
        <f t="shared" si="515"/>
        <v>-8.8499999999999995E-2</v>
      </c>
      <c r="J162" s="230">
        <f>-0.177</f>
        <v>-0.17699999999999999</v>
      </c>
      <c r="K162" s="219"/>
      <c r="L162" s="799">
        <f>+N162/2</f>
        <v>-0.74649999999999994</v>
      </c>
      <c r="M162" s="218">
        <f t="shared" si="516"/>
        <v>-0.74649999999999994</v>
      </c>
      <c r="N162" s="230">
        <f>-1.573+0.08</f>
        <v>-1.4929999999999999</v>
      </c>
      <c r="O162" s="219"/>
      <c r="P162" s="799">
        <f>+R162/2</f>
        <v>0.78400000000000003</v>
      </c>
      <c r="Q162" s="218">
        <f t="shared" si="517"/>
        <v>0.78400000000000003</v>
      </c>
      <c r="R162" s="230">
        <f>1.69-0.122</f>
        <v>1.5680000000000001</v>
      </c>
      <c r="S162" s="219"/>
      <c r="T162" s="477">
        <f>+V162/2</f>
        <v>-1.3779999999999999</v>
      </c>
      <c r="U162" s="161">
        <f t="shared" si="518"/>
        <v>-1.3779999999999999</v>
      </c>
      <c r="V162" s="181">
        <f>-2.933+0.177</f>
        <v>-2.7559999999999998</v>
      </c>
      <c r="W162" s="138"/>
      <c r="X162" s="249">
        <f>+Z162/2</f>
        <v>-0.27599999999999997</v>
      </c>
      <c r="Y162" s="161">
        <f t="shared" si="519"/>
        <v>-0.27599999999999997</v>
      </c>
      <c r="Z162" s="181">
        <f>-0.597+0.045</f>
        <v>-0.55199999999999994</v>
      </c>
      <c r="AA162" s="219"/>
      <c r="AB162" s="249">
        <f>+AD162/2</f>
        <v>-1.73</v>
      </c>
      <c r="AC162" s="161">
        <f t="shared" si="520"/>
        <v>-1.73</v>
      </c>
      <c r="AD162" s="230">
        <f>-3.896+0.436</f>
        <v>-3.46</v>
      </c>
      <c r="AF162" s="483">
        <f>+AF174+AF186</f>
        <v>2.9120699999999928</v>
      </c>
      <c r="AG162" s="161">
        <f t="shared" si="521"/>
        <v>3.0309299999999908</v>
      </c>
      <c r="AH162" s="230">
        <f>+AH156-SUM(AH157:AH161)</f>
        <v>5.9429999999999836</v>
      </c>
      <c r="AJ162" s="483">
        <f>+AJ174+AJ186</f>
        <v>-53.672639999999916</v>
      </c>
      <c r="AK162" s="161">
        <f t="shared" si="522"/>
        <v>-55.863359999999915</v>
      </c>
      <c r="AL162" s="308">
        <f>+AL156-SUM(AL157:AL161)</f>
        <v>-109.53599999999983</v>
      </c>
      <c r="AN162" s="483">
        <f>+AN174+AN186</f>
        <v>61.80222999999998</v>
      </c>
      <c r="AO162" s="161">
        <f t="shared" si="523"/>
        <v>64.324769999999972</v>
      </c>
      <c r="AP162" s="308">
        <f>+AP156-SUM(AP157:AP161)</f>
        <v>126.12699999999995</v>
      </c>
      <c r="AR162" s="483">
        <f t="shared" si="551"/>
        <v>0</v>
      </c>
      <c r="AS162" s="483">
        <f t="shared" si="551"/>
        <v>0</v>
      </c>
      <c r="AT162" s="165">
        <f t="shared" si="525"/>
        <v>0</v>
      </c>
      <c r="AV162" s="483">
        <f t="shared" si="552"/>
        <v>0</v>
      </c>
      <c r="AW162" s="483">
        <f t="shared" si="552"/>
        <v>0</v>
      </c>
      <c r="AX162" s="165">
        <f t="shared" si="527"/>
        <v>0</v>
      </c>
      <c r="AZ162" s="483">
        <f t="shared" si="553"/>
        <v>0</v>
      </c>
      <c r="BA162" s="483">
        <f t="shared" si="553"/>
        <v>0</v>
      </c>
      <c r="BB162" s="165">
        <f t="shared" si="529"/>
        <v>0</v>
      </c>
      <c r="BD162" s="483">
        <f t="shared" si="554"/>
        <v>0</v>
      </c>
      <c r="BE162" s="483">
        <f t="shared" si="554"/>
        <v>0</v>
      </c>
      <c r="BF162" s="165">
        <f t="shared" si="531"/>
        <v>0</v>
      </c>
      <c r="BH162" s="483">
        <f t="shared" si="555"/>
        <v>0</v>
      </c>
      <c r="BI162" s="483">
        <f t="shared" si="555"/>
        <v>0</v>
      </c>
      <c r="BJ162" s="165">
        <f t="shared" si="533"/>
        <v>0</v>
      </c>
      <c r="BL162" s="483">
        <f t="shared" si="556"/>
        <v>0</v>
      </c>
      <c r="BM162" s="483">
        <f t="shared" si="556"/>
        <v>0</v>
      </c>
      <c r="BN162" s="165">
        <f t="shared" si="535"/>
        <v>0</v>
      </c>
      <c r="BP162" s="483">
        <f t="shared" si="557"/>
        <v>0</v>
      </c>
      <c r="BQ162" s="483">
        <f t="shared" si="557"/>
        <v>0</v>
      </c>
      <c r="BR162" s="165">
        <f t="shared" si="537"/>
        <v>0</v>
      </c>
      <c r="BT162" s="483">
        <f t="shared" ref="BT162:BU162" si="562">+BT174+BT186</f>
        <v>0</v>
      </c>
      <c r="BU162" s="483">
        <f t="shared" si="562"/>
        <v>0</v>
      </c>
      <c r="BV162" s="165">
        <f t="shared" si="539"/>
        <v>0</v>
      </c>
      <c r="BX162" s="483">
        <f t="shared" ref="BX162:BY162" si="563">+BX174+BX186</f>
        <v>0</v>
      </c>
      <c r="BY162" s="483">
        <f t="shared" si="563"/>
        <v>0</v>
      </c>
      <c r="BZ162" s="165">
        <f t="shared" si="541"/>
        <v>0</v>
      </c>
    </row>
    <row r="163" spans="1:78" s="140" customFormat="1">
      <c r="A163" s="149"/>
      <c r="B163" s="337" t="s">
        <v>270</v>
      </c>
      <c r="C163" s="155" t="s">
        <v>406</v>
      </c>
      <c r="D163" s="218">
        <f>+D164-SUM(D157:D162)</f>
        <v>-0.54449999999999932</v>
      </c>
      <c r="E163" s="218">
        <f t="shared" si="514"/>
        <v>0.54449999999999932</v>
      </c>
      <c r="F163" s="230">
        <v>0</v>
      </c>
      <c r="G163" s="219"/>
      <c r="H163" s="218">
        <f>+H164-SUM(H157:H162)</f>
        <v>-0.28100000000000591</v>
      </c>
      <c r="I163" s="218">
        <f t="shared" si="515"/>
        <v>1.1600000000000059</v>
      </c>
      <c r="J163" s="230">
        <v>0.879</v>
      </c>
      <c r="K163" s="219"/>
      <c r="L163" s="218">
        <f>+L164-SUM(L157:L162)</f>
        <v>-0.39949999999993224</v>
      </c>
      <c r="M163" s="218">
        <f t="shared" si="516"/>
        <v>1.1724999999999324</v>
      </c>
      <c r="N163" s="230">
        <f>1.858-0.074-1.011</f>
        <v>0.77300000000000013</v>
      </c>
      <c r="O163" s="219"/>
      <c r="P163" s="218">
        <f>+P164-SUM(P157:P162)</f>
        <v>-0.28199999999992542</v>
      </c>
      <c r="Q163" s="218">
        <f t="shared" si="517"/>
        <v>0.24399999999992539</v>
      </c>
      <c r="R163" s="230">
        <f>1.706-0.631-1.113</f>
        <v>-3.8000000000000034E-2</v>
      </c>
      <c r="S163" s="219"/>
      <c r="T163" s="161">
        <f>+T164-SUM(T157:T162)</f>
        <v>-0.54150000000009868</v>
      </c>
      <c r="U163" s="161">
        <f t="shared" si="518"/>
        <v>0.54150000000009868</v>
      </c>
      <c r="V163" s="181">
        <v>0</v>
      </c>
      <c r="W163" s="138"/>
      <c r="X163" s="480">
        <f>+X164-SUM(X157:X162)</f>
        <v>-0.57949999999999591</v>
      </c>
      <c r="Y163" s="161">
        <f t="shared" si="519"/>
        <v>0.57949999999999591</v>
      </c>
      <c r="Z163" s="181">
        <v>0</v>
      </c>
      <c r="AA163" s="219"/>
      <c r="AB163" s="480">
        <f>+AB164-SUM(AB157:AB162)</f>
        <v>-0.72249999999996817</v>
      </c>
      <c r="AC163" s="161">
        <f t="shared" si="520"/>
        <v>0.72249999999996817</v>
      </c>
      <c r="AD163" s="230">
        <v>0</v>
      </c>
      <c r="AF163" s="500">
        <f>+AF164-SUM(AF157:AF162)</f>
        <v>28.485749999999825</v>
      </c>
      <c r="AG163" s="161">
        <f t="shared" si="521"/>
        <v>-28.485749999999825</v>
      </c>
      <c r="AH163" s="230">
        <v>0</v>
      </c>
      <c r="AJ163" s="500">
        <f>+AJ164-SUM(AJ157:AJ162)</f>
        <v>33.399570000000267</v>
      </c>
      <c r="AK163" s="161">
        <f t="shared" si="522"/>
        <v>-33.399570000000267</v>
      </c>
      <c r="AL163" s="230">
        <v>0</v>
      </c>
      <c r="AN163" s="500">
        <f>+AN164-SUM(AN157:AN162)</f>
        <v>296.02950999999985</v>
      </c>
      <c r="AO163" s="161">
        <f t="shared" si="523"/>
        <v>-296.02950999999985</v>
      </c>
      <c r="AP163" s="916">
        <v>0</v>
      </c>
      <c r="AR163" s="483">
        <f t="shared" si="551"/>
        <v>0</v>
      </c>
      <c r="AS163" s="483">
        <f t="shared" si="551"/>
        <v>0</v>
      </c>
      <c r="AT163" s="165">
        <f t="shared" si="525"/>
        <v>0</v>
      </c>
      <c r="AV163" s="483">
        <f t="shared" si="552"/>
        <v>0</v>
      </c>
      <c r="AW163" s="483">
        <f t="shared" si="552"/>
        <v>0</v>
      </c>
      <c r="AX163" s="165">
        <f t="shared" si="527"/>
        <v>0</v>
      </c>
      <c r="AZ163" s="483">
        <f t="shared" si="553"/>
        <v>0</v>
      </c>
      <c r="BA163" s="483">
        <f t="shared" si="553"/>
        <v>0</v>
      </c>
      <c r="BB163" s="165">
        <f t="shared" si="529"/>
        <v>0</v>
      </c>
      <c r="BD163" s="483">
        <f t="shared" si="554"/>
        <v>0</v>
      </c>
      <c r="BE163" s="483">
        <f t="shared" si="554"/>
        <v>0</v>
      </c>
      <c r="BF163" s="165">
        <f t="shared" si="531"/>
        <v>0</v>
      </c>
      <c r="BH163" s="483">
        <f t="shared" si="555"/>
        <v>0</v>
      </c>
      <c r="BI163" s="483">
        <f t="shared" si="555"/>
        <v>0</v>
      </c>
      <c r="BJ163" s="165">
        <f t="shared" si="533"/>
        <v>0</v>
      </c>
      <c r="BL163" s="483">
        <f t="shared" si="556"/>
        <v>0</v>
      </c>
      <c r="BM163" s="483">
        <f t="shared" si="556"/>
        <v>0</v>
      </c>
      <c r="BN163" s="165">
        <f t="shared" si="535"/>
        <v>0</v>
      </c>
      <c r="BP163" s="483">
        <f t="shared" si="557"/>
        <v>0</v>
      </c>
      <c r="BQ163" s="483">
        <f t="shared" si="557"/>
        <v>0</v>
      </c>
      <c r="BR163" s="165">
        <f t="shared" si="537"/>
        <v>0</v>
      </c>
      <c r="BT163" s="483">
        <f t="shared" ref="BT163:BU163" si="564">+BT175+BT187</f>
        <v>0</v>
      </c>
      <c r="BU163" s="483">
        <f t="shared" si="564"/>
        <v>0</v>
      </c>
      <c r="BV163" s="165">
        <f t="shared" si="539"/>
        <v>0</v>
      </c>
      <c r="BX163" s="483">
        <f t="shared" ref="BX163:BY163" si="565">+BX175+BX187</f>
        <v>0</v>
      </c>
      <c r="BY163" s="483">
        <f t="shared" si="565"/>
        <v>0</v>
      </c>
      <c r="BZ163" s="165">
        <f t="shared" si="541"/>
        <v>0</v>
      </c>
    </row>
    <row r="164" spans="1:78" s="166" customFormat="1">
      <c r="A164" s="502"/>
      <c r="B164" s="503" t="s">
        <v>271</v>
      </c>
      <c r="C164" s="155" t="s">
        <v>406</v>
      </c>
      <c r="D164" s="494">
        <f>+D156</f>
        <v>224.64599999999999</v>
      </c>
      <c r="E164" s="494">
        <f>SUM(E157:E163)</f>
        <v>246.74599999999995</v>
      </c>
      <c r="F164" s="494">
        <f>+SUM(F157:F163)</f>
        <v>246.74600000000004</v>
      </c>
      <c r="G164" s="494"/>
      <c r="H164" s="494">
        <f>+H156</f>
        <v>252.12799999999999</v>
      </c>
      <c r="I164" s="494">
        <f>SUM(I157:I163)</f>
        <v>263.85900000000004</v>
      </c>
      <c r="J164" s="494">
        <f>+SUM(J157:J163)</f>
        <v>263.85899999999998</v>
      </c>
      <c r="K164" s="494"/>
      <c r="L164" s="494">
        <f>+L156</f>
        <v>271.15100000000001</v>
      </c>
      <c r="M164" s="494">
        <f>SUM(M157:M163)</f>
        <v>267.09699999999992</v>
      </c>
      <c r="N164" s="494">
        <f>+SUM(N157:N163)</f>
        <v>267.09700000000004</v>
      </c>
      <c r="O164" s="494"/>
      <c r="P164" s="494">
        <f>+P156</f>
        <v>328.113</v>
      </c>
      <c r="Q164" s="494">
        <f>SUM(Q157:Q163)</f>
        <v>401.14599999999984</v>
      </c>
      <c r="R164" s="494">
        <f>+SUM(R157:R163)</f>
        <v>401.14599999999996</v>
      </c>
      <c r="S164" s="494"/>
      <c r="T164" s="166">
        <f>+T156</f>
        <v>395.73899999999998</v>
      </c>
      <c r="U164" s="166">
        <f>SUM(U157:U163)</f>
        <v>385.09600000000012</v>
      </c>
      <c r="V164" s="166">
        <f>+SUM(V157:V163)</f>
        <v>385.096</v>
      </c>
      <c r="X164" s="166">
        <f>+X156</f>
        <v>510.73500000000001</v>
      </c>
      <c r="Y164" s="166">
        <f>SUM(Y157:Y163)</f>
        <v>469.67699999999996</v>
      </c>
      <c r="Z164" s="166">
        <f>+SUM(Z157:Z163)</f>
        <v>469.67699999999996</v>
      </c>
      <c r="AA164" s="494"/>
      <c r="AB164" s="166">
        <f>+AB156</f>
        <v>514.83600000000001</v>
      </c>
      <c r="AC164" s="166">
        <f>SUM(AC157:AC163)</f>
        <v>622.50999999999988</v>
      </c>
      <c r="AD164" s="166">
        <f>+SUM(AD157:AD163)</f>
        <v>622.5100000000001</v>
      </c>
      <c r="AF164" s="166">
        <f>+AF156</f>
        <v>1806.8510000000001</v>
      </c>
      <c r="AG164" s="166">
        <f>SUM(AG157:AG163)</f>
        <v>1890.8850000000002</v>
      </c>
      <c r="AH164" s="166">
        <f>+SUM(AH157:AH163)</f>
        <v>1956.8409999999999</v>
      </c>
      <c r="AJ164" s="166">
        <f>+AJ156</f>
        <v>2005.4269999999999</v>
      </c>
      <c r="AK164" s="166">
        <f>SUM(AK157:AK163)</f>
        <v>1938.2910000000002</v>
      </c>
      <c r="AL164" s="494">
        <f>+SUM(AL157:AL163)</f>
        <v>2042.894</v>
      </c>
      <c r="AN164" s="166">
        <f>+AN156</f>
        <v>2462.299</v>
      </c>
      <c r="AO164" s="166">
        <f>SUM(AO157:AO163)</f>
        <v>2608.2110000000002</v>
      </c>
      <c r="AP164" s="494">
        <f>+SUM(AP157:AP163)</f>
        <v>2601.65</v>
      </c>
      <c r="AR164" s="166">
        <f t="shared" ref="AR164:AT164" si="566">+SUM(AR157:AR163)</f>
        <v>2546.3255974000003</v>
      </c>
      <c r="AS164" s="166">
        <f t="shared" si="566"/>
        <v>2482.3110900000001</v>
      </c>
      <c r="AT164" s="166">
        <f t="shared" si="566"/>
        <v>2482.3110900000001</v>
      </c>
      <c r="AV164" s="166">
        <f t="shared" ref="AV164:AX164" si="567">+SUM(AV157:AV163)</f>
        <v>2428.0449003822505</v>
      </c>
      <c r="AW164" s="166">
        <f t="shared" si="567"/>
        <v>2371.9514197250001</v>
      </c>
      <c r="AX164" s="166">
        <f t="shared" si="567"/>
        <v>2371.9514197250005</v>
      </c>
      <c r="AZ164" s="166">
        <f t="shared" ref="AZ164:BB164" si="568">+SUM(AZ157:AZ163)</f>
        <v>2324.7911668491879</v>
      </c>
      <c r="BA164" s="166">
        <f t="shared" si="568"/>
        <v>2276.1014142777503</v>
      </c>
      <c r="BB164" s="166">
        <f t="shared" si="568"/>
        <v>2276.1014142777499</v>
      </c>
      <c r="BD164" s="166">
        <f t="shared" ref="BD164:BF164" si="569">+SUM(BD157:BD163)</f>
        <v>2234.8100305878847</v>
      </c>
      <c r="BE164" s="166">
        <f t="shared" si="569"/>
        <v>2192.2366010551527</v>
      </c>
      <c r="BF164" s="166">
        <f t="shared" si="569"/>
        <v>2192.2366010551532</v>
      </c>
      <c r="BH164" s="166">
        <f t="shared" ref="BH164:BJ164" si="570">+SUM(BH157:BH163)</f>
        <v>2155.7867393135639</v>
      </c>
      <c r="BI164" s="166">
        <f t="shared" si="570"/>
        <v>2118.2605112049891</v>
      </c>
      <c r="BJ164" s="166">
        <f t="shared" si="570"/>
        <v>2118.2605112049891</v>
      </c>
      <c r="BL164" s="166">
        <f t="shared" ref="BL164:BN164" si="571">+SUM(BL157:BL163)</f>
        <v>2085.7988804148899</v>
      </c>
      <c r="BM164" s="166">
        <f t="shared" si="571"/>
        <v>2052.4318958564377</v>
      </c>
      <c r="BN164" s="166">
        <f t="shared" si="571"/>
        <v>2052.4318958564377</v>
      </c>
      <c r="BP164" s="166">
        <f t="shared" ref="BP164:BR164" si="572">+SUM(BP157:BP163)</f>
        <v>2023.2496598451828</v>
      </c>
      <c r="BQ164" s="166">
        <f t="shared" si="572"/>
        <v>1993.3043151287657</v>
      </c>
      <c r="BR164" s="166">
        <f t="shared" si="572"/>
        <v>1993.3043151287659</v>
      </c>
      <c r="BT164" s="166">
        <f t="shared" ref="BT164:BV164" si="573">+SUM(BT157:BT163)</f>
        <v>1966.8125231348426</v>
      </c>
      <c r="BU164" s="166">
        <f t="shared" si="573"/>
        <v>1939.6759965366564</v>
      </c>
      <c r="BV164" s="166">
        <f t="shared" si="573"/>
        <v>1939.6759965366566</v>
      </c>
      <c r="BX164" s="166">
        <f t="shared" ref="BX164:BZ164" si="574">+SUM(BX157:BX163)</f>
        <v>1915.3851903550271</v>
      </c>
      <c r="BY164" s="166">
        <f t="shared" si="574"/>
        <v>1890.5482169853012</v>
      </c>
      <c r="BZ164" s="166">
        <f t="shared" si="574"/>
        <v>1890.5482169853015</v>
      </c>
    </row>
    <row r="165" spans="1:78" s="140" customFormat="1" hidden="1" outlineLevel="1">
      <c r="B165" s="244" t="s">
        <v>302</v>
      </c>
      <c r="C165" s="243"/>
      <c r="D165" s="341">
        <f>+D164-D156</f>
        <v>0</v>
      </c>
      <c r="E165" s="341">
        <f>+E164-E156</f>
        <v>0</v>
      </c>
      <c r="F165" s="341">
        <f>+F164-F156</f>
        <v>0</v>
      </c>
      <c r="G165" s="341"/>
      <c r="H165" s="341">
        <f>+H164-H156</f>
        <v>0</v>
      </c>
      <c r="I165" s="341">
        <f>+I164-I156</f>
        <v>0</v>
      </c>
      <c r="J165" s="341">
        <f>+J164-J156</f>
        <v>0</v>
      </c>
      <c r="K165" s="341"/>
      <c r="L165" s="341">
        <f>+L164-L156</f>
        <v>0</v>
      </c>
      <c r="M165" s="341">
        <f>+M164-M156</f>
        <v>0</v>
      </c>
      <c r="N165" s="341">
        <f>+N164-N156</f>
        <v>0</v>
      </c>
      <c r="O165" s="341"/>
      <c r="P165" s="341">
        <f>+P164-P156</f>
        <v>0</v>
      </c>
      <c r="Q165" s="341">
        <f>+Q164-Q156</f>
        <v>0</v>
      </c>
      <c r="R165" s="341">
        <f>+R164-R156</f>
        <v>0</v>
      </c>
      <c r="S165" s="341"/>
      <c r="T165" s="341">
        <f>+T164-T156</f>
        <v>0</v>
      </c>
      <c r="U165" s="341">
        <f>+U164-U156</f>
        <v>2.1000000000001364</v>
      </c>
      <c r="V165" s="341">
        <f>+V164-V156</f>
        <v>2.1000000000000227</v>
      </c>
      <c r="W165" s="341"/>
      <c r="X165" s="341">
        <f>+X164-X156</f>
        <v>0</v>
      </c>
      <c r="Y165" s="341">
        <f>+Y164-Y156</f>
        <v>0</v>
      </c>
      <c r="Z165" s="341">
        <f>+Z164-Z156</f>
        <v>0</v>
      </c>
      <c r="AA165" s="341"/>
      <c r="AB165" s="341">
        <f>+AB164-AB156</f>
        <v>0</v>
      </c>
      <c r="AC165" s="341">
        <f>+AC164-AC156</f>
        <v>0</v>
      </c>
      <c r="AD165" s="243">
        <f>+AD164-AD156</f>
        <v>0</v>
      </c>
      <c r="AE165" s="341"/>
      <c r="AF165" s="460">
        <f>+AF164-AF156</f>
        <v>0</v>
      </c>
      <c r="AG165" s="460">
        <f>+AG164-AG156</f>
        <v>-65.955999999999676</v>
      </c>
      <c r="AH165" s="460">
        <f>+AH164-AH156</f>
        <v>0</v>
      </c>
      <c r="AI165" s="341"/>
      <c r="AJ165" s="460">
        <f>+AJ164-AJ156</f>
        <v>0</v>
      </c>
      <c r="AK165" s="460">
        <f>+AK164-AK156</f>
        <v>-104.60299999999984</v>
      </c>
      <c r="AL165" s="271">
        <f>+AL164-AL156</f>
        <v>0</v>
      </c>
      <c r="AM165" s="341"/>
      <c r="AN165" s="460">
        <f t="shared" ref="AN165" si="575">+AN164-AN156</f>
        <v>0</v>
      </c>
      <c r="AO165" s="460">
        <f>+AO164-AO156</f>
        <v>6.5610000000001492</v>
      </c>
      <c r="AP165" s="271">
        <f>+AP164-AP156</f>
        <v>0</v>
      </c>
      <c r="AQ165" s="341"/>
      <c r="AR165" s="460">
        <f t="shared" ref="AR165:AT165" si="576">+AR164-AR156</f>
        <v>0</v>
      </c>
      <c r="AS165" s="460">
        <f t="shared" si="576"/>
        <v>0</v>
      </c>
      <c r="AT165" s="460">
        <f t="shared" si="576"/>
        <v>0</v>
      </c>
      <c r="AU165" s="341"/>
      <c r="AV165" s="460">
        <f t="shared" ref="AV165:AX165" si="577">+AV164-AV156</f>
        <v>0</v>
      </c>
      <c r="AW165" s="460">
        <f t="shared" si="577"/>
        <v>0</v>
      </c>
      <c r="AX165" s="460">
        <f t="shared" si="577"/>
        <v>0</v>
      </c>
      <c r="AY165" s="341"/>
      <c r="AZ165" s="460">
        <f t="shared" ref="AZ165:BB165" si="578">+AZ164-AZ156</f>
        <v>0</v>
      </c>
      <c r="BA165" s="460">
        <f t="shared" si="578"/>
        <v>0</v>
      </c>
      <c r="BB165" s="460">
        <f t="shared" si="578"/>
        <v>0</v>
      </c>
      <c r="BC165" s="341"/>
      <c r="BD165" s="460">
        <f t="shared" ref="BD165:BF165" si="579">+BD164-BD156</f>
        <v>0</v>
      </c>
      <c r="BE165" s="460">
        <f t="shared" si="579"/>
        <v>0</v>
      </c>
      <c r="BF165" s="460">
        <f t="shared" si="579"/>
        <v>0</v>
      </c>
      <c r="BG165" s="341"/>
      <c r="BH165" s="460">
        <f t="shared" ref="BH165:BJ165" si="580">+BH164-BH156</f>
        <v>0</v>
      </c>
      <c r="BI165" s="460">
        <f t="shared" si="580"/>
        <v>0</v>
      </c>
      <c r="BJ165" s="460">
        <f t="shared" si="580"/>
        <v>0</v>
      </c>
      <c r="BK165" s="341"/>
      <c r="BL165" s="460">
        <f t="shared" ref="BL165:BN165" si="581">+BL164-BL156</f>
        <v>0</v>
      </c>
      <c r="BM165" s="460">
        <f t="shared" si="581"/>
        <v>0</v>
      </c>
      <c r="BN165" s="460">
        <f t="shared" si="581"/>
        <v>0</v>
      </c>
      <c r="BO165" s="341"/>
      <c r="BP165" s="460">
        <f t="shared" ref="BP165:BR165" si="582">+BP164-BP156</f>
        <v>0</v>
      </c>
      <c r="BQ165" s="460">
        <f t="shared" si="582"/>
        <v>0</v>
      </c>
      <c r="BR165" s="460">
        <f t="shared" si="582"/>
        <v>0</v>
      </c>
      <c r="BS165" s="341"/>
      <c r="BT165" s="460">
        <f t="shared" ref="BT165:BV165" si="583">+BT164-BT156</f>
        <v>0</v>
      </c>
      <c r="BU165" s="460">
        <f t="shared" si="583"/>
        <v>0</v>
      </c>
      <c r="BV165" s="460">
        <f t="shared" si="583"/>
        <v>0</v>
      </c>
      <c r="BW165" s="341"/>
      <c r="BX165" s="460">
        <f t="shared" ref="BX165:BZ165" si="584">+BX164-BX156</f>
        <v>0</v>
      </c>
      <c r="BY165" s="460">
        <f t="shared" si="584"/>
        <v>0</v>
      </c>
      <c r="BZ165" s="460">
        <f t="shared" si="584"/>
        <v>0</v>
      </c>
    </row>
    <row r="166" spans="1:78" s="140" customFormat="1" hidden="1" outlineLevel="1">
      <c r="B166" s="244"/>
      <c r="C166" s="243"/>
      <c r="D166" s="341"/>
      <c r="E166" s="341"/>
      <c r="F166" s="341"/>
      <c r="G166" s="341"/>
      <c r="H166" s="341"/>
      <c r="I166" s="341"/>
      <c r="J166" s="341"/>
      <c r="K166" s="341"/>
      <c r="L166" s="341"/>
      <c r="M166" s="341"/>
      <c r="N166" s="341"/>
      <c r="O166" s="341"/>
      <c r="P166" s="341"/>
      <c r="Q166" s="341"/>
      <c r="R166" s="341"/>
      <c r="S166" s="341"/>
      <c r="T166" s="341"/>
      <c r="U166" s="341"/>
      <c r="V166" s="341"/>
      <c r="W166" s="341"/>
      <c r="X166" s="341"/>
      <c r="Y166" s="341"/>
      <c r="Z166" s="460">
        <f>+Z164-Z176-Z188</f>
        <v>0</v>
      </c>
      <c r="AA166" s="341"/>
      <c r="AB166" s="460"/>
      <c r="AC166" s="460"/>
      <c r="AD166" s="460">
        <f>+AD164-AD176-AD188</f>
        <v>0</v>
      </c>
      <c r="AE166" s="341"/>
      <c r="AF166" s="460">
        <f>+AF164-AF176-AF188</f>
        <v>0</v>
      </c>
      <c r="AG166" s="460">
        <f>+AG164-AG176-AG188</f>
        <v>1890.8850000000002</v>
      </c>
      <c r="AH166" s="460">
        <f>+AH164-AH176-AH188</f>
        <v>-4.4000000000096406E-2</v>
      </c>
      <c r="AI166" s="341"/>
      <c r="AJ166" s="460">
        <f>+AJ164-AJ176-AJ188</f>
        <v>-1075.0440000000003</v>
      </c>
      <c r="AK166" s="460">
        <f>+AK164-AK176-AK188</f>
        <v>1938.2910000000002</v>
      </c>
      <c r="AL166" s="271">
        <f>+AL164-AL176-AL188</f>
        <v>2.9999999999290594E-3</v>
      </c>
      <c r="AM166" s="341"/>
      <c r="AN166" s="460">
        <f>+AN164-AN176-AN188</f>
        <v>-1074.9969999999994</v>
      </c>
      <c r="AO166" s="460">
        <f>+AO164-AO176-AO188</f>
        <v>2608.2110000000002</v>
      </c>
      <c r="AP166" s="271">
        <f>+AP164-AP176-AP188</f>
        <v>-4.7999999999774445E-2</v>
      </c>
      <c r="AQ166" s="341"/>
      <c r="AR166" s="460">
        <f>+AR164-AR176-AR188</f>
        <v>6.5130000000008295</v>
      </c>
      <c r="AS166" s="460">
        <f>+AS164-AS176-AS188</f>
        <v>6.5130000000003747</v>
      </c>
      <c r="AT166" s="460">
        <f>+AT164-AT176-AT188</f>
        <v>6.5610000000001492</v>
      </c>
      <c r="AU166" s="341"/>
      <c r="AV166" s="460">
        <f>+AV164-AV176-AV188</f>
        <v>6.5610000000003765</v>
      </c>
      <c r="AW166" s="460">
        <f>+AW164-AW176-AW188</f>
        <v>6.5609999999999218</v>
      </c>
      <c r="AX166" s="460">
        <f>+AX164-AX176-AX188</f>
        <v>6.5610000000003765</v>
      </c>
      <c r="AY166" s="341"/>
      <c r="AZ166" s="460">
        <f>+AZ164-AZ176-AZ188</f>
        <v>6.5610000000003765</v>
      </c>
      <c r="BA166" s="460">
        <f>+BA164-BA176-BA188</f>
        <v>6.5610000000003765</v>
      </c>
      <c r="BB166" s="460">
        <f>+BB164-BB176-BB188</f>
        <v>6.5609999999996944</v>
      </c>
      <c r="BC166" s="341"/>
      <c r="BD166" s="460">
        <f>+BD164-BD176-BD188</f>
        <v>6.5610000000006039</v>
      </c>
      <c r="BE166" s="460">
        <f>+BE164-BE176-BE188</f>
        <v>6.5610000000001492</v>
      </c>
      <c r="BF166" s="460">
        <f>+BF164-BF176-BF188</f>
        <v>6.5610000000006039</v>
      </c>
      <c r="BG166" s="341"/>
      <c r="BH166" s="460">
        <f>+BH164-BH176-BH188</f>
        <v>6.5610000000006039</v>
      </c>
      <c r="BI166" s="460">
        <f>+BI164-BI176-BI188</f>
        <v>6.5610000000001492</v>
      </c>
      <c r="BJ166" s="460">
        <f>+BJ164-BJ176-BJ188</f>
        <v>6.5610000000001492</v>
      </c>
      <c r="BK166" s="341"/>
      <c r="BL166" s="460">
        <f>+BL164-BL176-BL188</f>
        <v>6.5610000000003765</v>
      </c>
      <c r="BM166" s="460">
        <f>+BM164-BM176-BM188</f>
        <v>6.5609999999999218</v>
      </c>
      <c r="BN166" s="460">
        <f>+BN164-BN176-BN188</f>
        <v>6.5609999999999218</v>
      </c>
      <c r="BO166" s="341"/>
      <c r="BP166" s="460">
        <f>+BP164-BP176-BP188</f>
        <v>6.5609999999999218</v>
      </c>
      <c r="BQ166" s="460">
        <f>+BQ164-BQ176-BQ188</f>
        <v>6.5609999999999218</v>
      </c>
      <c r="BR166" s="460">
        <f>+BR164-BR176-BR188</f>
        <v>6.5609999999999218</v>
      </c>
      <c r="BS166" s="341"/>
      <c r="BT166" s="460">
        <f>+BT164-BT176-BT188</f>
        <v>6.560999999999467</v>
      </c>
      <c r="BU166" s="460">
        <f>+BU164-BU176-BU188</f>
        <v>6.560999999999467</v>
      </c>
      <c r="BV166" s="460">
        <f>+BV164-BV176-BV188</f>
        <v>6.5609999999999218</v>
      </c>
      <c r="BW166" s="341"/>
      <c r="BX166" s="460">
        <f>+BX164-BX176-BX188</f>
        <v>6.560999999999467</v>
      </c>
      <c r="BY166" s="460">
        <f>+BY164-BY176-BY188</f>
        <v>6.560999999999467</v>
      </c>
      <c r="BZ166" s="460">
        <f>+BZ164-BZ176-BZ188</f>
        <v>6.5609999999996944</v>
      </c>
    </row>
    <row r="167" spans="1:78" s="140" customFormat="1" collapsed="1">
      <c r="A167" s="149"/>
      <c r="B167" s="336"/>
      <c r="D167" s="138"/>
      <c r="E167" s="143"/>
      <c r="F167" s="138"/>
      <c r="H167" s="138"/>
      <c r="I167" s="143"/>
      <c r="J167" s="138"/>
      <c r="L167" s="138"/>
      <c r="M167" s="143"/>
      <c r="N167" s="138"/>
      <c r="P167" s="138"/>
      <c r="Q167" s="143"/>
      <c r="R167" s="138"/>
      <c r="T167" s="138"/>
      <c r="U167" s="143"/>
      <c r="V167" s="138"/>
      <c r="W167" s="138"/>
      <c r="X167" s="138"/>
      <c r="Y167" s="181"/>
      <c r="Z167" s="161"/>
      <c r="AB167" s="478" t="s">
        <v>468</v>
      </c>
      <c r="AC167" s="161"/>
      <c r="AD167" s="161"/>
      <c r="AF167" s="478" t="s">
        <v>468</v>
      </c>
      <c r="AG167" s="161"/>
      <c r="AH167" s="161"/>
      <c r="AJ167" s="478" t="s">
        <v>468</v>
      </c>
      <c r="AK167" s="161"/>
      <c r="AL167" s="218"/>
      <c r="AN167" s="478" t="s">
        <v>468</v>
      </c>
      <c r="AO167" s="161"/>
      <c r="AP167" s="218"/>
      <c r="AR167" s="143"/>
      <c r="AS167" s="143"/>
      <c r="AT167" s="138"/>
      <c r="AV167" s="143"/>
      <c r="AW167" s="143"/>
      <c r="AX167" s="138"/>
      <c r="AZ167" s="143"/>
      <c r="BA167" s="143"/>
      <c r="BB167" s="138"/>
      <c r="BD167" s="143"/>
      <c r="BE167" s="143"/>
      <c r="BF167" s="138"/>
      <c r="BH167" s="143"/>
      <c r="BI167" s="143"/>
      <c r="BJ167" s="138"/>
      <c r="BL167" s="143"/>
      <c r="BM167" s="143"/>
      <c r="BN167" s="138"/>
      <c r="BP167" s="143"/>
      <c r="BQ167" s="143"/>
      <c r="BR167" s="138"/>
      <c r="BT167" s="143"/>
      <c r="BU167" s="143"/>
      <c r="BV167" s="138"/>
      <c r="BX167" s="143"/>
      <c r="BY167" s="143"/>
      <c r="BZ167" s="138"/>
    </row>
    <row r="168" spans="1:78" s="166" customFormat="1">
      <c r="A168" s="502"/>
      <c r="B168" s="504" t="s">
        <v>470</v>
      </c>
      <c r="D168" s="165"/>
      <c r="E168" s="505"/>
      <c r="F168" s="165"/>
      <c r="H168" s="165"/>
      <c r="I168" s="505"/>
      <c r="J168" s="165"/>
      <c r="L168" s="165"/>
      <c r="M168" s="505"/>
      <c r="N168" s="500">
        <f>+N156-N180</f>
        <v>24.597999999999985</v>
      </c>
      <c r="P168" s="165"/>
      <c r="Q168" s="505"/>
      <c r="R168" s="500">
        <f>+R156-R180</f>
        <v>60.23599999999999</v>
      </c>
      <c r="T168" s="165"/>
      <c r="U168" s="505"/>
      <c r="V168" s="500">
        <f>+V156-V180</f>
        <v>53.574999999999989</v>
      </c>
      <c r="W168" s="165"/>
      <c r="X168" s="165"/>
      <c r="Y168" s="506"/>
      <c r="Z168" s="500">
        <f>+Z156-Z180</f>
        <v>53.436000000000035</v>
      </c>
      <c r="AB168" s="165"/>
      <c r="AC168" s="165"/>
      <c r="AD168" s="500">
        <f>+AD156-AD180</f>
        <v>62.663000000000011</v>
      </c>
      <c r="AF168" s="166">
        <f>+AF176</f>
        <v>168.89279999999988</v>
      </c>
      <c r="AH168" s="500">
        <f>+AH156-AH180</f>
        <v>513.40699999999993</v>
      </c>
      <c r="AJ168" s="166">
        <f>+AJ176</f>
        <v>584.32642000000021</v>
      </c>
      <c r="AL168" s="845">
        <f>+AL156-AL180</f>
        <v>501.12799999999993</v>
      </c>
      <c r="AN168" s="166">
        <f>+AN176</f>
        <v>894.75727999999992</v>
      </c>
      <c r="AP168" s="845">
        <f>+AP156-AP180</f>
        <v>595.82200000000012</v>
      </c>
      <c r="AR168" s="166">
        <f t="shared" ref="AR168:AT168" si="585">+AR176</f>
        <v>544.1546698999997</v>
      </c>
      <c r="AS168" s="166">
        <f t="shared" si="585"/>
        <v>490.42771749999974</v>
      </c>
      <c r="AT168" s="166">
        <f t="shared" si="585"/>
        <v>490.37971750000008</v>
      </c>
      <c r="AV168" s="166">
        <f t="shared" ref="AV168:AX168" si="586">+AV176</f>
        <v>447.42051833225008</v>
      </c>
      <c r="AW168" s="166">
        <f t="shared" si="586"/>
        <v>402.79402812500007</v>
      </c>
      <c r="AX168" s="166">
        <f t="shared" si="586"/>
        <v>402.79402812500007</v>
      </c>
      <c r="AZ168" s="166">
        <f t="shared" ref="AZ168:BB168" si="587">+AZ176</f>
        <v>367.08850550818755</v>
      </c>
      <c r="BA168" s="166">
        <f t="shared" si="587"/>
        <v>330.01348319575004</v>
      </c>
      <c r="BB168" s="166">
        <f t="shared" si="587"/>
        <v>330.01348319575004</v>
      </c>
      <c r="BD168" s="166">
        <f t="shared" ref="BD168:BF168" si="588">+BD176</f>
        <v>300.32752437006405</v>
      </c>
      <c r="BE168" s="166">
        <f t="shared" si="588"/>
        <v>269.51951970151254</v>
      </c>
      <c r="BF168" s="166">
        <f t="shared" si="588"/>
        <v>269.51951970151254</v>
      </c>
      <c r="BH168" s="166">
        <f t="shared" ref="BH168:BJ168" si="589">+BH176</f>
        <v>244.82879132138694</v>
      </c>
      <c r="BI168" s="166">
        <f t="shared" si="589"/>
        <v>219.22169657427622</v>
      </c>
      <c r="BJ168" s="166">
        <f t="shared" si="589"/>
        <v>219.22169657427622</v>
      </c>
      <c r="BL168" s="166">
        <f t="shared" ref="BL168:BN168" si="590">+BL176</f>
        <v>198.67598181286962</v>
      </c>
      <c r="BM168" s="166">
        <f t="shared" si="590"/>
        <v>177.38491328311048</v>
      </c>
      <c r="BN168" s="166">
        <f t="shared" si="590"/>
        <v>177.38491328311048</v>
      </c>
      <c r="BP168" s="166">
        <f t="shared" ref="BP168:BR168" si="591">+BP176</f>
        <v>160.27851162112262</v>
      </c>
      <c r="BQ168" s="166">
        <f t="shared" si="591"/>
        <v>142.56900125397217</v>
      </c>
      <c r="BR168" s="166">
        <f t="shared" si="591"/>
        <v>142.56900125397212</v>
      </c>
      <c r="BT168" s="166">
        <f t="shared" ref="BT168:BV168" si="592">+BT176</f>
        <v>128.31616029630135</v>
      </c>
      <c r="BU168" s="166">
        <f t="shared" si="592"/>
        <v>113.57858473436708</v>
      </c>
      <c r="BV168" s="166">
        <f t="shared" si="592"/>
        <v>113.5785847343671</v>
      </c>
      <c r="BX168" s="166">
        <f t="shared" ref="BX168:BZ168" si="593">+BX176</f>
        <v>101.69310860971514</v>
      </c>
      <c r="BY168" s="166">
        <f t="shared" si="593"/>
        <v>89.421465296966332</v>
      </c>
      <c r="BZ168" s="166">
        <f t="shared" si="593"/>
        <v>89.421465296966346</v>
      </c>
    </row>
    <row r="169" spans="1:78" s="140" customFormat="1">
      <c r="A169" s="149"/>
      <c r="B169" s="336" t="s">
        <v>268</v>
      </c>
      <c r="C169" s="155" t="s">
        <v>406</v>
      </c>
      <c r="D169" s="138"/>
      <c r="E169" s="143"/>
      <c r="F169" s="138"/>
      <c r="H169" s="138"/>
      <c r="I169" s="143"/>
      <c r="J169" s="138"/>
      <c r="L169" s="138"/>
      <c r="M169" s="143"/>
      <c r="N169" s="138"/>
      <c r="P169" s="138"/>
      <c r="Q169" s="143"/>
      <c r="R169" s="161">
        <f>N168</f>
        <v>24.597999999999985</v>
      </c>
      <c r="T169" s="138"/>
      <c r="U169" s="143"/>
      <c r="V169" s="161">
        <f>R168</f>
        <v>60.23599999999999</v>
      </c>
      <c r="W169" s="138"/>
      <c r="X169" s="138"/>
      <c r="Y169" s="181"/>
      <c r="Z169" s="161">
        <f>V168</f>
        <v>53.574999999999989</v>
      </c>
      <c r="AB169" s="161"/>
      <c r="AC169" s="161"/>
      <c r="AD169" s="161">
        <f>Z168</f>
        <v>53.436000000000035</v>
      </c>
      <c r="AF169" s="165">
        <f>AD176</f>
        <v>62.663000000000039</v>
      </c>
      <c r="AG169" s="165"/>
      <c r="AH169" s="161">
        <f>AD168</f>
        <v>62.663000000000011</v>
      </c>
      <c r="AJ169" s="165">
        <f>AH176</f>
        <v>513.45099999999979</v>
      </c>
      <c r="AK169" s="165"/>
      <c r="AL169" s="218">
        <f>AH168</f>
        <v>513.40699999999993</v>
      </c>
      <c r="AN169" s="165">
        <f>AL176</f>
        <v>501.12500000000011</v>
      </c>
      <c r="AO169" s="165"/>
      <c r="AP169" s="218">
        <f>AL168</f>
        <v>501.12799999999993</v>
      </c>
      <c r="AR169" s="165">
        <f t="shared" ref="AR169" si="594">AP176</f>
        <v>595.86999999999978</v>
      </c>
      <c r="AS169" s="165">
        <f t="shared" ref="AS169" si="595">+AR176</f>
        <v>544.1546698999997</v>
      </c>
      <c r="AT169" s="161">
        <f t="shared" ref="AT169" si="596">AP168</f>
        <v>595.82200000000012</v>
      </c>
      <c r="AV169" s="165">
        <f t="shared" ref="AV169" si="597">AT176</f>
        <v>490.37971750000008</v>
      </c>
      <c r="AW169" s="165">
        <f t="shared" ref="AW169" si="598">+AV176</f>
        <v>447.42051833225008</v>
      </c>
      <c r="AX169" s="161">
        <f t="shared" ref="AX169" si="599">AT168</f>
        <v>490.37971750000008</v>
      </c>
      <c r="AZ169" s="165">
        <f t="shared" ref="AZ169" si="600">AX176</f>
        <v>402.79402812500007</v>
      </c>
      <c r="BA169" s="165">
        <f t="shared" ref="BA169" si="601">+AZ176</f>
        <v>367.08850550818755</v>
      </c>
      <c r="BB169" s="161">
        <f t="shared" ref="BB169" si="602">AX168</f>
        <v>402.79402812500007</v>
      </c>
      <c r="BD169" s="165">
        <f t="shared" ref="BD169" si="603">BB176</f>
        <v>330.01348319575004</v>
      </c>
      <c r="BE169" s="165">
        <f t="shared" ref="BE169" si="604">+BD176</f>
        <v>300.32752437006405</v>
      </c>
      <c r="BF169" s="161">
        <f t="shared" ref="BF169" si="605">BB168</f>
        <v>330.01348319575004</v>
      </c>
      <c r="BH169" s="165">
        <f t="shared" ref="BH169" si="606">BF176</f>
        <v>269.51951970151254</v>
      </c>
      <c r="BI169" s="165">
        <f t="shared" ref="BI169" si="607">+BH176</f>
        <v>244.82879132138694</v>
      </c>
      <c r="BJ169" s="161">
        <f t="shared" ref="BJ169" si="608">BF168</f>
        <v>269.51951970151254</v>
      </c>
      <c r="BL169" s="165">
        <f t="shared" ref="BL169" si="609">BJ176</f>
        <v>219.22169657427622</v>
      </c>
      <c r="BM169" s="165">
        <f t="shared" ref="BM169" si="610">+BL176</f>
        <v>198.67598181286962</v>
      </c>
      <c r="BN169" s="161">
        <f t="shared" ref="BN169" si="611">BJ168</f>
        <v>219.22169657427622</v>
      </c>
      <c r="BP169" s="165">
        <f t="shared" ref="BP169" si="612">BN176</f>
        <v>177.38491328311048</v>
      </c>
      <c r="BQ169" s="165">
        <f t="shared" ref="BQ169" si="613">+BP176</f>
        <v>160.27851162112262</v>
      </c>
      <c r="BR169" s="161">
        <f t="shared" ref="BR169" si="614">BN168</f>
        <v>177.38491328311048</v>
      </c>
      <c r="BT169" s="165">
        <f t="shared" ref="BT169" si="615">BR176</f>
        <v>142.56900125397212</v>
      </c>
      <c r="BU169" s="165">
        <f t="shared" ref="BU169" si="616">+BT176</f>
        <v>128.31616029630135</v>
      </c>
      <c r="BV169" s="161">
        <f t="shared" ref="BV169" si="617">BR168</f>
        <v>142.56900125397212</v>
      </c>
      <c r="BX169" s="165">
        <f t="shared" ref="BX169" si="618">BV176</f>
        <v>113.5785847343671</v>
      </c>
      <c r="BY169" s="165">
        <f t="shared" ref="BY169" si="619">+BX176</f>
        <v>101.69310860971514</v>
      </c>
      <c r="BZ169" s="161">
        <f t="shared" ref="BZ169" si="620">BV168</f>
        <v>113.5785847343671</v>
      </c>
    </row>
    <row r="170" spans="1:78" s="140" customFormat="1">
      <c r="A170" s="149"/>
      <c r="B170" s="337" t="s">
        <v>274</v>
      </c>
      <c r="C170" s="155" t="s">
        <v>406</v>
      </c>
      <c r="D170" s="138"/>
      <c r="E170" s="143"/>
      <c r="F170" s="138"/>
      <c r="H170" s="138"/>
      <c r="I170" s="143"/>
      <c r="J170" s="138"/>
      <c r="L170" s="138"/>
      <c r="M170" s="143"/>
      <c r="N170" s="138"/>
      <c r="P170" s="138"/>
      <c r="Q170" s="143"/>
      <c r="R170" s="185">
        <f t="shared" ref="R170:R171" si="621">+R158-R182</f>
        <v>41.427000000000007</v>
      </c>
      <c r="T170" s="138"/>
      <c r="U170" s="143"/>
      <c r="V170" s="185">
        <f t="shared" ref="V170:V171" si="622">+V158-V182</f>
        <v>2.070999999999998</v>
      </c>
      <c r="W170" s="138"/>
      <c r="X170" s="138"/>
      <c r="Y170" s="181"/>
      <c r="Z170" s="185">
        <f t="shared" ref="Z170:Z171" si="623">+Z158-Z182</f>
        <v>9.8309999999999889</v>
      </c>
      <c r="AB170" s="161"/>
      <c r="AC170" s="161"/>
      <c r="AD170" s="185">
        <f t="shared" ref="AD170:AD171" si="624">+AD158-AD182</f>
        <v>21.165999999999997</v>
      </c>
      <c r="AF170" s="186">
        <f>+$AF$158*10%</f>
        <v>118</v>
      </c>
      <c r="AG170" s="186"/>
      <c r="AH170" s="185">
        <f t="shared" ref="AH170:AH171" si="625">+AH158-AH182</f>
        <v>466.94299999999987</v>
      </c>
      <c r="AJ170" s="186">
        <f>+$AF$158*10%</f>
        <v>118</v>
      </c>
      <c r="AK170" s="186"/>
      <c r="AL170" s="472">
        <f t="shared" ref="AL170:AL171" si="626">+AL158-AL182</f>
        <v>47.452999999999989</v>
      </c>
      <c r="AN170" s="186">
        <f>+$AF$158*10%</f>
        <v>118</v>
      </c>
      <c r="AO170" s="186"/>
      <c r="AP170" s="472">
        <f t="shared" ref="AP170:AP171" si="627">+AP158-AP182</f>
        <v>162.56900000000002</v>
      </c>
      <c r="AR170" s="480">
        <f>+CF!AR170</f>
        <v>-2.0833575</v>
      </c>
      <c r="AS170" s="480">
        <f>+CF!AS170</f>
        <v>-2.0691850000000001</v>
      </c>
      <c r="AT170" s="161">
        <f t="shared" ref="AT170" si="628">+AS170+AR170</f>
        <v>-4.1525425</v>
      </c>
      <c r="AV170" s="480">
        <f>+CF!AV170</f>
        <v>-2.1105687</v>
      </c>
      <c r="AW170" s="480">
        <f>+CF!AW170</f>
        <v>-2.1105687</v>
      </c>
      <c r="AX170" s="161">
        <f t="shared" ref="AX170" si="629">+AW170+AV170</f>
        <v>-4.2211373999999999</v>
      </c>
      <c r="AZ170" s="480">
        <f>+CF!AZ170</f>
        <v>-2.1527800740000003</v>
      </c>
      <c r="BA170" s="480">
        <f>+CF!BA170</f>
        <v>-2.1527800740000003</v>
      </c>
      <c r="BB170" s="161">
        <f t="shared" ref="BB170" si="630">+BA170+AZ170</f>
        <v>-4.3055601480000005</v>
      </c>
      <c r="BD170" s="480">
        <f>+CF!BD170</f>
        <v>-2.1958356754800001</v>
      </c>
      <c r="BE170" s="480">
        <f>+CF!BE170</f>
        <v>-2.1958356754800001</v>
      </c>
      <c r="BF170" s="161">
        <f t="shared" ref="BF170" si="631">+BE170+BD170</f>
        <v>-4.3916713509600003</v>
      </c>
      <c r="BH170" s="480">
        <f>+CF!BH170</f>
        <v>-2.2397523889896003</v>
      </c>
      <c r="BI170" s="480">
        <f>+CF!BI170</f>
        <v>-2.2397523889896003</v>
      </c>
      <c r="BJ170" s="161">
        <f t="shared" ref="BJ170" si="632">+BI170+BH170</f>
        <v>-4.4795047779792005</v>
      </c>
      <c r="BL170" s="480">
        <f>+CF!BL170</f>
        <v>-2.2845474367693921</v>
      </c>
      <c r="BM170" s="480">
        <f>+CF!BM170</f>
        <v>-2.2845474367693921</v>
      </c>
      <c r="BN170" s="161">
        <f t="shared" ref="BN170" si="633">+BM170+BL170</f>
        <v>-4.5690948735387842</v>
      </c>
      <c r="BP170" s="480">
        <f>+CF!BP170</f>
        <v>-2.3302383855047801</v>
      </c>
      <c r="BQ170" s="480">
        <f>+CF!BQ170</f>
        <v>-2.3302383855047801</v>
      </c>
      <c r="BR170" s="161">
        <f t="shared" ref="BR170" si="634">+BQ170+BP170</f>
        <v>-4.6604767710095603</v>
      </c>
      <c r="BT170" s="480">
        <f>+CF!BT170</f>
        <v>-2.3768431532148759</v>
      </c>
      <c r="BU170" s="480">
        <f>+CF!BU170</f>
        <v>-2.3768431532148759</v>
      </c>
      <c r="BV170" s="161">
        <f t="shared" ref="BV170" si="635">+BU170+BT170</f>
        <v>-4.7536863064297519</v>
      </c>
      <c r="BX170" s="480">
        <f>+CF!BX170</f>
        <v>-2.4243800162791733</v>
      </c>
      <c r="BY170" s="480">
        <f>+CF!BY170</f>
        <v>-2.4243800162791733</v>
      </c>
      <c r="BZ170" s="161">
        <f t="shared" ref="BZ170" si="636">+BY170+BX170</f>
        <v>-4.8487600325583466</v>
      </c>
    </row>
    <row r="171" spans="1:78" s="140" customFormat="1">
      <c r="A171" s="149"/>
      <c r="B171" s="337" t="s">
        <v>273</v>
      </c>
      <c r="C171" s="155" t="s">
        <v>406</v>
      </c>
      <c r="D171" s="138"/>
      <c r="E171" s="143"/>
      <c r="F171" s="138"/>
      <c r="H171" s="138"/>
      <c r="I171" s="143"/>
      <c r="J171" s="138"/>
      <c r="L171" s="138"/>
      <c r="M171" s="143"/>
      <c r="N171" s="138"/>
      <c r="P171" s="138"/>
      <c r="Q171" s="143"/>
      <c r="R171" s="185">
        <f t="shared" si="621"/>
        <v>1.744</v>
      </c>
      <c r="T171" s="138"/>
      <c r="U171" s="143"/>
      <c r="V171" s="185">
        <f t="shared" si="622"/>
        <v>1.5649999999999995</v>
      </c>
      <c r="W171" s="138"/>
      <c r="X171" s="138"/>
      <c r="Y171" s="181"/>
      <c r="Z171" s="185">
        <f t="shared" si="623"/>
        <v>0</v>
      </c>
      <c r="AB171" s="161"/>
      <c r="AC171" s="161"/>
      <c r="AD171" s="185">
        <f t="shared" si="624"/>
        <v>-1.0019999999999989</v>
      </c>
      <c r="AF171" s="161">
        <f>+AH171*49%</f>
        <v>-0.79135000000000011</v>
      </c>
      <c r="AG171" s="186"/>
      <c r="AH171" s="185">
        <f t="shared" si="625"/>
        <v>-1.6150000000000002</v>
      </c>
      <c r="AJ171" s="161">
        <f>+AL171*49%</f>
        <v>-3.1198299999999985</v>
      </c>
      <c r="AK171" s="186"/>
      <c r="AL171" s="185">
        <f t="shared" si="626"/>
        <v>-6.3669999999999973</v>
      </c>
      <c r="AN171" s="161">
        <f>+AP171*49%</f>
        <v>-12.56066</v>
      </c>
      <c r="AO171" s="186"/>
      <c r="AP171" s="185">
        <f t="shared" si="627"/>
        <v>-25.634</v>
      </c>
      <c r="AR171" s="161">
        <f t="shared" ref="AR171:AR175" si="637">+AT171*49%</f>
        <v>0</v>
      </c>
      <c r="AS171" s="186">
        <f t="shared" ref="AS171" si="638">+AT171*51%</f>
        <v>0</v>
      </c>
      <c r="AT171" s="181">
        <v>0</v>
      </c>
      <c r="AV171" s="161">
        <f t="shared" ref="AV171:AV175" si="639">+AX171*49%</f>
        <v>0</v>
      </c>
      <c r="AW171" s="186">
        <f t="shared" ref="AW171" si="640">+AX171*51%</f>
        <v>0</v>
      </c>
      <c r="AX171" s="181">
        <v>0</v>
      </c>
      <c r="AZ171" s="161">
        <f t="shared" ref="AZ171:AZ175" si="641">+BB171*49%</f>
        <v>0</v>
      </c>
      <c r="BA171" s="186">
        <f t="shared" ref="BA171" si="642">+BB171*51%</f>
        <v>0</v>
      </c>
      <c r="BB171" s="181">
        <v>0</v>
      </c>
      <c r="BD171" s="161">
        <f t="shared" ref="BD171:BD175" si="643">+BF171*49%</f>
        <v>0</v>
      </c>
      <c r="BE171" s="186">
        <f t="shared" ref="BE171" si="644">+BF171*51%</f>
        <v>0</v>
      </c>
      <c r="BF171" s="181">
        <v>0</v>
      </c>
      <c r="BH171" s="161">
        <f t="shared" ref="BH171:BH175" si="645">+BJ171*49%</f>
        <v>0</v>
      </c>
      <c r="BI171" s="186">
        <f t="shared" ref="BI171" si="646">+BJ171*51%</f>
        <v>0</v>
      </c>
      <c r="BJ171" s="181">
        <v>0</v>
      </c>
      <c r="BL171" s="161">
        <f t="shared" ref="BL171:BL175" si="647">+BN171*49%</f>
        <v>0</v>
      </c>
      <c r="BM171" s="186">
        <f t="shared" ref="BM171" si="648">+BN171*51%</f>
        <v>0</v>
      </c>
      <c r="BN171" s="181">
        <v>0</v>
      </c>
      <c r="BP171" s="161">
        <f t="shared" ref="BP171:BP175" si="649">+BR171*49%</f>
        <v>0</v>
      </c>
      <c r="BQ171" s="186">
        <f t="shared" ref="BQ171" si="650">+BR171*51%</f>
        <v>0</v>
      </c>
      <c r="BR171" s="181">
        <v>0</v>
      </c>
      <c r="BT171" s="161">
        <f t="shared" ref="BT171:BT175" si="651">+BV171*49%</f>
        <v>0</v>
      </c>
      <c r="BU171" s="186">
        <f t="shared" ref="BU171:BU175" si="652">+BV171*51%</f>
        <v>0</v>
      </c>
      <c r="BV171" s="181">
        <v>0</v>
      </c>
      <c r="BX171" s="161">
        <f t="shared" ref="BX171:BX175" si="653">+BZ171*49%</f>
        <v>0</v>
      </c>
      <c r="BY171" s="186">
        <f t="shared" ref="BY171:BY175" si="654">+BZ171*51%</f>
        <v>0</v>
      </c>
      <c r="BZ171" s="181">
        <v>0</v>
      </c>
    </row>
    <row r="172" spans="1:78" s="140" customFormat="1">
      <c r="A172" s="149"/>
      <c r="B172" s="337" t="s">
        <v>438</v>
      </c>
      <c r="C172" s="155" t="s">
        <v>406</v>
      </c>
      <c r="D172" s="138"/>
      <c r="E172" s="143"/>
      <c r="F172" s="138"/>
      <c r="H172" s="138"/>
      <c r="I172" s="143"/>
      <c r="J172" s="138"/>
      <c r="L172" s="138"/>
      <c r="M172" s="143"/>
      <c r="N172" s="138"/>
      <c r="P172" s="138"/>
      <c r="Q172" s="143"/>
      <c r="R172" s="185">
        <f>+R160-R184</f>
        <v>-7.8780000000000001</v>
      </c>
      <c r="T172" s="138"/>
      <c r="U172" s="143"/>
      <c r="V172" s="185">
        <f>+V160-V184</f>
        <v>-7.5259999999999998</v>
      </c>
      <c r="W172" s="138"/>
      <c r="X172" s="138"/>
      <c r="Y172" s="181"/>
      <c r="Z172" s="185">
        <f>+Z160-Z184</f>
        <v>-9.8109999999999999</v>
      </c>
      <c r="AB172" s="161"/>
      <c r="AC172" s="161"/>
      <c r="AD172" s="185">
        <f>+AD160-AD184</f>
        <v>-10.016</v>
      </c>
      <c r="AF172" s="161">
        <f>+AH172*49%</f>
        <v>-18.741029999999999</v>
      </c>
      <c r="AG172" s="186"/>
      <c r="AH172" s="185">
        <f>+AH160-AH184</f>
        <v>-38.247</v>
      </c>
      <c r="AJ172" s="161">
        <f>+AL172*49%</f>
        <v>-24.822909999999997</v>
      </c>
      <c r="AK172" s="186"/>
      <c r="AL172" s="185">
        <f>+AL160-AL184</f>
        <v>-50.658999999999992</v>
      </c>
      <c r="AN172" s="161">
        <f>+AP172*49%</f>
        <v>-30.866079999999993</v>
      </c>
      <c r="AO172" s="186"/>
      <c r="AP172" s="185">
        <f>+AP160-AP184</f>
        <v>-62.99199999999999</v>
      </c>
      <c r="AR172" s="161">
        <f t="shared" si="637"/>
        <v>-49.631972600000012</v>
      </c>
      <c r="AS172" s="186">
        <f t="shared" ref="AS172" si="655">+AT172*51%</f>
        <v>-51.657767400000012</v>
      </c>
      <c r="AT172" s="185">
        <f>-AT169*AT7*AT178</f>
        <v>-101.28974000000002</v>
      </c>
      <c r="AV172" s="161">
        <f t="shared" si="639"/>
        <v>-40.848630467750013</v>
      </c>
      <c r="AW172" s="186">
        <f t="shared" ref="AW172" si="656">+AX172*51%</f>
        <v>-42.515921507250013</v>
      </c>
      <c r="AX172" s="185">
        <f>-AX169*AX7*AX178</f>
        <v>-83.364551975000026</v>
      </c>
      <c r="AZ172" s="161">
        <f t="shared" si="641"/>
        <v>-33.55274254281251</v>
      </c>
      <c r="BA172" s="186">
        <f t="shared" ref="BA172" si="657">+BB172*51%</f>
        <v>-34.922242238437505</v>
      </c>
      <c r="BB172" s="185">
        <f>-BB169*BB7*BB178</f>
        <v>-68.474984781250015</v>
      </c>
      <c r="BD172" s="161">
        <f t="shared" si="643"/>
        <v>-27.490123150205978</v>
      </c>
      <c r="BE172" s="186">
        <f t="shared" ref="BE172" si="658">+BF172*51%</f>
        <v>-28.612168993071531</v>
      </c>
      <c r="BF172" s="185">
        <f>-BF169*BF7*BF178</f>
        <v>-56.102292143277509</v>
      </c>
      <c r="BH172" s="161">
        <f t="shared" si="645"/>
        <v>-22.450975991135994</v>
      </c>
      <c r="BI172" s="186">
        <f t="shared" ref="BI172" si="659">+BJ172*51%</f>
        <v>-23.367342358121139</v>
      </c>
      <c r="BJ172" s="185">
        <f>-BJ169*BJ7*BJ178</f>
        <v>-45.818318349257133</v>
      </c>
      <c r="BL172" s="161">
        <f t="shared" si="647"/>
        <v>-18.261167324637213</v>
      </c>
      <c r="BM172" s="186">
        <f t="shared" ref="BM172" si="660">+BN172*51%</f>
        <v>-19.00652109298975</v>
      </c>
      <c r="BN172" s="185">
        <f>-BN169*BN7*BN178</f>
        <v>-37.267688417626964</v>
      </c>
      <c r="BP172" s="161">
        <f t="shared" si="649"/>
        <v>-14.776163276483103</v>
      </c>
      <c r="BQ172" s="186">
        <f t="shared" ref="BQ172" si="661">+BR172*51%</f>
        <v>-15.37927198164568</v>
      </c>
      <c r="BR172" s="185">
        <f>-BR169*BR7*BR178</f>
        <v>-30.155435258128783</v>
      </c>
      <c r="BT172" s="161">
        <f t="shared" si="651"/>
        <v>-11.875997804455878</v>
      </c>
      <c r="BU172" s="186">
        <f t="shared" si="652"/>
        <v>-12.360732408719382</v>
      </c>
      <c r="BV172" s="185">
        <f>-BV169*BV7*BV178</f>
        <v>-24.23673021317526</v>
      </c>
      <c r="BX172" s="161">
        <f t="shared" si="653"/>
        <v>-9.4610961083727805</v>
      </c>
      <c r="BY172" s="186">
        <f t="shared" si="654"/>
        <v>-9.8472632964696292</v>
      </c>
      <c r="BZ172" s="185">
        <f>-BZ169*BZ7*BZ178</f>
        <v>-19.30835940484241</v>
      </c>
    </row>
    <row r="173" spans="1:78" s="140" customFormat="1">
      <c r="A173" s="149"/>
      <c r="B173" s="337" t="s">
        <v>439</v>
      </c>
      <c r="C173" s="155" t="s">
        <v>406</v>
      </c>
      <c r="D173" s="138"/>
      <c r="E173" s="143"/>
      <c r="F173" s="138"/>
      <c r="H173" s="138"/>
      <c r="I173" s="143"/>
      <c r="J173" s="138"/>
      <c r="L173" s="138"/>
      <c r="M173" s="143"/>
      <c r="N173" s="138"/>
      <c r="P173" s="138"/>
      <c r="Q173" s="143"/>
      <c r="R173" s="185">
        <f>+R161-R185</f>
        <v>0</v>
      </c>
      <c r="T173" s="138"/>
      <c r="U173" s="143"/>
      <c r="V173" s="185">
        <f>+V161-V185</f>
        <v>0</v>
      </c>
      <c r="W173" s="138"/>
      <c r="X173" s="138"/>
      <c r="Y173" s="181"/>
      <c r="Z173" s="185">
        <f>+Z161-Z185</f>
        <v>0</v>
      </c>
      <c r="AB173" s="161"/>
      <c r="AC173" s="161"/>
      <c r="AD173" s="185">
        <f>+AD161-AD185</f>
        <v>0</v>
      </c>
      <c r="AF173" s="161">
        <f>+AH173*49%</f>
        <v>-2.5102699999999998</v>
      </c>
      <c r="AG173" s="186"/>
      <c r="AH173" s="185">
        <f>+AH161-AH185</f>
        <v>-5.1229999999999993</v>
      </c>
      <c r="AJ173" s="161">
        <f>+AL173*49%</f>
        <v>0</v>
      </c>
      <c r="AK173" s="186"/>
      <c r="AL173" s="185">
        <f>+AL161-AL185</f>
        <v>0</v>
      </c>
      <c r="AN173" s="161">
        <f>+AP173*49%</f>
        <v>0</v>
      </c>
      <c r="AO173" s="186"/>
      <c r="AP173" s="185">
        <f>+AP161-AP185</f>
        <v>0</v>
      </c>
      <c r="AR173" s="161">
        <f t="shared" si="637"/>
        <v>0</v>
      </c>
      <c r="AS173" s="186">
        <f t="shared" ref="AS173" si="662">+AT173*51%</f>
        <v>0</v>
      </c>
      <c r="AT173" s="181">
        <v>0</v>
      </c>
      <c r="AV173" s="161">
        <f t="shared" si="639"/>
        <v>0</v>
      </c>
      <c r="AW173" s="186">
        <f t="shared" ref="AW173" si="663">+AX173*51%</f>
        <v>0</v>
      </c>
      <c r="AX173" s="181">
        <v>0</v>
      </c>
      <c r="AZ173" s="161">
        <f t="shared" si="641"/>
        <v>0</v>
      </c>
      <c r="BA173" s="186">
        <f t="shared" ref="BA173" si="664">+BB173*51%</f>
        <v>0</v>
      </c>
      <c r="BB173" s="181">
        <v>0</v>
      </c>
      <c r="BD173" s="161">
        <f t="shared" si="643"/>
        <v>0</v>
      </c>
      <c r="BE173" s="186">
        <f t="shared" ref="BE173" si="665">+BF173*51%</f>
        <v>0</v>
      </c>
      <c r="BF173" s="181">
        <v>0</v>
      </c>
      <c r="BH173" s="161">
        <f t="shared" si="645"/>
        <v>0</v>
      </c>
      <c r="BI173" s="186">
        <f t="shared" ref="BI173" si="666">+BJ173*51%</f>
        <v>0</v>
      </c>
      <c r="BJ173" s="181">
        <v>0</v>
      </c>
      <c r="BL173" s="161">
        <f t="shared" si="647"/>
        <v>0</v>
      </c>
      <c r="BM173" s="186">
        <f t="shared" ref="BM173" si="667">+BN173*51%</f>
        <v>0</v>
      </c>
      <c r="BN173" s="181">
        <v>0</v>
      </c>
      <c r="BP173" s="161">
        <f t="shared" si="649"/>
        <v>0</v>
      </c>
      <c r="BQ173" s="186">
        <f t="shared" ref="BQ173" si="668">+BR173*51%</f>
        <v>0</v>
      </c>
      <c r="BR173" s="181">
        <v>0</v>
      </c>
      <c r="BT173" s="161">
        <f t="shared" si="651"/>
        <v>0</v>
      </c>
      <c r="BU173" s="186">
        <f t="shared" si="652"/>
        <v>0</v>
      </c>
      <c r="BV173" s="181">
        <v>0</v>
      </c>
      <c r="BX173" s="161">
        <f t="shared" si="653"/>
        <v>0</v>
      </c>
      <c r="BY173" s="186">
        <f t="shared" si="654"/>
        <v>0</v>
      </c>
      <c r="BZ173" s="181">
        <v>0</v>
      </c>
    </row>
    <row r="174" spans="1:78" s="140" customFormat="1">
      <c r="A174" s="149"/>
      <c r="B174" s="337" t="s">
        <v>275</v>
      </c>
      <c r="C174" s="155" t="s">
        <v>406</v>
      </c>
      <c r="D174" s="138"/>
      <c r="E174" s="143"/>
      <c r="F174" s="138"/>
      <c r="H174" s="138"/>
      <c r="I174" s="143"/>
      <c r="J174" s="138"/>
      <c r="L174" s="138"/>
      <c r="M174" s="143"/>
      <c r="N174" s="138"/>
      <c r="P174" s="138"/>
      <c r="Q174" s="143"/>
      <c r="R174" s="185">
        <f>+R162-R186</f>
        <v>0.38300000000000001</v>
      </c>
      <c r="T174" s="138"/>
      <c r="U174" s="143"/>
      <c r="V174" s="185">
        <f>+V162-V186</f>
        <v>-0.67099999999999982</v>
      </c>
      <c r="W174" s="138"/>
      <c r="X174" s="138"/>
      <c r="Y174" s="181"/>
      <c r="Z174" s="185">
        <f>+Z162-Z186</f>
        <v>-0.15899999999999992</v>
      </c>
      <c r="AB174" s="161"/>
      <c r="AC174" s="161"/>
      <c r="AD174" s="185">
        <f>+AD162-AD186</f>
        <v>-0.92099999999999982</v>
      </c>
      <c r="AF174" s="161">
        <f>+AH174*49%</f>
        <v>-18.213300000000007</v>
      </c>
      <c r="AG174" s="186"/>
      <c r="AH174" s="185">
        <f>+AH162-AH186</f>
        <v>-37.170000000000016</v>
      </c>
      <c r="AJ174" s="161">
        <f>+AL174*49%</f>
        <v>-52.581409999999913</v>
      </c>
      <c r="AK174" s="186"/>
      <c r="AL174" s="185">
        <f>+AL162-AL186</f>
        <v>-107.30899999999983</v>
      </c>
      <c r="AN174" s="161">
        <f>+AP174*49%</f>
        <v>23.029509999999977</v>
      </c>
      <c r="AO174" s="186"/>
      <c r="AP174" s="185">
        <f>+AP162-AP186</f>
        <v>46.998999999999953</v>
      </c>
      <c r="AR174" s="161">
        <f t="shared" si="637"/>
        <v>0</v>
      </c>
      <c r="AS174" s="186">
        <f t="shared" ref="AS174" si="669">+AT174*51%</f>
        <v>0</v>
      </c>
      <c r="AT174" s="181">
        <v>0</v>
      </c>
      <c r="AV174" s="161">
        <f t="shared" si="639"/>
        <v>0</v>
      </c>
      <c r="AW174" s="186">
        <f t="shared" ref="AW174" si="670">+AX174*51%</f>
        <v>0</v>
      </c>
      <c r="AX174" s="181">
        <v>0</v>
      </c>
      <c r="AZ174" s="161">
        <f t="shared" si="641"/>
        <v>0</v>
      </c>
      <c r="BA174" s="186">
        <f t="shared" ref="BA174" si="671">+BB174*51%</f>
        <v>0</v>
      </c>
      <c r="BB174" s="181">
        <v>0</v>
      </c>
      <c r="BD174" s="161">
        <f t="shared" si="643"/>
        <v>0</v>
      </c>
      <c r="BE174" s="186">
        <f t="shared" ref="BE174" si="672">+BF174*51%</f>
        <v>0</v>
      </c>
      <c r="BF174" s="181">
        <v>0</v>
      </c>
      <c r="BH174" s="161">
        <f t="shared" si="645"/>
        <v>0</v>
      </c>
      <c r="BI174" s="186">
        <f t="shared" ref="BI174" si="673">+BJ174*51%</f>
        <v>0</v>
      </c>
      <c r="BJ174" s="181">
        <v>0</v>
      </c>
      <c r="BL174" s="161">
        <f t="shared" si="647"/>
        <v>0</v>
      </c>
      <c r="BM174" s="186">
        <f t="shared" ref="BM174" si="674">+BN174*51%</f>
        <v>0</v>
      </c>
      <c r="BN174" s="181">
        <v>0</v>
      </c>
      <c r="BP174" s="161">
        <f t="shared" si="649"/>
        <v>0</v>
      </c>
      <c r="BQ174" s="186">
        <f t="shared" ref="BQ174" si="675">+BR174*51%</f>
        <v>0</v>
      </c>
      <c r="BR174" s="181">
        <v>0</v>
      </c>
      <c r="BT174" s="161">
        <f t="shared" si="651"/>
        <v>0</v>
      </c>
      <c r="BU174" s="186">
        <f t="shared" si="652"/>
        <v>0</v>
      </c>
      <c r="BV174" s="181">
        <v>0</v>
      </c>
      <c r="BX174" s="161">
        <f t="shared" si="653"/>
        <v>0</v>
      </c>
      <c r="BY174" s="186">
        <f t="shared" si="654"/>
        <v>0</v>
      </c>
      <c r="BZ174" s="181">
        <v>0</v>
      </c>
    </row>
    <row r="175" spans="1:78" s="140" customFormat="1">
      <c r="A175" s="149"/>
      <c r="B175" s="337" t="s">
        <v>270</v>
      </c>
      <c r="C175" s="155" t="s">
        <v>406</v>
      </c>
      <c r="D175" s="138"/>
      <c r="E175" s="143"/>
      <c r="F175" s="138"/>
      <c r="H175" s="138"/>
      <c r="I175" s="143"/>
      <c r="J175" s="138"/>
      <c r="L175" s="138"/>
      <c r="M175" s="143"/>
      <c r="N175" s="138"/>
      <c r="P175" s="138"/>
      <c r="Q175" s="143"/>
      <c r="R175" s="185">
        <f>+R163-R187</f>
        <v>-3.8000000000000034E-2</v>
      </c>
      <c r="T175" s="138"/>
      <c r="U175" s="143"/>
      <c r="V175" s="185">
        <f>+V163-V187</f>
        <v>0</v>
      </c>
      <c r="W175" s="138"/>
      <c r="X175" s="138"/>
      <c r="Y175" s="181"/>
      <c r="Z175" s="185">
        <f>+Z163-Z187</f>
        <v>0</v>
      </c>
      <c r="AB175" s="161"/>
      <c r="AC175" s="161"/>
      <c r="AD175" s="185">
        <f>+AD163-AD187</f>
        <v>0</v>
      </c>
      <c r="AF175" s="501">
        <f>+AF163</f>
        <v>28.485749999999825</v>
      </c>
      <c r="AG175" s="181"/>
      <c r="AH175" s="185">
        <v>66</v>
      </c>
      <c r="AJ175" s="501">
        <f>+AJ163</f>
        <v>33.399570000000267</v>
      </c>
      <c r="AK175" s="181"/>
      <c r="AL175" s="472">
        <f>50+54.6</f>
        <v>104.6</v>
      </c>
      <c r="AN175" s="501">
        <f>+AN163</f>
        <v>296.02950999999985</v>
      </c>
      <c r="AO175" s="181"/>
      <c r="AP175" s="930">
        <v>-26.2</v>
      </c>
      <c r="AR175" s="161">
        <f t="shared" si="637"/>
        <v>0</v>
      </c>
      <c r="AS175" s="186">
        <f t="shared" ref="AS175" si="676">+AT175*51%</f>
        <v>0</v>
      </c>
      <c r="AT175" s="181">
        <v>0</v>
      </c>
      <c r="AV175" s="161">
        <f t="shared" si="639"/>
        <v>0</v>
      </c>
      <c r="AW175" s="186">
        <f t="shared" ref="AW175" si="677">+AX175*51%</f>
        <v>0</v>
      </c>
      <c r="AX175" s="181">
        <v>0</v>
      </c>
      <c r="AZ175" s="161">
        <f t="shared" si="641"/>
        <v>0</v>
      </c>
      <c r="BA175" s="186">
        <f t="shared" ref="BA175" si="678">+BB175*51%</f>
        <v>0</v>
      </c>
      <c r="BB175" s="181">
        <v>0</v>
      </c>
      <c r="BD175" s="161">
        <f t="shared" si="643"/>
        <v>0</v>
      </c>
      <c r="BE175" s="186">
        <f t="shared" ref="BE175" si="679">+BF175*51%</f>
        <v>0</v>
      </c>
      <c r="BF175" s="181">
        <v>0</v>
      </c>
      <c r="BH175" s="161">
        <f t="shared" si="645"/>
        <v>0</v>
      </c>
      <c r="BI175" s="186">
        <f t="shared" ref="BI175" si="680">+BJ175*51%</f>
        <v>0</v>
      </c>
      <c r="BJ175" s="181">
        <v>0</v>
      </c>
      <c r="BL175" s="161">
        <f t="shared" si="647"/>
        <v>0</v>
      </c>
      <c r="BM175" s="186">
        <f t="shared" ref="BM175" si="681">+BN175*51%</f>
        <v>0</v>
      </c>
      <c r="BN175" s="181">
        <v>0</v>
      </c>
      <c r="BP175" s="161">
        <f t="shared" si="649"/>
        <v>0</v>
      </c>
      <c r="BQ175" s="186">
        <f t="shared" ref="BQ175" si="682">+BR175*51%</f>
        <v>0</v>
      </c>
      <c r="BR175" s="181">
        <v>0</v>
      </c>
      <c r="BT175" s="161">
        <f t="shared" si="651"/>
        <v>0</v>
      </c>
      <c r="BU175" s="186">
        <f t="shared" si="652"/>
        <v>0</v>
      </c>
      <c r="BV175" s="181">
        <v>0</v>
      </c>
      <c r="BX175" s="161">
        <f t="shared" si="653"/>
        <v>0</v>
      </c>
      <c r="BY175" s="186">
        <f t="shared" si="654"/>
        <v>0</v>
      </c>
      <c r="BZ175" s="181">
        <v>0</v>
      </c>
    </row>
    <row r="176" spans="1:78" s="140" customFormat="1">
      <c r="A176" s="149"/>
      <c r="B176" s="479" t="s">
        <v>271</v>
      </c>
      <c r="C176" s="155" t="s">
        <v>406</v>
      </c>
      <c r="D176" s="138"/>
      <c r="E176" s="143"/>
      <c r="F176" s="138"/>
      <c r="H176" s="138"/>
      <c r="I176" s="143"/>
      <c r="J176" s="138"/>
      <c r="L176" s="138"/>
      <c r="M176" s="143"/>
      <c r="N176" s="138"/>
      <c r="P176" s="138"/>
      <c r="Q176" s="143"/>
      <c r="R176" s="140">
        <f>+SUM(R169:R175)</f>
        <v>60.235999999999997</v>
      </c>
      <c r="T176" s="138"/>
      <c r="U176" s="143"/>
      <c r="V176" s="140">
        <f>+SUM(V169:V175)</f>
        <v>55.67499999999999</v>
      </c>
      <c r="W176" s="138"/>
      <c r="X176" s="138"/>
      <c r="Y176" s="181"/>
      <c r="Z176" s="140">
        <f>+SUM(Z169:Z175)</f>
        <v>53.435999999999979</v>
      </c>
      <c r="AB176" s="161"/>
      <c r="AC176" s="161"/>
      <c r="AD176" s="140">
        <f>+SUM(AD169:AD175)</f>
        <v>62.663000000000039</v>
      </c>
      <c r="AF176" s="140">
        <f>+SUM(AF169:AF175)</f>
        <v>168.89279999999988</v>
      </c>
      <c r="AH176" s="140">
        <f>+SUM(AH169:AH175)</f>
        <v>513.45099999999979</v>
      </c>
      <c r="AJ176" s="140">
        <f>+SUM(AJ169:AJ175)</f>
        <v>584.32642000000021</v>
      </c>
      <c r="AL176" s="140">
        <f>+SUM(AL169:AL175)</f>
        <v>501.12500000000011</v>
      </c>
      <c r="AN176" s="140">
        <f>+SUM(AN169:AN175)</f>
        <v>894.75727999999992</v>
      </c>
      <c r="AP176" s="140">
        <f>+SUM(AP169:AP175)</f>
        <v>595.86999999999978</v>
      </c>
      <c r="AR176" s="140">
        <f t="shared" ref="AR176:AT176" si="683">+SUM(AR169:AR175)</f>
        <v>544.1546698999997</v>
      </c>
      <c r="AS176" s="140">
        <f t="shared" si="683"/>
        <v>490.42771749999974</v>
      </c>
      <c r="AT176" s="140">
        <f t="shared" si="683"/>
        <v>490.37971750000008</v>
      </c>
      <c r="AV176" s="140">
        <f t="shared" ref="AV176:AX176" si="684">+SUM(AV169:AV175)</f>
        <v>447.42051833225008</v>
      </c>
      <c r="AW176" s="140">
        <f t="shared" si="684"/>
        <v>402.79402812500007</v>
      </c>
      <c r="AX176" s="140">
        <f t="shared" si="684"/>
        <v>402.79402812500007</v>
      </c>
      <c r="AZ176" s="140">
        <f t="shared" ref="AZ176:BB176" si="685">+SUM(AZ169:AZ175)</f>
        <v>367.08850550818755</v>
      </c>
      <c r="BA176" s="140">
        <f t="shared" si="685"/>
        <v>330.01348319575004</v>
      </c>
      <c r="BB176" s="140">
        <f t="shared" si="685"/>
        <v>330.01348319575004</v>
      </c>
      <c r="BD176" s="140">
        <f t="shared" ref="BD176:BF176" si="686">+SUM(BD169:BD175)</f>
        <v>300.32752437006405</v>
      </c>
      <c r="BE176" s="140">
        <f t="shared" si="686"/>
        <v>269.51951970151254</v>
      </c>
      <c r="BF176" s="140">
        <f t="shared" si="686"/>
        <v>269.51951970151254</v>
      </c>
      <c r="BH176" s="140">
        <f t="shared" ref="BH176:BJ176" si="687">+SUM(BH169:BH175)</f>
        <v>244.82879132138694</v>
      </c>
      <c r="BI176" s="140">
        <f t="shared" si="687"/>
        <v>219.22169657427622</v>
      </c>
      <c r="BJ176" s="140">
        <f t="shared" si="687"/>
        <v>219.22169657427622</v>
      </c>
      <c r="BL176" s="140">
        <f t="shared" ref="BL176:BN176" si="688">+SUM(BL169:BL175)</f>
        <v>198.67598181286962</v>
      </c>
      <c r="BM176" s="140">
        <f t="shared" si="688"/>
        <v>177.38491328311048</v>
      </c>
      <c r="BN176" s="140">
        <f t="shared" si="688"/>
        <v>177.38491328311048</v>
      </c>
      <c r="BP176" s="140">
        <f t="shared" ref="BP176:BR176" si="689">+SUM(BP169:BP175)</f>
        <v>160.27851162112262</v>
      </c>
      <c r="BQ176" s="140">
        <f t="shared" si="689"/>
        <v>142.56900125397217</v>
      </c>
      <c r="BR176" s="140">
        <f t="shared" si="689"/>
        <v>142.56900125397212</v>
      </c>
      <c r="BT176" s="140">
        <f t="shared" ref="BT176:BV176" si="690">+SUM(BT169:BT175)</f>
        <v>128.31616029630135</v>
      </c>
      <c r="BU176" s="140">
        <f t="shared" si="690"/>
        <v>113.57858473436708</v>
      </c>
      <c r="BV176" s="140">
        <f t="shared" si="690"/>
        <v>113.5785847343671</v>
      </c>
      <c r="BX176" s="140">
        <f t="shared" ref="BX176:BZ176" si="691">+SUM(BX169:BX175)</f>
        <v>101.69310860971514</v>
      </c>
      <c r="BY176" s="140">
        <f t="shared" si="691"/>
        <v>89.421465296966332</v>
      </c>
      <c r="BZ176" s="140">
        <f t="shared" si="691"/>
        <v>89.421465296966346</v>
      </c>
    </row>
    <row r="177" spans="1:78" s="140" customFormat="1">
      <c r="A177" s="149"/>
      <c r="B177" s="244" t="s">
        <v>302</v>
      </c>
      <c r="D177" s="138"/>
      <c r="E177" s="143"/>
      <c r="F177" s="138"/>
      <c r="H177" s="138"/>
      <c r="I177" s="143"/>
      <c r="J177" s="138"/>
      <c r="L177" s="138"/>
      <c r="M177" s="143"/>
      <c r="N177" s="138"/>
      <c r="P177" s="138"/>
      <c r="Q177" s="143"/>
      <c r="R177" s="341">
        <f>+R176-R168</f>
        <v>0</v>
      </c>
      <c r="T177" s="138"/>
      <c r="U177" s="143"/>
      <c r="V177" s="341">
        <f>+V176-V168</f>
        <v>2.1000000000000014</v>
      </c>
      <c r="W177" s="138"/>
      <c r="X177" s="138"/>
      <c r="Y177" s="181"/>
      <c r="Z177" s="341">
        <f>+Z176-Z168</f>
        <v>-5.6843418860808015E-14</v>
      </c>
      <c r="AB177" s="161"/>
      <c r="AC177" s="161"/>
      <c r="AD177" s="341">
        <f>+AD176-AD168</f>
        <v>0</v>
      </c>
      <c r="AF177" s="341">
        <f>+AF176-AF168</f>
        <v>0</v>
      </c>
      <c r="AG177" s="341">
        <f>+AG176-AG168</f>
        <v>0</v>
      </c>
      <c r="AH177" s="341">
        <f>+AH176-AH168</f>
        <v>4.3999999999869033E-2</v>
      </c>
      <c r="AJ177" s="341">
        <f>+AJ176-AJ168</f>
        <v>0</v>
      </c>
      <c r="AK177" s="341">
        <f>+AK176-AK168</f>
        <v>0</v>
      </c>
      <c r="AL177" s="341">
        <f>+AL176-AL168</f>
        <v>-2.9999999998153726E-3</v>
      </c>
      <c r="AN177" s="341">
        <f>+AN176-AN168</f>
        <v>0</v>
      </c>
      <c r="AO177" s="341">
        <f>+AO176-AO168</f>
        <v>0</v>
      </c>
      <c r="AP177" s="341">
        <f>+AP176-AP168</f>
        <v>4.7999999999660758E-2</v>
      </c>
      <c r="AR177" s="341">
        <f t="shared" ref="AR177:AT177" si="692">+AR176-AR168</f>
        <v>0</v>
      </c>
      <c r="AS177" s="341">
        <f t="shared" si="692"/>
        <v>0</v>
      </c>
      <c r="AT177" s="341">
        <f t="shared" si="692"/>
        <v>0</v>
      </c>
      <c r="AV177" s="341">
        <f t="shared" ref="AV177:AX177" si="693">+AV176-AV168</f>
        <v>0</v>
      </c>
      <c r="AW177" s="341">
        <f t="shared" si="693"/>
        <v>0</v>
      </c>
      <c r="AX177" s="341">
        <f t="shared" si="693"/>
        <v>0</v>
      </c>
      <c r="AZ177" s="341">
        <f t="shared" ref="AZ177:BB177" si="694">+AZ176-AZ168</f>
        <v>0</v>
      </c>
      <c r="BA177" s="341">
        <f t="shared" si="694"/>
        <v>0</v>
      </c>
      <c r="BB177" s="341">
        <f t="shared" si="694"/>
        <v>0</v>
      </c>
      <c r="BD177" s="341">
        <f t="shared" ref="BD177:BF177" si="695">+BD176-BD168</f>
        <v>0</v>
      </c>
      <c r="BE177" s="341">
        <f t="shared" si="695"/>
        <v>0</v>
      </c>
      <c r="BF177" s="341">
        <f t="shared" si="695"/>
        <v>0</v>
      </c>
      <c r="BH177" s="341">
        <f t="shared" ref="BH177:BJ177" si="696">+BH176-BH168</f>
        <v>0</v>
      </c>
      <c r="BI177" s="341">
        <f t="shared" si="696"/>
        <v>0</v>
      </c>
      <c r="BJ177" s="341">
        <f t="shared" si="696"/>
        <v>0</v>
      </c>
      <c r="BL177" s="341">
        <f t="shared" ref="BL177:BN177" si="697">+BL176-BL168</f>
        <v>0</v>
      </c>
      <c r="BM177" s="341">
        <f t="shared" si="697"/>
        <v>0</v>
      </c>
      <c r="BN177" s="341">
        <f t="shared" si="697"/>
        <v>0</v>
      </c>
      <c r="BP177" s="341">
        <f t="shared" ref="BP177:BR177" si="698">+BP176-BP168</f>
        <v>0</v>
      </c>
      <c r="BQ177" s="341">
        <f t="shared" si="698"/>
        <v>0</v>
      </c>
      <c r="BR177" s="341">
        <f t="shared" si="698"/>
        <v>0</v>
      </c>
      <c r="BT177" s="341">
        <f t="shared" ref="BT177:BV177" si="699">+BT176-BT168</f>
        <v>0</v>
      </c>
      <c r="BU177" s="341">
        <f t="shared" si="699"/>
        <v>0</v>
      </c>
      <c r="BV177" s="341">
        <f t="shared" si="699"/>
        <v>0</v>
      </c>
      <c r="BX177" s="341">
        <f t="shared" ref="BX177:BZ177" si="700">+BX176-BX168</f>
        <v>0</v>
      </c>
      <c r="BY177" s="341">
        <f t="shared" si="700"/>
        <v>0</v>
      </c>
      <c r="BZ177" s="341">
        <f t="shared" si="700"/>
        <v>0</v>
      </c>
    </row>
    <row r="178" spans="1:78" s="140" customFormat="1">
      <c r="A178" s="149"/>
      <c r="B178" s="482" t="s">
        <v>471</v>
      </c>
      <c r="C178" s="164" t="s">
        <v>39</v>
      </c>
      <c r="D178" s="220"/>
      <c r="E178" s="153"/>
      <c r="F178" s="220"/>
      <c r="H178" s="220"/>
      <c r="I178" s="153"/>
      <c r="J178" s="220"/>
      <c r="L178" s="220"/>
      <c r="M178" s="153"/>
      <c r="N178" s="220"/>
      <c r="P178" s="220"/>
      <c r="Q178" s="153"/>
      <c r="R178" s="220">
        <f>-R172/R7/R169</f>
        <v>0.32026994064558112</v>
      </c>
      <c r="T178" s="220"/>
      <c r="U178" s="153"/>
      <c r="V178" s="220">
        <f>-V172/V7/V169</f>
        <v>0.1249418952121655</v>
      </c>
      <c r="W178" s="220"/>
      <c r="X178" s="220"/>
      <c r="Y178" s="175"/>
      <c r="Z178" s="220">
        <f>-Z172/Z7/Z169</f>
        <v>0.18312645823611762</v>
      </c>
      <c r="AD178" s="220">
        <f>-AD172/AD7/AD169</f>
        <v>0.18743917957930969</v>
      </c>
      <c r="AH178" s="153">
        <v>0.17</v>
      </c>
      <c r="AL178" s="839">
        <v>0.17</v>
      </c>
      <c r="AP178" s="153">
        <v>0.17</v>
      </c>
      <c r="AR178" s="153"/>
      <c r="AT178" s="153">
        <v>0.17</v>
      </c>
      <c r="AV178" s="153"/>
      <c r="AX178" s="153">
        <v>0.17</v>
      </c>
      <c r="AZ178" s="153"/>
      <c r="BB178" s="153">
        <v>0.17</v>
      </c>
      <c r="BD178" s="153"/>
      <c r="BF178" s="153">
        <v>0.17</v>
      </c>
      <c r="BH178" s="153"/>
      <c r="BJ178" s="153">
        <v>0.17</v>
      </c>
      <c r="BL178" s="153"/>
      <c r="BN178" s="153">
        <v>0.17</v>
      </c>
      <c r="BP178" s="153"/>
      <c r="BR178" s="153">
        <v>0.17</v>
      </c>
      <c r="BT178" s="153"/>
      <c r="BV178" s="153">
        <v>0.17</v>
      </c>
      <c r="BX178" s="153"/>
      <c r="BZ178" s="153">
        <v>0.17</v>
      </c>
    </row>
    <row r="179" spans="1:78" s="140" customFormat="1">
      <c r="A179" s="149"/>
      <c r="B179" s="481"/>
      <c r="D179" s="138"/>
      <c r="E179" s="143"/>
      <c r="F179" s="138"/>
      <c r="H179" s="138"/>
      <c r="I179" s="143"/>
      <c r="J179" s="138"/>
      <c r="L179" s="138"/>
      <c r="M179" s="143"/>
      <c r="N179" s="138"/>
      <c r="P179" s="138"/>
      <c r="Q179" s="143"/>
      <c r="R179" s="138"/>
      <c r="T179" s="138"/>
      <c r="U179" s="143"/>
      <c r="V179" s="143"/>
      <c r="W179" s="138"/>
      <c r="X179" s="138"/>
      <c r="Y179" s="181"/>
      <c r="Z179" s="161"/>
      <c r="AB179" s="161"/>
      <c r="AC179" s="161"/>
      <c r="AD179" s="161"/>
      <c r="AF179" s="478" t="s">
        <v>468</v>
      </c>
      <c r="AG179" s="161"/>
      <c r="AH179" s="161"/>
      <c r="AJ179" s="478" t="s">
        <v>468</v>
      </c>
      <c r="AK179" s="161"/>
      <c r="AL179" s="161"/>
      <c r="AN179" s="478" t="s">
        <v>468</v>
      </c>
      <c r="AO179" s="161"/>
      <c r="AP179" s="161"/>
      <c r="AR179" s="143"/>
      <c r="AS179" s="161"/>
      <c r="AT179" s="161"/>
      <c r="AV179" s="143"/>
      <c r="AW179" s="161"/>
      <c r="AX179" s="161"/>
      <c r="AZ179" s="143"/>
      <c r="BA179" s="161"/>
      <c r="BB179" s="161"/>
      <c r="BD179" s="143"/>
      <c r="BE179" s="161"/>
      <c r="BF179" s="161"/>
      <c r="BH179" s="143"/>
      <c r="BI179" s="161"/>
      <c r="BJ179" s="161"/>
      <c r="BL179" s="143"/>
      <c r="BM179" s="161"/>
      <c r="BN179" s="161"/>
      <c r="BP179" s="143"/>
      <c r="BQ179" s="161"/>
      <c r="BR179" s="161"/>
      <c r="BT179" s="143"/>
      <c r="BU179" s="161"/>
      <c r="BV179" s="161"/>
      <c r="BX179" s="143"/>
      <c r="BY179" s="161"/>
      <c r="BZ179" s="161"/>
    </row>
    <row r="180" spans="1:78" s="166" customFormat="1">
      <c r="A180" s="502"/>
      <c r="B180" s="504" t="s">
        <v>467</v>
      </c>
      <c r="C180" s="157" t="s">
        <v>406</v>
      </c>
      <c r="D180" s="165"/>
      <c r="E180" s="505"/>
      <c r="F180" s="165"/>
      <c r="H180" s="165"/>
      <c r="I180" s="505"/>
      <c r="J180" s="165"/>
      <c r="L180" s="165"/>
      <c r="M180" s="505"/>
      <c r="N180" s="470">
        <v>242.499</v>
      </c>
      <c r="P180" s="470"/>
      <c r="Q180" s="505"/>
      <c r="R180" s="470">
        <v>340.91</v>
      </c>
      <c r="T180" s="470">
        <v>338.101</v>
      </c>
      <c r="U180" s="165">
        <f>V180</f>
        <v>329.42099999999999</v>
      </c>
      <c r="V180" s="470">
        <v>329.42099999999999</v>
      </c>
      <c r="W180" s="165"/>
      <c r="X180" s="206" t="s">
        <v>468</v>
      </c>
      <c r="Y180" s="165"/>
      <c r="Z180" s="470">
        <v>416.24099999999999</v>
      </c>
      <c r="AB180" s="206" t="s">
        <v>468</v>
      </c>
      <c r="AC180" s="165"/>
      <c r="AD180" s="470">
        <v>559.84699999999998</v>
      </c>
      <c r="AF180" s="166">
        <f>+AF188</f>
        <v>1637.9581999999998</v>
      </c>
      <c r="AH180" s="470">
        <v>1443.434</v>
      </c>
      <c r="AJ180" s="166">
        <f>+AJ188</f>
        <v>2496.1445800000001</v>
      </c>
      <c r="AL180" s="470">
        <v>1541.7660000000001</v>
      </c>
      <c r="AM180" s="494"/>
      <c r="AN180" s="166">
        <f>+AN188</f>
        <v>2642.5387199999996</v>
      </c>
      <c r="AP180" s="926">
        <v>2005.828</v>
      </c>
      <c r="AR180" s="166">
        <f t="shared" ref="AR180:AT180" si="701">+AR188</f>
        <v>1995.6579274999999</v>
      </c>
      <c r="AS180" s="166">
        <f t="shared" si="701"/>
        <v>1985.3703725</v>
      </c>
      <c r="AT180" s="166">
        <f t="shared" si="701"/>
        <v>1985.3703725</v>
      </c>
      <c r="AV180" s="166">
        <f t="shared" ref="AV180:AX180" si="702">+AV188</f>
        <v>1974.06338205</v>
      </c>
      <c r="AW180" s="166">
        <f t="shared" si="702"/>
        <v>1962.5963916000001</v>
      </c>
      <c r="AX180" s="166">
        <f t="shared" si="702"/>
        <v>1962.5963916000001</v>
      </c>
      <c r="AZ180" s="166">
        <f t="shared" ref="AZ180:BB180" si="703">+AZ188</f>
        <v>1951.1416613409999</v>
      </c>
      <c r="BA180" s="166">
        <f t="shared" si="703"/>
        <v>1939.5269310819999</v>
      </c>
      <c r="BB180" s="166">
        <f t="shared" si="703"/>
        <v>1939.5269310820001</v>
      </c>
      <c r="BD180" s="166">
        <f t="shared" ref="BD180:BF180" si="704">+BD188</f>
        <v>1927.92150621782</v>
      </c>
      <c r="BE180" s="166">
        <f t="shared" si="704"/>
        <v>1916.15608135364</v>
      </c>
      <c r="BF180" s="166">
        <f t="shared" si="704"/>
        <v>1916.15608135364</v>
      </c>
      <c r="BH180" s="166">
        <f t="shared" ref="BH180:BJ180" si="705">+BH188</f>
        <v>1904.3969479921764</v>
      </c>
      <c r="BI180" s="166">
        <f t="shared" si="705"/>
        <v>1892.4778146307128</v>
      </c>
      <c r="BJ180" s="166">
        <f t="shared" si="705"/>
        <v>1892.4778146307128</v>
      </c>
      <c r="BL180" s="166">
        <f t="shared" ref="BL180:BN180" si="706">+BL188</f>
        <v>1880.5618986020199</v>
      </c>
      <c r="BM180" s="166">
        <f t="shared" si="706"/>
        <v>1868.4859825733272</v>
      </c>
      <c r="BN180" s="166">
        <f t="shared" si="706"/>
        <v>1868.4859825733272</v>
      </c>
      <c r="BP180" s="166">
        <f t="shared" ref="BP180:BR180" si="707">+BP188</f>
        <v>1856.4101482240603</v>
      </c>
      <c r="BQ180" s="166">
        <f t="shared" si="707"/>
        <v>1844.1743138747936</v>
      </c>
      <c r="BR180" s="166">
        <f t="shared" si="707"/>
        <v>1844.1743138747938</v>
      </c>
      <c r="BT180" s="166">
        <f t="shared" ref="BT180:BV180" si="708">+BT188</f>
        <v>1831.9353628385418</v>
      </c>
      <c r="BU180" s="166">
        <f t="shared" si="708"/>
        <v>1819.5364118022899</v>
      </c>
      <c r="BV180" s="166">
        <f t="shared" si="708"/>
        <v>1819.5364118022896</v>
      </c>
      <c r="BX180" s="166">
        <f t="shared" ref="BX180:BZ180" si="709">+BX188</f>
        <v>1807.1310817453125</v>
      </c>
      <c r="BY180" s="166">
        <f t="shared" si="709"/>
        <v>1794.5657516883355</v>
      </c>
      <c r="BZ180" s="166">
        <f t="shared" si="709"/>
        <v>1794.5657516883355</v>
      </c>
    </row>
    <row r="181" spans="1:78" s="140" customFormat="1">
      <c r="A181" s="149"/>
      <c r="B181" s="336" t="s">
        <v>268</v>
      </c>
      <c r="C181" s="155" t="s">
        <v>406</v>
      </c>
      <c r="D181" s="138"/>
      <c r="E181" s="143"/>
      <c r="F181" s="138"/>
      <c r="H181" s="138"/>
      <c r="I181" s="143"/>
      <c r="J181" s="138"/>
      <c r="L181" s="138"/>
      <c r="M181" s="143"/>
      <c r="N181" s="138"/>
      <c r="P181" s="231"/>
      <c r="Q181" s="143"/>
      <c r="R181" s="161">
        <f>N180</f>
        <v>242.499</v>
      </c>
      <c r="T181" s="231"/>
      <c r="U181" s="161"/>
      <c r="V181" s="161">
        <f>R180</f>
        <v>340.91</v>
      </c>
      <c r="W181" s="138"/>
      <c r="X181" s="138"/>
      <c r="Y181" s="161"/>
      <c r="Z181" s="161">
        <f>V180</f>
        <v>329.42099999999999</v>
      </c>
      <c r="AB181" s="161"/>
      <c r="AC181" s="161"/>
      <c r="AD181" s="161">
        <f>Z180</f>
        <v>416.24099999999999</v>
      </c>
      <c r="AF181" s="165">
        <f>AD188</f>
        <v>559.84699999999998</v>
      </c>
      <c r="AG181" s="165"/>
      <c r="AH181" s="161">
        <f>AD180</f>
        <v>559.84699999999998</v>
      </c>
      <c r="AJ181" s="165">
        <f>AH188</f>
        <v>1443.4340000000002</v>
      </c>
      <c r="AK181" s="165"/>
      <c r="AL181" s="218">
        <f>AH180</f>
        <v>1443.434</v>
      </c>
      <c r="AM181" s="219"/>
      <c r="AN181" s="165">
        <f>AL188</f>
        <v>1541.7659999999998</v>
      </c>
      <c r="AO181" s="165"/>
      <c r="AP181" s="927">
        <v>1561.453</v>
      </c>
      <c r="AR181" s="165">
        <f t="shared" ref="AR181" si="710">AP188</f>
        <v>2005.828</v>
      </c>
      <c r="AS181" s="165">
        <f t="shared" ref="AS181" si="711">+AR188</f>
        <v>1995.6579274999999</v>
      </c>
      <c r="AT181" s="161">
        <f t="shared" ref="AT181" si="712">AP180</f>
        <v>2005.828</v>
      </c>
      <c r="AV181" s="165">
        <f t="shared" ref="AV181" si="713">AT188</f>
        <v>1985.3703725</v>
      </c>
      <c r="AW181" s="165">
        <f t="shared" ref="AW181" si="714">+AV188</f>
        <v>1974.06338205</v>
      </c>
      <c r="AX181" s="161">
        <f t="shared" ref="AX181" si="715">AT180</f>
        <v>1985.3703725</v>
      </c>
      <c r="AZ181" s="165">
        <f t="shared" ref="AZ181" si="716">AX188</f>
        <v>1962.5963916000001</v>
      </c>
      <c r="BA181" s="165">
        <f t="shared" ref="BA181" si="717">+AZ188</f>
        <v>1951.1416613409999</v>
      </c>
      <c r="BB181" s="161">
        <f t="shared" ref="BB181" si="718">AX180</f>
        <v>1962.5963916000001</v>
      </c>
      <c r="BD181" s="165">
        <f t="shared" ref="BD181" si="719">BB188</f>
        <v>1939.5269310820001</v>
      </c>
      <c r="BE181" s="165">
        <f t="shared" ref="BE181" si="720">+BD188</f>
        <v>1927.92150621782</v>
      </c>
      <c r="BF181" s="161">
        <f t="shared" ref="BF181" si="721">BB180</f>
        <v>1939.5269310820001</v>
      </c>
      <c r="BH181" s="165">
        <f t="shared" ref="BH181" si="722">BF188</f>
        <v>1916.15608135364</v>
      </c>
      <c r="BI181" s="165">
        <f t="shared" ref="BI181" si="723">+BH188</f>
        <v>1904.3969479921764</v>
      </c>
      <c r="BJ181" s="161">
        <f t="shared" ref="BJ181" si="724">BF180</f>
        <v>1916.15608135364</v>
      </c>
      <c r="BL181" s="165">
        <f t="shared" ref="BL181" si="725">BJ188</f>
        <v>1892.4778146307128</v>
      </c>
      <c r="BM181" s="165">
        <f t="shared" ref="BM181" si="726">+BL188</f>
        <v>1880.5618986020199</v>
      </c>
      <c r="BN181" s="161">
        <f t="shared" ref="BN181" si="727">BJ180</f>
        <v>1892.4778146307128</v>
      </c>
      <c r="BP181" s="165">
        <f t="shared" ref="BP181" si="728">BN188</f>
        <v>1868.4859825733272</v>
      </c>
      <c r="BQ181" s="165">
        <f t="shared" ref="BQ181" si="729">+BP188</f>
        <v>1856.4101482240603</v>
      </c>
      <c r="BR181" s="161">
        <f t="shared" ref="BR181" si="730">BN180</f>
        <v>1868.4859825733272</v>
      </c>
      <c r="BT181" s="165">
        <f t="shared" ref="BT181" si="731">BR188</f>
        <v>1844.1743138747938</v>
      </c>
      <c r="BU181" s="165">
        <f t="shared" ref="BU181" si="732">+BT188</f>
        <v>1831.9353628385418</v>
      </c>
      <c r="BV181" s="161">
        <f t="shared" ref="BV181" si="733">BR180</f>
        <v>1844.1743138747938</v>
      </c>
      <c r="BX181" s="165">
        <f t="shared" ref="BX181" si="734">BV188</f>
        <v>1819.5364118022896</v>
      </c>
      <c r="BY181" s="165">
        <f t="shared" ref="BY181" si="735">+BX188</f>
        <v>1807.1310817453125</v>
      </c>
      <c r="BZ181" s="161">
        <f t="shared" ref="BZ181" si="736">BV180</f>
        <v>1819.5364118022896</v>
      </c>
    </row>
    <row r="182" spans="1:78" s="140" customFormat="1">
      <c r="A182" s="149"/>
      <c r="B182" s="337" t="s">
        <v>274</v>
      </c>
      <c r="C182" s="155" t="s">
        <v>406</v>
      </c>
      <c r="D182" s="138"/>
      <c r="E182" s="143"/>
      <c r="F182" s="138"/>
      <c r="H182" s="138"/>
      <c r="I182" s="143"/>
      <c r="J182" s="138"/>
      <c r="L182" s="138"/>
      <c r="M182" s="143"/>
      <c r="N182" s="138"/>
      <c r="P182" s="231"/>
      <c r="Q182" s="143"/>
      <c r="R182" s="181">
        <f>4.651+109.703</f>
        <v>114.354</v>
      </c>
      <c r="T182" s="231"/>
      <c r="U182" s="161"/>
      <c r="V182" s="181">
        <f>2.966+6.218</f>
        <v>9.1840000000000011</v>
      </c>
      <c r="W182" s="138"/>
      <c r="X182" s="138"/>
      <c r="Y182" s="161"/>
      <c r="Z182" s="181">
        <v>129.786</v>
      </c>
      <c r="AB182" s="161"/>
      <c r="AC182" s="161"/>
      <c r="AD182" s="181">
        <f>161.627-1.723</f>
        <v>159.904</v>
      </c>
      <c r="AF182" s="186">
        <f>+$AF$158*90%</f>
        <v>1062</v>
      </c>
      <c r="AG182" s="186"/>
      <c r="AH182" s="230">
        <v>850.70699999999999</v>
      </c>
      <c r="AJ182" s="186">
        <f>+$AF$158*90%</f>
        <v>1062</v>
      </c>
      <c r="AK182" s="186"/>
      <c r="AL182" s="230">
        <v>117.29</v>
      </c>
      <c r="AM182" s="219"/>
      <c r="AN182" s="186">
        <f>+$AF$158*90%</f>
        <v>1062</v>
      </c>
      <c r="AO182" s="186"/>
      <c r="AP182" s="916">
        <v>365.24700000000001</v>
      </c>
      <c r="AR182" s="480">
        <f>CF!AR171</f>
        <v>-6.2500725000000008</v>
      </c>
      <c r="AS182" s="480">
        <f>CF!AS171</f>
        <v>-6.2075550000000002</v>
      </c>
      <c r="AT182" s="161">
        <f t="shared" ref="AT182" si="737">+AS182+AR182</f>
        <v>-12.457627500000001</v>
      </c>
      <c r="AV182" s="480">
        <f>CF!AV171</f>
        <v>-7.386990449999999</v>
      </c>
      <c r="AW182" s="480">
        <f>CF!AW171</f>
        <v>-7.386990449999999</v>
      </c>
      <c r="AX182" s="161">
        <f t="shared" ref="AX182" si="738">+AW182+AV182</f>
        <v>-14.773980899999998</v>
      </c>
      <c r="AZ182" s="480">
        <f>CF!AZ171</f>
        <v>-7.5347302589999998</v>
      </c>
      <c r="BA182" s="480">
        <f>CF!BA171</f>
        <v>-7.5347302589999998</v>
      </c>
      <c r="BB182" s="161">
        <f t="shared" ref="BB182" si="739">+BA182+AZ182</f>
        <v>-15.069460518</v>
      </c>
      <c r="BD182" s="480">
        <f>CF!BD171</f>
        <v>-7.6854248641799998</v>
      </c>
      <c r="BE182" s="480">
        <f>CF!BE171</f>
        <v>-7.6854248641799998</v>
      </c>
      <c r="BF182" s="161">
        <f t="shared" ref="BF182" si="740">+BE182+BD182</f>
        <v>-15.37084972836</v>
      </c>
      <c r="BH182" s="480">
        <f>CF!BH171</f>
        <v>-7.8391333614635998</v>
      </c>
      <c r="BI182" s="480">
        <f>CF!BI171</f>
        <v>-7.8391333614635998</v>
      </c>
      <c r="BJ182" s="161">
        <f t="shared" ref="BJ182" si="741">+BI182+BH182</f>
        <v>-15.6782667229272</v>
      </c>
      <c r="BL182" s="480">
        <f>CF!BL171</f>
        <v>-7.9959160286928714</v>
      </c>
      <c r="BM182" s="480">
        <f>CF!BM171</f>
        <v>-7.9959160286928714</v>
      </c>
      <c r="BN182" s="161">
        <f t="shared" ref="BN182" si="742">+BM182+BL182</f>
        <v>-15.991832057385743</v>
      </c>
      <c r="BP182" s="480">
        <f>CF!BP171</f>
        <v>-8.1558343492667298</v>
      </c>
      <c r="BQ182" s="480">
        <f>CF!BQ171</f>
        <v>-8.1558343492667298</v>
      </c>
      <c r="BR182" s="161">
        <f t="shared" ref="BR182" si="743">+BQ182+BP182</f>
        <v>-16.31166869853346</v>
      </c>
      <c r="BT182" s="480">
        <f>CF!BT171</f>
        <v>-8.3189510362520647</v>
      </c>
      <c r="BU182" s="480">
        <f>CF!BU171</f>
        <v>-8.3189510362520647</v>
      </c>
      <c r="BV182" s="161">
        <f t="shared" ref="BV182" si="744">+BU182+BT182</f>
        <v>-16.637902072504129</v>
      </c>
      <c r="BX182" s="480">
        <f>CF!BX171</f>
        <v>-8.4853300569771051</v>
      </c>
      <c r="BY182" s="480">
        <f>CF!BY171</f>
        <v>-8.4853300569771051</v>
      </c>
      <c r="BZ182" s="161">
        <f t="shared" ref="BZ182" si="745">+BY182+BX182</f>
        <v>-16.97066011395421</v>
      </c>
    </row>
    <row r="183" spans="1:78" s="140" customFormat="1">
      <c r="A183" s="149"/>
      <c r="B183" s="337" t="s">
        <v>273</v>
      </c>
      <c r="C183" s="155" t="s">
        <v>406</v>
      </c>
      <c r="D183" s="138"/>
      <c r="E183" s="143"/>
      <c r="F183" s="138"/>
      <c r="H183" s="138"/>
      <c r="I183" s="143"/>
      <c r="J183" s="138"/>
      <c r="L183" s="138"/>
      <c r="M183" s="143"/>
      <c r="N183" s="138"/>
      <c r="P183" s="231"/>
      <c r="Q183" s="143"/>
      <c r="R183" s="181">
        <f>-1.403-0.631</f>
        <v>-2.0339999999999998</v>
      </c>
      <c r="T183" s="231"/>
      <c r="U183" s="161"/>
      <c r="V183" s="181">
        <f>-11.496-1.643</f>
        <v>-13.139000000000001</v>
      </c>
      <c r="W183" s="138"/>
      <c r="X183" s="138"/>
      <c r="Y183" s="161"/>
      <c r="Z183" s="181">
        <v>-39.573</v>
      </c>
      <c r="AB183" s="161"/>
      <c r="AC183" s="161"/>
      <c r="AD183" s="181">
        <v>-5.32</v>
      </c>
      <c r="AF183" s="161">
        <f>+AH183*49%</f>
        <v>-4.4168599999999998</v>
      </c>
      <c r="AG183" s="185"/>
      <c r="AH183" s="230">
        <v>-9.0139999999999993</v>
      </c>
      <c r="AJ183" s="161">
        <f>+AL183*49%</f>
        <v>-8.1981900000000003</v>
      </c>
      <c r="AK183" s="185"/>
      <c r="AL183" s="230">
        <v>-16.731000000000002</v>
      </c>
      <c r="AM183" s="219"/>
      <c r="AN183" s="161">
        <f>+AP183*49%</f>
        <v>0</v>
      </c>
      <c r="AO183" s="185"/>
      <c r="AP183" s="916">
        <v>0</v>
      </c>
      <c r="AR183" s="161">
        <f t="shared" ref="AR183:AR187" si="746">+AT183*49%</f>
        <v>-2.4500000000000002</v>
      </c>
      <c r="AS183" s="185">
        <f t="shared" ref="AS183" si="747">+AT183*51%</f>
        <v>-2.5499999999999998</v>
      </c>
      <c r="AT183" s="186">
        <v>-5</v>
      </c>
      <c r="AV183" s="161">
        <f t="shared" ref="AV183:AV187" si="748">+AX183*49%</f>
        <v>-2.4500000000000002</v>
      </c>
      <c r="AW183" s="185">
        <f t="shared" ref="AW183" si="749">+AX183*51%</f>
        <v>-2.5499999999999998</v>
      </c>
      <c r="AX183" s="186">
        <v>-5</v>
      </c>
      <c r="AZ183" s="161">
        <f t="shared" ref="AZ183:AZ187" si="750">+BB183*49%</f>
        <v>-2.4500000000000002</v>
      </c>
      <c r="BA183" s="185">
        <f t="shared" ref="BA183" si="751">+BB183*51%</f>
        <v>-2.5499999999999998</v>
      </c>
      <c r="BB183" s="186">
        <v>-5</v>
      </c>
      <c r="BD183" s="161">
        <f t="shared" ref="BD183:BD187" si="752">+BF183*49%</f>
        <v>-2.4500000000000002</v>
      </c>
      <c r="BE183" s="185">
        <f t="shared" ref="BE183" si="753">+BF183*51%</f>
        <v>-2.5499999999999998</v>
      </c>
      <c r="BF183" s="186">
        <v>-5</v>
      </c>
      <c r="BH183" s="161">
        <f t="shared" ref="BH183:BH187" si="754">+BJ183*49%</f>
        <v>-2.4500000000000002</v>
      </c>
      <c r="BI183" s="185">
        <f t="shared" ref="BI183" si="755">+BJ183*51%</f>
        <v>-2.5499999999999998</v>
      </c>
      <c r="BJ183" s="186">
        <v>-5</v>
      </c>
      <c r="BL183" s="161">
        <f t="shared" ref="BL183:BL187" si="756">+BN183*49%</f>
        <v>-2.4500000000000002</v>
      </c>
      <c r="BM183" s="185">
        <f t="shared" ref="BM183" si="757">+BN183*51%</f>
        <v>-2.5499999999999998</v>
      </c>
      <c r="BN183" s="186">
        <v>-5</v>
      </c>
      <c r="BP183" s="161">
        <f t="shared" ref="BP183:BP187" si="758">+BR183*49%</f>
        <v>-2.4500000000000002</v>
      </c>
      <c r="BQ183" s="185">
        <f t="shared" ref="BQ183" si="759">+BR183*51%</f>
        <v>-2.5499999999999998</v>
      </c>
      <c r="BR183" s="186">
        <v>-5</v>
      </c>
      <c r="BT183" s="161">
        <f t="shared" ref="BT183:BT187" si="760">+BV183*49%</f>
        <v>-2.4500000000000002</v>
      </c>
      <c r="BU183" s="185">
        <f t="shared" ref="BU183:BU187" si="761">+BV183*51%</f>
        <v>-2.5499999999999998</v>
      </c>
      <c r="BV183" s="186">
        <v>-5</v>
      </c>
      <c r="BX183" s="161">
        <f t="shared" ref="BX183:BX187" si="762">+BZ183*49%</f>
        <v>-2.4500000000000002</v>
      </c>
      <c r="BY183" s="185">
        <f t="shared" ref="BY183:BY187" si="763">+BZ183*51%</f>
        <v>-2.5499999999999998</v>
      </c>
      <c r="BZ183" s="186">
        <v>-5</v>
      </c>
    </row>
    <row r="184" spans="1:78" s="140" customFormat="1">
      <c r="A184" s="149"/>
      <c r="B184" s="337" t="s">
        <v>438</v>
      </c>
      <c r="C184" s="155" t="s">
        <v>406</v>
      </c>
      <c r="D184" s="138"/>
      <c r="E184" s="143"/>
      <c r="F184" s="138"/>
      <c r="H184" s="138"/>
      <c r="I184" s="143"/>
      <c r="J184" s="138"/>
      <c r="L184" s="138"/>
      <c r="M184" s="143"/>
      <c r="N184" s="138"/>
      <c r="P184" s="231"/>
      <c r="Q184" s="143"/>
      <c r="R184" s="181">
        <v>0</v>
      </c>
      <c r="T184" s="231"/>
      <c r="U184" s="161"/>
      <c r="V184" s="181">
        <v>0</v>
      </c>
      <c r="W184" s="138"/>
      <c r="X184" s="138"/>
      <c r="Y184" s="161"/>
      <c r="Z184" s="181">
        <v>0</v>
      </c>
      <c r="AB184" s="161"/>
      <c r="AC184" s="161"/>
      <c r="AD184" s="181">
        <v>0</v>
      </c>
      <c r="AF184" s="161">
        <f>+AH184*49%</f>
        <v>0</v>
      </c>
      <c r="AG184" s="185"/>
      <c r="AH184" s="230">
        <v>0</v>
      </c>
      <c r="AJ184" s="161">
        <f>+AL184*49%</f>
        <v>0</v>
      </c>
      <c r="AK184" s="185"/>
      <c r="AL184" s="230">
        <v>0</v>
      </c>
      <c r="AM184" s="219"/>
      <c r="AN184" s="161">
        <f>+AP184*49%</f>
        <v>0</v>
      </c>
      <c r="AO184" s="185"/>
      <c r="AP184" s="916">
        <v>0</v>
      </c>
      <c r="AR184" s="161">
        <f t="shared" si="746"/>
        <v>0</v>
      </c>
      <c r="AS184" s="185">
        <f t="shared" ref="AS184" si="764">+AT184*51%</f>
        <v>0</v>
      </c>
      <c r="AT184" s="181">
        <v>0</v>
      </c>
      <c r="AV184" s="161">
        <f t="shared" si="748"/>
        <v>0</v>
      </c>
      <c r="AW184" s="185">
        <f t="shared" ref="AW184" si="765">+AX184*51%</f>
        <v>0</v>
      </c>
      <c r="AX184" s="181">
        <v>0</v>
      </c>
      <c r="AZ184" s="161">
        <f t="shared" si="750"/>
        <v>0</v>
      </c>
      <c r="BA184" s="185">
        <f t="shared" ref="BA184" si="766">+BB184*51%</f>
        <v>0</v>
      </c>
      <c r="BB184" s="181">
        <v>0</v>
      </c>
      <c r="BD184" s="161">
        <f t="shared" si="752"/>
        <v>0</v>
      </c>
      <c r="BE184" s="185">
        <f t="shared" ref="BE184" si="767">+BF184*51%</f>
        <v>0</v>
      </c>
      <c r="BF184" s="181">
        <v>0</v>
      </c>
      <c r="BH184" s="161">
        <f t="shared" si="754"/>
        <v>0</v>
      </c>
      <c r="BI184" s="185">
        <f t="shared" ref="BI184" si="768">+BJ184*51%</f>
        <v>0</v>
      </c>
      <c r="BJ184" s="181">
        <v>0</v>
      </c>
      <c r="BL184" s="161">
        <f t="shared" si="756"/>
        <v>0</v>
      </c>
      <c r="BM184" s="185">
        <f t="shared" ref="BM184" si="769">+BN184*51%</f>
        <v>0</v>
      </c>
      <c r="BN184" s="181">
        <v>0</v>
      </c>
      <c r="BP184" s="161">
        <f t="shared" si="758"/>
        <v>0</v>
      </c>
      <c r="BQ184" s="185">
        <f t="shared" ref="BQ184" si="770">+BR184*51%</f>
        <v>0</v>
      </c>
      <c r="BR184" s="181">
        <v>0</v>
      </c>
      <c r="BT184" s="161">
        <f t="shared" si="760"/>
        <v>0</v>
      </c>
      <c r="BU184" s="185">
        <f t="shared" si="761"/>
        <v>0</v>
      </c>
      <c r="BV184" s="181">
        <v>0</v>
      </c>
      <c r="BX184" s="161">
        <f t="shared" si="762"/>
        <v>0</v>
      </c>
      <c r="BY184" s="185">
        <f t="shared" si="763"/>
        <v>0</v>
      </c>
      <c r="BZ184" s="181">
        <v>0</v>
      </c>
    </row>
    <row r="185" spans="1:78" s="140" customFormat="1">
      <c r="A185" s="149"/>
      <c r="B185" s="337" t="s">
        <v>439</v>
      </c>
      <c r="C185" s="155" t="s">
        <v>406</v>
      </c>
      <c r="D185" s="138"/>
      <c r="E185" s="143"/>
      <c r="F185" s="138"/>
      <c r="H185" s="138"/>
      <c r="I185" s="143"/>
      <c r="J185" s="138"/>
      <c r="L185" s="138"/>
      <c r="M185" s="143"/>
      <c r="N185" s="138"/>
      <c r="P185" s="231"/>
      <c r="Q185" s="143"/>
      <c r="R185" s="181">
        <v>-15.093999999999999</v>
      </c>
      <c r="T185" s="231"/>
      <c r="U185" s="161"/>
      <c r="V185" s="181">
        <v>-5.4489999999999998</v>
      </c>
      <c r="W185" s="138"/>
      <c r="X185" s="138"/>
      <c r="Y185" s="161"/>
      <c r="Z185" s="181">
        <v>-3</v>
      </c>
      <c r="AB185" s="161"/>
      <c r="AC185" s="161"/>
      <c r="AD185" s="181">
        <v>-8.4390000000000001</v>
      </c>
      <c r="AF185" s="161">
        <f>+AH185*49%</f>
        <v>-0.59731000000000001</v>
      </c>
      <c r="AG185" s="185"/>
      <c r="AH185" s="230">
        <v>-1.2190000000000001</v>
      </c>
      <c r="AJ185" s="161">
        <f>+AL185*49%</f>
        <v>0</v>
      </c>
      <c r="AK185" s="185"/>
      <c r="AL185" s="230">
        <v>0</v>
      </c>
      <c r="AM185" s="219"/>
      <c r="AN185" s="161">
        <f>+AP185*49%</f>
        <v>0</v>
      </c>
      <c r="AO185" s="185"/>
      <c r="AP185" s="916">
        <v>0</v>
      </c>
      <c r="AR185" s="161">
        <f t="shared" si="746"/>
        <v>-1.47</v>
      </c>
      <c r="AS185" s="185">
        <f t="shared" ref="AS185" si="771">+AT185*51%</f>
        <v>-1.53</v>
      </c>
      <c r="AT185" s="186">
        <v>-3</v>
      </c>
      <c r="AV185" s="161">
        <f t="shared" si="748"/>
        <v>-1.47</v>
      </c>
      <c r="AW185" s="185">
        <f t="shared" ref="AW185" si="772">+AX185*51%</f>
        <v>-1.53</v>
      </c>
      <c r="AX185" s="186">
        <v>-3</v>
      </c>
      <c r="AZ185" s="161">
        <f t="shared" si="750"/>
        <v>-1.47</v>
      </c>
      <c r="BA185" s="185">
        <f t="shared" ref="BA185" si="773">+BB185*51%</f>
        <v>-1.53</v>
      </c>
      <c r="BB185" s="186">
        <v>-3</v>
      </c>
      <c r="BD185" s="161">
        <f t="shared" si="752"/>
        <v>-1.47</v>
      </c>
      <c r="BE185" s="185">
        <f t="shared" ref="BE185" si="774">+BF185*51%</f>
        <v>-1.53</v>
      </c>
      <c r="BF185" s="186">
        <v>-3</v>
      </c>
      <c r="BH185" s="161">
        <f t="shared" si="754"/>
        <v>-1.47</v>
      </c>
      <c r="BI185" s="185">
        <f t="shared" ref="BI185" si="775">+BJ185*51%</f>
        <v>-1.53</v>
      </c>
      <c r="BJ185" s="186">
        <v>-3</v>
      </c>
      <c r="BL185" s="161">
        <f t="shared" si="756"/>
        <v>-1.47</v>
      </c>
      <c r="BM185" s="185">
        <f t="shared" ref="BM185" si="776">+BN185*51%</f>
        <v>-1.53</v>
      </c>
      <c r="BN185" s="186">
        <v>-3</v>
      </c>
      <c r="BP185" s="161">
        <f t="shared" si="758"/>
        <v>-1.47</v>
      </c>
      <c r="BQ185" s="185">
        <f t="shared" ref="BQ185" si="777">+BR185*51%</f>
        <v>-1.53</v>
      </c>
      <c r="BR185" s="186">
        <v>-3</v>
      </c>
      <c r="BT185" s="161">
        <f t="shared" si="760"/>
        <v>-1.47</v>
      </c>
      <c r="BU185" s="185">
        <f t="shared" si="761"/>
        <v>-1.53</v>
      </c>
      <c r="BV185" s="186">
        <v>-3</v>
      </c>
      <c r="BX185" s="161">
        <f t="shared" si="762"/>
        <v>-1.47</v>
      </c>
      <c r="BY185" s="185">
        <f t="shared" si="763"/>
        <v>-1.53</v>
      </c>
      <c r="BZ185" s="186">
        <v>-3</v>
      </c>
    </row>
    <row r="186" spans="1:78" s="140" customFormat="1">
      <c r="A186" s="149"/>
      <c r="B186" s="337" t="s">
        <v>275</v>
      </c>
      <c r="C186" s="155" t="s">
        <v>406</v>
      </c>
      <c r="D186" s="138"/>
      <c r="E186" s="143"/>
      <c r="F186" s="138"/>
      <c r="H186" s="138"/>
      <c r="I186" s="143"/>
      <c r="J186" s="138"/>
      <c r="L186" s="138"/>
      <c r="M186" s="143"/>
      <c r="N186" s="138"/>
      <c r="P186" s="231"/>
      <c r="Q186" s="143"/>
      <c r="R186" s="181">
        <v>1.1850000000000001</v>
      </c>
      <c r="T186" s="231"/>
      <c r="U186" s="161"/>
      <c r="V186" s="181">
        <v>-2.085</v>
      </c>
      <c r="W186" s="138"/>
      <c r="X186" s="138"/>
      <c r="Y186" s="161"/>
      <c r="Z186" s="181">
        <v>-0.39300000000000002</v>
      </c>
      <c r="AB186" s="161"/>
      <c r="AC186" s="161"/>
      <c r="AD186" s="181">
        <v>-2.5390000000000001</v>
      </c>
      <c r="AF186" s="161">
        <f>+AH186*49%</f>
        <v>21.12537</v>
      </c>
      <c r="AG186" s="185"/>
      <c r="AH186" s="230">
        <v>43.113</v>
      </c>
      <c r="AJ186" s="161">
        <f>+AL186*49%</f>
        <v>-1.0912299999999999</v>
      </c>
      <c r="AK186" s="185"/>
      <c r="AL186" s="230">
        <v>-2.2269999999999999</v>
      </c>
      <c r="AM186" s="219"/>
      <c r="AN186" s="161">
        <f>+AP186*49%</f>
        <v>38.77272</v>
      </c>
      <c r="AO186" s="185"/>
      <c r="AP186" s="916">
        <v>79.128</v>
      </c>
      <c r="AR186" s="161">
        <f t="shared" si="746"/>
        <v>0</v>
      </c>
      <c r="AS186" s="185">
        <f t="shared" ref="AS186" si="778">+AT186*51%</f>
        <v>0</v>
      </c>
      <c r="AT186" s="181">
        <v>0</v>
      </c>
      <c r="AV186" s="161">
        <f t="shared" si="748"/>
        <v>0</v>
      </c>
      <c r="AW186" s="185">
        <f t="shared" ref="AW186" si="779">+AX186*51%</f>
        <v>0</v>
      </c>
      <c r="AX186" s="181">
        <v>0</v>
      </c>
      <c r="AZ186" s="161">
        <f t="shared" si="750"/>
        <v>0</v>
      </c>
      <c r="BA186" s="185">
        <f t="shared" ref="BA186" si="780">+BB186*51%</f>
        <v>0</v>
      </c>
      <c r="BB186" s="181">
        <v>0</v>
      </c>
      <c r="BD186" s="161">
        <f t="shared" si="752"/>
        <v>0</v>
      </c>
      <c r="BE186" s="185">
        <f t="shared" ref="BE186" si="781">+BF186*51%</f>
        <v>0</v>
      </c>
      <c r="BF186" s="181">
        <v>0</v>
      </c>
      <c r="BH186" s="161">
        <f t="shared" si="754"/>
        <v>0</v>
      </c>
      <c r="BI186" s="185">
        <f t="shared" ref="BI186" si="782">+BJ186*51%</f>
        <v>0</v>
      </c>
      <c r="BJ186" s="181">
        <v>0</v>
      </c>
      <c r="BL186" s="161">
        <f t="shared" si="756"/>
        <v>0</v>
      </c>
      <c r="BM186" s="185">
        <f t="shared" ref="BM186" si="783">+BN186*51%</f>
        <v>0</v>
      </c>
      <c r="BN186" s="181">
        <v>0</v>
      </c>
      <c r="BP186" s="161">
        <f t="shared" si="758"/>
        <v>0</v>
      </c>
      <c r="BQ186" s="185">
        <f t="shared" ref="BQ186" si="784">+BR186*51%</f>
        <v>0</v>
      </c>
      <c r="BR186" s="181">
        <v>0</v>
      </c>
      <c r="BT186" s="161">
        <f t="shared" si="760"/>
        <v>0</v>
      </c>
      <c r="BU186" s="185">
        <f t="shared" si="761"/>
        <v>0</v>
      </c>
      <c r="BV186" s="181">
        <v>0</v>
      </c>
      <c r="BX186" s="161">
        <f t="shared" si="762"/>
        <v>0</v>
      </c>
      <c r="BY186" s="185">
        <f t="shared" si="763"/>
        <v>0</v>
      </c>
      <c r="BZ186" s="181">
        <v>0</v>
      </c>
    </row>
    <row r="187" spans="1:78" s="140" customFormat="1">
      <c r="A187" s="149"/>
      <c r="B187" s="337" t="s">
        <v>270</v>
      </c>
      <c r="C187" s="155" t="s">
        <v>406</v>
      </c>
      <c r="D187" s="138"/>
      <c r="E187" s="143"/>
      <c r="F187" s="138"/>
      <c r="H187" s="138"/>
      <c r="I187" s="143"/>
      <c r="J187" s="138"/>
      <c r="L187" s="138"/>
      <c r="M187" s="143"/>
      <c r="N187" s="138"/>
      <c r="P187" s="231"/>
      <c r="Q187" s="143"/>
      <c r="R187" s="181">
        <v>0</v>
      </c>
      <c r="T187" s="231"/>
      <c r="U187" s="161"/>
      <c r="V187" s="181">
        <v>0</v>
      </c>
      <c r="W187" s="138"/>
      <c r="X187" s="138"/>
      <c r="Y187" s="161"/>
      <c r="Z187" s="181">
        <v>0</v>
      </c>
      <c r="AB187" s="161"/>
      <c r="AC187" s="161"/>
      <c r="AD187" s="181">
        <v>0</v>
      </c>
      <c r="AF187" s="161">
        <f>+AH187*49%</f>
        <v>0</v>
      </c>
      <c r="AG187" s="185"/>
      <c r="AH187" s="230">
        <v>0</v>
      </c>
      <c r="AJ187" s="161">
        <f>+AL187*49%</f>
        <v>0</v>
      </c>
      <c r="AK187" s="185"/>
      <c r="AL187" s="230">
        <v>0</v>
      </c>
      <c r="AM187" s="219"/>
      <c r="AN187" s="161">
        <f>+AP187*49%</f>
        <v>0</v>
      </c>
      <c r="AO187" s="185"/>
      <c r="AP187" s="916">
        <v>0</v>
      </c>
      <c r="AR187" s="161">
        <f t="shared" si="746"/>
        <v>0</v>
      </c>
      <c r="AS187" s="185">
        <f t="shared" ref="AS187" si="785">+AT187*51%</f>
        <v>0</v>
      </c>
      <c r="AT187" s="181">
        <v>0</v>
      </c>
      <c r="AV187" s="161">
        <f t="shared" si="748"/>
        <v>0</v>
      </c>
      <c r="AW187" s="185">
        <f t="shared" ref="AW187" si="786">+AX187*51%</f>
        <v>0</v>
      </c>
      <c r="AX187" s="181">
        <v>0</v>
      </c>
      <c r="AZ187" s="161">
        <f t="shared" si="750"/>
        <v>0</v>
      </c>
      <c r="BA187" s="185">
        <f t="shared" ref="BA187" si="787">+BB187*51%</f>
        <v>0</v>
      </c>
      <c r="BB187" s="181">
        <v>0</v>
      </c>
      <c r="BD187" s="161">
        <f t="shared" si="752"/>
        <v>0</v>
      </c>
      <c r="BE187" s="185">
        <f t="shared" ref="BE187" si="788">+BF187*51%</f>
        <v>0</v>
      </c>
      <c r="BF187" s="181">
        <v>0</v>
      </c>
      <c r="BH187" s="161">
        <f t="shared" si="754"/>
        <v>0</v>
      </c>
      <c r="BI187" s="185">
        <f t="shared" ref="BI187" si="789">+BJ187*51%</f>
        <v>0</v>
      </c>
      <c r="BJ187" s="181">
        <v>0</v>
      </c>
      <c r="BL187" s="161">
        <f t="shared" si="756"/>
        <v>0</v>
      </c>
      <c r="BM187" s="185">
        <f t="shared" ref="BM187" si="790">+BN187*51%</f>
        <v>0</v>
      </c>
      <c r="BN187" s="181">
        <v>0</v>
      </c>
      <c r="BP187" s="161">
        <f t="shared" si="758"/>
        <v>0</v>
      </c>
      <c r="BQ187" s="185">
        <f t="shared" ref="BQ187" si="791">+BR187*51%</f>
        <v>0</v>
      </c>
      <c r="BR187" s="181">
        <v>0</v>
      </c>
      <c r="BT187" s="161">
        <f t="shared" si="760"/>
        <v>0</v>
      </c>
      <c r="BU187" s="185">
        <f t="shared" si="761"/>
        <v>0</v>
      </c>
      <c r="BV187" s="181">
        <v>0</v>
      </c>
      <c r="BX187" s="161">
        <f t="shared" si="762"/>
        <v>0</v>
      </c>
      <c r="BY187" s="185">
        <f t="shared" si="763"/>
        <v>0</v>
      </c>
      <c r="BZ187" s="181">
        <v>0</v>
      </c>
    </row>
    <row r="188" spans="1:78" s="166" customFormat="1">
      <c r="A188" s="502"/>
      <c r="B188" s="503" t="s">
        <v>271</v>
      </c>
      <c r="C188" s="157" t="s">
        <v>406</v>
      </c>
      <c r="E188" s="507"/>
      <c r="I188" s="507"/>
      <c r="M188" s="507"/>
      <c r="P188" s="470"/>
      <c r="Q188" s="507"/>
      <c r="R188" s="166">
        <f>+SUM(R181:R187)</f>
        <v>340.91</v>
      </c>
      <c r="T188" s="470"/>
      <c r="V188" s="166">
        <f>+SUM(V181:V187)</f>
        <v>329.42100000000005</v>
      </c>
      <c r="Z188" s="166">
        <f>+SUM(Z181:Z187)</f>
        <v>416.24100000000004</v>
      </c>
      <c r="AD188" s="166">
        <f>+SUM(AD181:AD187)</f>
        <v>559.84699999999998</v>
      </c>
      <c r="AF188" s="166">
        <f>+SUM(AF181:AF187)</f>
        <v>1637.9581999999998</v>
      </c>
      <c r="AH188" s="166">
        <f>+SUM(AH181:AH187)</f>
        <v>1443.4340000000002</v>
      </c>
      <c r="AJ188" s="166">
        <f>+SUM(AJ181:AJ187)</f>
        <v>2496.1445800000001</v>
      </c>
      <c r="AL188" s="166">
        <f>+SUM(AL181:AL187)</f>
        <v>1541.7659999999998</v>
      </c>
      <c r="AN188" s="166">
        <f>+SUM(AN181:AN187)</f>
        <v>2642.5387199999996</v>
      </c>
      <c r="AP188" s="166">
        <f>+SUM(AP181:AP187)</f>
        <v>2005.828</v>
      </c>
      <c r="AR188" s="166">
        <f>+SUM(AR181:AR187)</f>
        <v>1995.6579274999999</v>
      </c>
      <c r="AS188" s="166">
        <f>+SUM(AS181:AS187)</f>
        <v>1985.3703725</v>
      </c>
      <c r="AT188" s="166">
        <f>+SUM(AT181:AT187)</f>
        <v>1985.3703725</v>
      </c>
      <c r="AV188" s="166">
        <f>+SUM(AV181:AV187)</f>
        <v>1974.06338205</v>
      </c>
      <c r="AW188" s="166">
        <f>+SUM(AW181:AW187)</f>
        <v>1962.5963916000001</v>
      </c>
      <c r="AX188" s="166">
        <f>+SUM(AX181:AX187)</f>
        <v>1962.5963916000001</v>
      </c>
      <c r="AZ188" s="166">
        <f>+SUM(AZ181:AZ187)</f>
        <v>1951.1416613409999</v>
      </c>
      <c r="BA188" s="166">
        <f>+SUM(BA181:BA187)</f>
        <v>1939.5269310819999</v>
      </c>
      <c r="BB188" s="166">
        <f>+SUM(BB181:BB187)</f>
        <v>1939.5269310820001</v>
      </c>
      <c r="BD188" s="166">
        <f>+SUM(BD181:BD187)</f>
        <v>1927.92150621782</v>
      </c>
      <c r="BE188" s="166">
        <f>+SUM(BE181:BE187)</f>
        <v>1916.15608135364</v>
      </c>
      <c r="BF188" s="166">
        <f>+SUM(BF181:BF187)</f>
        <v>1916.15608135364</v>
      </c>
      <c r="BH188" s="166">
        <f>+SUM(BH181:BH187)</f>
        <v>1904.3969479921764</v>
      </c>
      <c r="BI188" s="166">
        <f>+SUM(BI181:BI187)</f>
        <v>1892.4778146307128</v>
      </c>
      <c r="BJ188" s="166">
        <f>+SUM(BJ181:BJ187)</f>
        <v>1892.4778146307128</v>
      </c>
      <c r="BL188" s="166">
        <f>+SUM(BL181:BL187)</f>
        <v>1880.5618986020199</v>
      </c>
      <c r="BM188" s="166">
        <f>+SUM(BM181:BM187)</f>
        <v>1868.4859825733272</v>
      </c>
      <c r="BN188" s="166">
        <f>+SUM(BN181:BN187)</f>
        <v>1868.4859825733272</v>
      </c>
      <c r="BP188" s="166">
        <f>+SUM(BP181:BP187)</f>
        <v>1856.4101482240603</v>
      </c>
      <c r="BQ188" s="166">
        <f>+SUM(BQ181:BQ187)</f>
        <v>1844.1743138747936</v>
      </c>
      <c r="BR188" s="166">
        <f>+SUM(BR181:BR187)</f>
        <v>1844.1743138747938</v>
      </c>
      <c r="BT188" s="166">
        <f>+SUM(BT181:BT187)</f>
        <v>1831.9353628385418</v>
      </c>
      <c r="BU188" s="166">
        <f>+SUM(BU181:BU187)</f>
        <v>1819.5364118022899</v>
      </c>
      <c r="BV188" s="166">
        <f>+SUM(BV181:BV187)</f>
        <v>1819.5364118022896</v>
      </c>
      <c r="BX188" s="166">
        <f>+SUM(BX181:BX187)</f>
        <v>1807.1310817453125</v>
      </c>
      <c r="BY188" s="166">
        <f>+SUM(BY181:BY187)</f>
        <v>1794.5657516883355</v>
      </c>
      <c r="BZ188" s="166">
        <f>+SUM(BZ181:BZ187)</f>
        <v>1794.5657516883355</v>
      </c>
    </row>
    <row r="189" spans="1:78" s="140" customFormat="1">
      <c r="A189" s="149"/>
      <c r="B189" s="244" t="s">
        <v>302</v>
      </c>
      <c r="D189" s="138"/>
      <c r="E189" s="143"/>
      <c r="F189" s="138"/>
      <c r="H189" s="138"/>
      <c r="I189" s="143"/>
      <c r="J189" s="138"/>
      <c r="L189" s="138"/>
      <c r="M189" s="143"/>
      <c r="N189" s="138"/>
      <c r="P189" s="231"/>
      <c r="Q189" s="143"/>
      <c r="R189" s="341">
        <f>+R188-R180</f>
        <v>0</v>
      </c>
      <c r="T189" s="231"/>
      <c r="U189" s="161"/>
      <c r="V189" s="341">
        <f>+V188-V180</f>
        <v>0</v>
      </c>
      <c r="W189" s="138"/>
      <c r="X189" s="138"/>
      <c r="Y189" s="161"/>
      <c r="Z189" s="341">
        <f>+Z188-Z180</f>
        <v>0</v>
      </c>
      <c r="AB189" s="161"/>
      <c r="AC189" s="161"/>
      <c r="AD189" s="341">
        <f>+AD188-AD180</f>
        <v>0</v>
      </c>
      <c r="AF189" s="341">
        <f>+AF188-AF180</f>
        <v>0</v>
      </c>
      <c r="AG189" s="341">
        <f>+AG188-AG180</f>
        <v>0</v>
      </c>
      <c r="AH189" s="341">
        <f>+AH188-AH180</f>
        <v>0</v>
      </c>
      <c r="AJ189" s="341">
        <f>+AJ188-AJ180</f>
        <v>0</v>
      </c>
      <c r="AK189" s="341">
        <f>+AK188-AK180</f>
        <v>0</v>
      </c>
      <c r="AL189" s="341">
        <f>+AL188-AL180</f>
        <v>0</v>
      </c>
      <c r="AN189" s="341">
        <f>+AN188-AN180</f>
        <v>0</v>
      </c>
      <c r="AO189" s="341">
        <f>+AO188-AO180</f>
        <v>0</v>
      </c>
      <c r="AP189" s="341">
        <f>+AP188-AP180</f>
        <v>0</v>
      </c>
      <c r="AR189" s="341">
        <f>+AR188-AR180</f>
        <v>0</v>
      </c>
      <c r="AS189" s="341">
        <f>+AS188-AS180</f>
        <v>0</v>
      </c>
      <c r="AT189" s="341">
        <f>+AT188-AT180</f>
        <v>0</v>
      </c>
      <c r="AV189" s="341">
        <f>+AV188-AV180</f>
        <v>0</v>
      </c>
      <c r="AW189" s="341">
        <f>+AW188-AW180</f>
        <v>0</v>
      </c>
      <c r="AX189" s="341">
        <f>+AX188-AX180</f>
        <v>0</v>
      </c>
      <c r="AZ189" s="341">
        <f>+AZ188-AZ180</f>
        <v>0</v>
      </c>
      <c r="BA189" s="341">
        <f>+BA188-BA180</f>
        <v>0</v>
      </c>
      <c r="BB189" s="341">
        <f>+BB188-BB180</f>
        <v>0</v>
      </c>
      <c r="BD189" s="341">
        <f>+BD188-BD180</f>
        <v>0</v>
      </c>
      <c r="BE189" s="341">
        <f>+BE188-BE180</f>
        <v>0</v>
      </c>
      <c r="BF189" s="341">
        <f>+BF188-BF180</f>
        <v>0</v>
      </c>
      <c r="BH189" s="341">
        <f>+BH188-BH180</f>
        <v>0</v>
      </c>
      <c r="BI189" s="341">
        <f>+BI188-BI180</f>
        <v>0</v>
      </c>
      <c r="BJ189" s="341">
        <f>+BJ188-BJ180</f>
        <v>0</v>
      </c>
      <c r="BL189" s="341">
        <f>+BL188-BL180</f>
        <v>0</v>
      </c>
      <c r="BM189" s="341">
        <f>+BM188-BM180</f>
        <v>0</v>
      </c>
      <c r="BN189" s="341">
        <f>+BN188-BN180</f>
        <v>0</v>
      </c>
      <c r="BP189" s="341">
        <f>+BP188-BP180</f>
        <v>0</v>
      </c>
      <c r="BQ189" s="341">
        <f>+BQ188-BQ180</f>
        <v>0</v>
      </c>
      <c r="BR189" s="341">
        <f>+BR188-BR180</f>
        <v>0</v>
      </c>
      <c r="BT189" s="341">
        <f>+BT188-BT180</f>
        <v>0</v>
      </c>
      <c r="BU189" s="341">
        <f>+BU188-BU180</f>
        <v>0</v>
      </c>
      <c r="BV189" s="341">
        <f>+BV188-BV180</f>
        <v>0</v>
      </c>
      <c r="BX189" s="341">
        <f>+BX188-BX180</f>
        <v>0</v>
      </c>
      <c r="BY189" s="341">
        <f>+BY188-BY180</f>
        <v>0</v>
      </c>
      <c r="BZ189" s="341">
        <f>+BZ188-BZ180</f>
        <v>0</v>
      </c>
    </row>
    <row r="190" spans="1:78" s="140" customFormat="1">
      <c r="A190" s="149"/>
      <c r="B190" s="160"/>
      <c r="D190" s="144"/>
      <c r="E190" s="143"/>
      <c r="F190" s="144"/>
      <c r="H190" s="181"/>
      <c r="I190" s="143"/>
      <c r="J190" s="144"/>
      <c r="L190" s="144"/>
      <c r="M190" s="143"/>
      <c r="N190" s="144"/>
      <c r="P190" s="181"/>
      <c r="Q190" s="143"/>
      <c r="R190" s="144"/>
      <c r="T190" s="144"/>
      <c r="U190" s="143"/>
      <c r="V190" s="144"/>
      <c r="W190" s="218"/>
      <c r="X190" s="144"/>
      <c r="Y190" s="143"/>
      <c r="Z190" s="144"/>
      <c r="AA190" s="219"/>
      <c r="AB190" s="144"/>
      <c r="AC190" s="143"/>
      <c r="AD190" s="144"/>
      <c r="AF190" s="144"/>
      <c r="AG190" s="143"/>
      <c r="AH190" s="138"/>
      <c r="AJ190" s="144"/>
      <c r="AK190" s="143"/>
      <c r="AL190" s="238"/>
      <c r="AN190" s="144"/>
      <c r="AO190" s="143"/>
      <c r="AP190" s="138"/>
      <c r="AR190" s="143"/>
      <c r="AS190" s="143"/>
      <c r="AT190" s="138"/>
      <c r="AV190" s="143"/>
      <c r="AW190" s="143"/>
      <c r="AX190" s="138"/>
      <c r="AZ190" s="143"/>
      <c r="BA190" s="143"/>
      <c r="BB190" s="138"/>
      <c r="BD190" s="143"/>
      <c r="BE190" s="143"/>
      <c r="BF190" s="138"/>
      <c r="BH190" s="143"/>
      <c r="BI190" s="143"/>
      <c r="BJ190" s="138"/>
      <c r="BL190" s="143"/>
      <c r="BM190" s="143"/>
      <c r="BN190" s="138"/>
      <c r="BP190" s="143"/>
      <c r="BQ190" s="143"/>
      <c r="BR190" s="138"/>
      <c r="BT190" s="143"/>
      <c r="BU190" s="143"/>
      <c r="BV190" s="138"/>
      <c r="BX190" s="143"/>
      <c r="BY190" s="143"/>
      <c r="BZ190" s="138"/>
    </row>
    <row r="191" spans="1:78" s="161" customFormat="1">
      <c r="A191" s="148"/>
      <c r="B191" s="160" t="s">
        <v>229</v>
      </c>
      <c r="C191" s="155" t="s">
        <v>406</v>
      </c>
      <c r="D191" s="230"/>
      <c r="F191" s="230"/>
      <c r="H191" s="181"/>
      <c r="J191" s="230"/>
      <c r="L191" s="230"/>
      <c r="N191" s="230"/>
      <c r="P191" s="181"/>
      <c r="R191" s="230"/>
      <c r="T191" s="230">
        <v>32.29</v>
      </c>
      <c r="U191" s="161">
        <f>V191</f>
        <v>26.321999999999999</v>
      </c>
      <c r="V191" s="230">
        <v>26.321999999999999</v>
      </c>
      <c r="W191" s="218"/>
      <c r="X191" s="230">
        <v>25.059000000000001</v>
      </c>
      <c r="Y191" s="161">
        <f>Z191</f>
        <v>22.617999999999999</v>
      </c>
      <c r="Z191" s="230">
        <v>22.617999999999999</v>
      </c>
      <c r="AA191" s="218"/>
      <c r="AB191" s="230">
        <v>23.527999999999999</v>
      </c>
      <c r="AC191" s="161">
        <f>AD191</f>
        <v>23.850999999999999</v>
      </c>
      <c r="AD191" s="230">
        <v>23.850999999999999</v>
      </c>
      <c r="AF191" s="230">
        <v>62.765000000000001</v>
      </c>
      <c r="AG191" s="161">
        <f>AH191</f>
        <v>70.36</v>
      </c>
      <c r="AH191" s="230">
        <v>70.36</v>
      </c>
      <c r="AJ191" s="230">
        <v>69.817999999999998</v>
      </c>
      <c r="AK191" s="161">
        <f>AL191</f>
        <v>72.751000000000005</v>
      </c>
      <c r="AL191" s="230">
        <v>72.751000000000005</v>
      </c>
      <c r="AN191" s="181">
        <v>75.929000000000002</v>
      </c>
      <c r="AO191" s="161">
        <f>AP191</f>
        <v>77.602999999999994</v>
      </c>
      <c r="AP191" s="916">
        <v>77.602999999999994</v>
      </c>
      <c r="AR191" s="462">
        <f>AO191*(1+AR192)</f>
        <v>79.155059999999992</v>
      </c>
      <c r="AS191" s="462">
        <f>AR191*(1+AS192)</f>
        <v>80.738161199999993</v>
      </c>
      <c r="AT191" s="161">
        <f>AS191</f>
        <v>80.738161199999993</v>
      </c>
      <c r="AV191" s="462">
        <f>AS191*(1+AV192)</f>
        <v>82.352924423999994</v>
      </c>
      <c r="AW191" s="462">
        <f>AV191*(1+AW192)</f>
        <v>83.999982912479993</v>
      </c>
      <c r="AX191" s="161">
        <f>AW191</f>
        <v>83.999982912479993</v>
      </c>
      <c r="AZ191" s="462">
        <f>AW191*(1+AZ192)</f>
        <v>85.679982570729592</v>
      </c>
      <c r="BA191" s="462">
        <f>AZ191*(1+BA192)</f>
        <v>87.39358222214419</v>
      </c>
      <c r="BB191" s="161">
        <f>BA191</f>
        <v>87.39358222214419</v>
      </c>
      <c r="BD191" s="462">
        <f>BA191*(1+BD192)</f>
        <v>89.141453866587071</v>
      </c>
      <c r="BE191" s="462">
        <f>BD191*(1+BE192)</f>
        <v>90.924282943918811</v>
      </c>
      <c r="BF191" s="161">
        <f>BE191</f>
        <v>90.924282943918811</v>
      </c>
      <c r="BH191" s="462">
        <f>BE191*(1+BH192)</f>
        <v>92.742768602797184</v>
      </c>
      <c r="BI191" s="462">
        <f>BH191*(1+BI192)</f>
        <v>94.597623974853136</v>
      </c>
      <c r="BJ191" s="161">
        <f>BI191</f>
        <v>94.597623974853136</v>
      </c>
      <c r="BL191" s="462">
        <f>BI191*(1+BL192)</f>
        <v>96.4895764543502</v>
      </c>
      <c r="BM191" s="462">
        <f>BL191*(1+BM192)</f>
        <v>98.419367983437212</v>
      </c>
      <c r="BN191" s="161">
        <f>BM191</f>
        <v>98.419367983437212</v>
      </c>
      <c r="BP191" s="462">
        <f>BM191*(1+BP192)</f>
        <v>100.38775534310595</v>
      </c>
      <c r="BQ191" s="462">
        <f>BP191*(1+BQ192)</f>
        <v>102.39551044996807</v>
      </c>
      <c r="BR191" s="161">
        <f>BQ191</f>
        <v>102.39551044996807</v>
      </c>
      <c r="BT191" s="462">
        <f>BQ191*(1+BT192)</f>
        <v>104.44342065896744</v>
      </c>
      <c r="BU191" s="462">
        <f>BT191*(1+BU192)</f>
        <v>106.5322890721468</v>
      </c>
      <c r="BV191" s="161">
        <f>BU191</f>
        <v>106.5322890721468</v>
      </c>
      <c r="BX191" s="462">
        <f>BU191*(1+BX192)</f>
        <v>108.66293485358973</v>
      </c>
      <c r="BY191" s="462">
        <f>BX191*(1+BY192)</f>
        <v>110.83619355066153</v>
      </c>
      <c r="BZ191" s="161">
        <f>BY191</f>
        <v>110.83619355066153</v>
      </c>
    </row>
    <row r="192" spans="1:78" s="161" customFormat="1">
      <c r="A192" s="148"/>
      <c r="B192" s="369" t="s">
        <v>463</v>
      </c>
      <c r="C192" s="161" t="s">
        <v>39</v>
      </c>
      <c r="D192" s="230"/>
      <c r="E192" s="230"/>
      <c r="F192" s="230"/>
      <c r="H192" s="370"/>
      <c r="I192" s="370"/>
      <c r="J192" s="370"/>
      <c r="L192" s="370"/>
      <c r="M192" s="370"/>
      <c r="N192" s="370"/>
      <c r="P192" s="370"/>
      <c r="Q192" s="370"/>
      <c r="R192" s="370"/>
      <c r="T192" s="370"/>
      <c r="U192" s="370"/>
      <c r="V192" s="370"/>
      <c r="W192" s="218"/>
      <c r="X192" s="370">
        <f>+X191/T191-1</f>
        <v>-0.22393930009290797</v>
      </c>
      <c r="Y192" s="370">
        <f>+Y191/U191-1</f>
        <v>-0.14071879036547374</v>
      </c>
      <c r="Z192" s="370">
        <f>+Z191/V191-1</f>
        <v>-0.14071879036547374</v>
      </c>
      <c r="AA192" s="218"/>
      <c r="AB192" s="370">
        <f>+AB191/X191-1</f>
        <v>-6.109581387924512E-2</v>
      </c>
      <c r="AC192" s="370">
        <f>+AC191/Y191-1</f>
        <v>5.4514103811123871E-2</v>
      </c>
      <c r="AD192" s="370">
        <f>+AD191/Z191-1</f>
        <v>5.4514103811123871E-2</v>
      </c>
      <c r="AF192" s="370">
        <f>+AF191/AB191-1</f>
        <v>1.6676725603536213</v>
      </c>
      <c r="AG192" s="370">
        <f>+AG191/AC191-1</f>
        <v>1.9499811328665464</v>
      </c>
      <c r="AH192" s="370">
        <f>+AH191/AD191-1</f>
        <v>1.9499811328665464</v>
      </c>
      <c r="AJ192" s="370">
        <f>+AJ191/AF191-1</f>
        <v>0.112371544650681</v>
      </c>
      <c r="AK192" s="370">
        <f>+AK191/AG191-1</f>
        <v>3.3982376350198962E-2</v>
      </c>
      <c r="AL192" s="370">
        <f>+AL191/AH191-1</f>
        <v>3.3982376350198962E-2</v>
      </c>
      <c r="AN192" s="582">
        <f>+AN191/AJ191-1</f>
        <v>8.7527571686384587E-2</v>
      </c>
      <c r="AO192" s="370">
        <f>+AO191/AK191-1</f>
        <v>6.6693241330015862E-2</v>
      </c>
      <c r="AP192" s="370">
        <f>+AP191/AL191-1</f>
        <v>6.6693241330015862E-2</v>
      </c>
      <c r="AR192" s="463">
        <v>0.02</v>
      </c>
      <c r="AS192" s="463">
        <v>0.02</v>
      </c>
      <c r="AT192" s="370">
        <f>+AT191/AP191-1</f>
        <v>4.0399999999999991E-2</v>
      </c>
      <c r="AV192" s="463">
        <v>0.02</v>
      </c>
      <c r="AW192" s="463">
        <v>0.02</v>
      </c>
      <c r="AX192" s="370">
        <f>+AX191/AT191-1</f>
        <v>4.0399999999999991E-2</v>
      </c>
      <c r="AZ192" s="463">
        <v>0.02</v>
      </c>
      <c r="BA192" s="463">
        <v>0.02</v>
      </c>
      <c r="BB192" s="370">
        <f>+BB191/AX191-1</f>
        <v>4.0399999999999991E-2</v>
      </c>
      <c r="BD192" s="463">
        <v>0.02</v>
      </c>
      <c r="BE192" s="463">
        <v>0.02</v>
      </c>
      <c r="BF192" s="370">
        <f>+BF191/BB191-1</f>
        <v>4.0399999999999991E-2</v>
      </c>
      <c r="BH192" s="463">
        <v>0.02</v>
      </c>
      <c r="BI192" s="463">
        <v>0.02</v>
      </c>
      <c r="BJ192" s="370">
        <f>+BJ191/BF191-1</f>
        <v>4.0399999999999991E-2</v>
      </c>
      <c r="BL192" s="463">
        <v>0.02</v>
      </c>
      <c r="BM192" s="463">
        <v>0.02</v>
      </c>
      <c r="BN192" s="370">
        <f>+BN191/BJ191-1</f>
        <v>4.0399999999999991E-2</v>
      </c>
      <c r="BP192" s="463">
        <v>0.02</v>
      </c>
      <c r="BQ192" s="463">
        <v>0.02</v>
      </c>
      <c r="BR192" s="370">
        <f>+BR191/BN191-1</f>
        <v>4.0399999999999991E-2</v>
      </c>
      <c r="BT192" s="463">
        <v>0.02</v>
      </c>
      <c r="BU192" s="463">
        <v>0.02</v>
      </c>
      <c r="BV192" s="370">
        <f>+BV191/BR191-1</f>
        <v>4.0400000000000214E-2</v>
      </c>
      <c r="BX192" s="463">
        <v>0.02</v>
      </c>
      <c r="BY192" s="463">
        <v>0.02</v>
      </c>
      <c r="BZ192" s="370">
        <f>+BZ191/BV191-1</f>
        <v>4.0399999999999991E-2</v>
      </c>
    </row>
    <row r="193" spans="1:78" s="161" customFormat="1">
      <c r="A193" s="148"/>
      <c r="B193" s="369"/>
      <c r="D193" s="230"/>
      <c r="E193" s="230"/>
      <c r="F193" s="230"/>
      <c r="H193" s="370"/>
      <c r="I193" s="370"/>
      <c r="J193" s="370"/>
      <c r="L193" s="370"/>
      <c r="M193" s="370"/>
      <c r="N193" s="370"/>
      <c r="P193" s="370"/>
      <c r="Q193" s="370"/>
      <c r="R193" s="370"/>
      <c r="T193" s="370"/>
      <c r="U193" s="370"/>
      <c r="V193" s="370"/>
      <c r="W193" s="218"/>
      <c r="X193" s="370"/>
      <c r="Y193" s="370"/>
      <c r="Z193" s="370"/>
      <c r="AA193" s="218"/>
      <c r="AB193" s="370"/>
      <c r="AC193" s="370"/>
      <c r="AD193" s="370"/>
      <c r="AF193" s="370"/>
      <c r="AG193" s="370"/>
      <c r="AH193" s="370"/>
      <c r="AJ193" s="370"/>
      <c r="AK193" s="370"/>
      <c r="AL193" s="370"/>
      <c r="AN193" s="582"/>
      <c r="AO193" s="370"/>
      <c r="AP193" s="370"/>
      <c r="AR193" s="463"/>
      <c r="AS193" s="463"/>
      <c r="AT193" s="370"/>
      <c r="AV193" s="463"/>
      <c r="AW193" s="463"/>
      <c r="AX193" s="370"/>
      <c r="AZ193" s="463"/>
      <c r="BA193" s="463"/>
      <c r="BB193" s="370"/>
      <c r="BD193" s="463"/>
      <c r="BE193" s="463"/>
      <c r="BF193" s="370"/>
      <c r="BH193" s="463"/>
      <c r="BI193" s="463"/>
      <c r="BJ193" s="370"/>
      <c r="BL193" s="463"/>
      <c r="BM193" s="463"/>
      <c r="BN193" s="370"/>
      <c r="BP193" s="463"/>
      <c r="BQ193" s="463"/>
      <c r="BR193" s="370"/>
      <c r="BT193" s="463"/>
      <c r="BU193" s="463"/>
      <c r="BV193" s="370"/>
      <c r="BX193" s="463"/>
      <c r="BY193" s="463"/>
      <c r="BZ193" s="370"/>
    </row>
    <row r="194" spans="1:78" s="140" customFormat="1">
      <c r="A194" s="149"/>
      <c r="B194" s="160" t="s">
        <v>134</v>
      </c>
      <c r="C194" s="155" t="s">
        <v>406</v>
      </c>
      <c r="D194" s="230">
        <v>5.399</v>
      </c>
      <c r="E194" s="161">
        <f>F194</f>
        <v>5.5350000000000001</v>
      </c>
      <c r="F194" s="230">
        <v>5.5350000000000001</v>
      </c>
      <c r="H194" s="230">
        <v>5.4249999999999998</v>
      </c>
      <c r="I194" s="161">
        <f>J194</f>
        <v>7.21</v>
      </c>
      <c r="J194" s="230">
        <v>7.21</v>
      </c>
      <c r="L194" s="230">
        <v>7.0750000000000002</v>
      </c>
      <c r="M194" s="161">
        <f>N194</f>
        <v>7.343</v>
      </c>
      <c r="N194" s="230">
        <v>7.343</v>
      </c>
      <c r="P194" s="230">
        <v>12.234999999999999</v>
      </c>
      <c r="Q194" s="161">
        <f>R194</f>
        <v>12.645</v>
      </c>
      <c r="R194" s="230">
        <v>12.645</v>
      </c>
      <c r="T194" s="230">
        <v>13.019</v>
      </c>
      <c r="U194" s="161">
        <f>V194</f>
        <v>15.256</v>
      </c>
      <c r="V194" s="230">
        <v>15.256</v>
      </c>
      <c r="W194" s="218"/>
      <c r="X194" s="230">
        <v>14.875</v>
      </c>
      <c r="Y194" s="161">
        <f>Z194</f>
        <v>14.574</v>
      </c>
      <c r="Z194" s="230">
        <v>14.574</v>
      </c>
      <c r="AA194" s="219"/>
      <c r="AB194" s="230">
        <v>14.785</v>
      </c>
      <c r="AC194" s="161">
        <f>AD194</f>
        <v>14.694000000000001</v>
      </c>
      <c r="AD194" s="230">
        <v>14.694000000000001</v>
      </c>
      <c r="AF194" s="230">
        <v>16.940000000000001</v>
      </c>
      <c r="AG194" s="161">
        <f>AH194</f>
        <v>21.385000000000002</v>
      </c>
      <c r="AH194" s="230">
        <v>21.385000000000002</v>
      </c>
      <c r="AJ194" s="230">
        <v>20.015000000000001</v>
      </c>
      <c r="AK194" s="161">
        <f>AL194</f>
        <v>24.756</v>
      </c>
      <c r="AL194" s="230">
        <v>24.756</v>
      </c>
      <c r="AN194" s="181">
        <v>19.916</v>
      </c>
      <c r="AO194" s="161">
        <f>AP194</f>
        <v>29.733000000000001</v>
      </c>
      <c r="AP194" s="916">
        <v>29.733000000000001</v>
      </c>
      <c r="AR194" s="161">
        <f>AO194*(1+AR195)</f>
        <v>30.327660000000002</v>
      </c>
      <c r="AS194" s="161">
        <f>AR194*(1+AS195)</f>
        <v>30.934213200000002</v>
      </c>
      <c r="AT194" s="161">
        <f>AS194</f>
        <v>30.934213200000002</v>
      </c>
      <c r="AV194" s="161">
        <f>AS194*(1+AV195)</f>
        <v>31.552897464000004</v>
      </c>
      <c r="AW194" s="161">
        <f>AV194*(1+AW195)</f>
        <v>32.183955413280003</v>
      </c>
      <c r="AX194" s="161">
        <f>AW194</f>
        <v>32.183955413280003</v>
      </c>
      <c r="AZ194" s="161">
        <f>AW194*(1+AZ195)</f>
        <v>32.827634521545605</v>
      </c>
      <c r="BA194" s="161">
        <f>AZ194*(1+BA195)</f>
        <v>33.484187211976518</v>
      </c>
      <c r="BB194" s="161">
        <f>BA194</f>
        <v>33.484187211976518</v>
      </c>
      <c r="BD194" s="161">
        <f>BA194*(1+BD195)</f>
        <v>34.153870956216046</v>
      </c>
      <c r="BE194" s="161">
        <f>BD194*(1+BE195)</f>
        <v>34.83694837534037</v>
      </c>
      <c r="BF194" s="161">
        <f>BE194</f>
        <v>34.83694837534037</v>
      </c>
      <c r="BH194" s="161">
        <f>BE194*(1+BH195)</f>
        <v>35.53368734284718</v>
      </c>
      <c r="BI194" s="161">
        <f>BH194*(1+BI195)</f>
        <v>36.244361089704128</v>
      </c>
      <c r="BJ194" s="161">
        <f>BI194</f>
        <v>36.244361089704128</v>
      </c>
      <c r="BL194" s="161">
        <f>BI194*(1+BL195)</f>
        <v>36.969248311498212</v>
      </c>
      <c r="BM194" s="161">
        <f>BL194*(1+BM195)</f>
        <v>37.708633277728175</v>
      </c>
      <c r="BN194" s="161">
        <f>BM194</f>
        <v>37.708633277728175</v>
      </c>
      <c r="BP194" s="161">
        <f>BM194*(1+BP195)</f>
        <v>38.462805943282738</v>
      </c>
      <c r="BQ194" s="161">
        <f>BP194*(1+BQ195)</f>
        <v>39.232062062148394</v>
      </c>
      <c r="BR194" s="161">
        <f>BQ194</f>
        <v>39.232062062148394</v>
      </c>
      <c r="BT194" s="161">
        <f>BQ194*(1+BT195)</f>
        <v>40.01670330339136</v>
      </c>
      <c r="BU194" s="161">
        <f>BT194*(1+BU195)</f>
        <v>40.817037369459186</v>
      </c>
      <c r="BV194" s="161">
        <f>BU194</f>
        <v>40.817037369459186</v>
      </c>
      <c r="BX194" s="161">
        <f>BU194*(1+BX195)</f>
        <v>41.63337811684837</v>
      </c>
      <c r="BY194" s="161">
        <f>BX194*(1+BY195)</f>
        <v>42.466045679185335</v>
      </c>
      <c r="BZ194" s="161">
        <f>BY194</f>
        <v>42.466045679185335</v>
      </c>
    </row>
    <row r="195" spans="1:78" s="161" customFormat="1">
      <c r="A195" s="148"/>
      <c r="B195" s="369" t="s">
        <v>463</v>
      </c>
      <c r="C195" s="161" t="s">
        <v>39</v>
      </c>
      <c r="D195" s="230"/>
      <c r="E195" s="230"/>
      <c r="F195" s="230"/>
      <c r="H195" s="370">
        <f>+H194/D194-1</f>
        <v>4.8157066123355463E-3</v>
      </c>
      <c r="I195" s="370">
        <f>+I194/E194-1</f>
        <v>0.30261969286359536</v>
      </c>
      <c r="J195" s="370">
        <f>+J194/F194-1</f>
        <v>0.30261969286359536</v>
      </c>
      <c r="L195" s="370">
        <f>+L194/H194-1</f>
        <v>0.30414746543778803</v>
      </c>
      <c r="M195" s="370">
        <f>+M194/I194-1</f>
        <v>1.844660194174752E-2</v>
      </c>
      <c r="N195" s="370">
        <f>+N194/J194-1</f>
        <v>1.844660194174752E-2</v>
      </c>
      <c r="P195" s="370">
        <f>+P194/L194-1</f>
        <v>0.72932862190812719</v>
      </c>
      <c r="Q195" s="370">
        <f>+Q194/M194-1</f>
        <v>0.72204820917880963</v>
      </c>
      <c r="R195" s="370">
        <f>+R194/N194-1</f>
        <v>0.72204820917880963</v>
      </c>
      <c r="T195" s="370">
        <f>+T194/P194-1</f>
        <v>6.4078463424601662E-2</v>
      </c>
      <c r="U195" s="370">
        <f>+U194/Q194-1</f>
        <v>0.2064847765915383</v>
      </c>
      <c r="V195" s="370">
        <f>+V194/R194-1</f>
        <v>0.2064847765915383</v>
      </c>
      <c r="W195" s="218"/>
      <c r="X195" s="370">
        <f>+X194/T194-1</f>
        <v>0.14256087257085803</v>
      </c>
      <c r="Y195" s="370">
        <f>+Y194/U194-1</f>
        <v>-4.4703723125327777E-2</v>
      </c>
      <c r="Z195" s="370">
        <f>+Z194/V194-1</f>
        <v>-4.4703723125327777E-2</v>
      </c>
      <c r="AA195" s="218"/>
      <c r="AB195" s="370">
        <f>+AB194/X194-1</f>
        <v>-6.0504201680672276E-3</v>
      </c>
      <c r="AC195" s="370">
        <f>+AC194/Y194-1</f>
        <v>8.2338410868671996E-3</v>
      </c>
      <c r="AD195" s="370">
        <f>+AD194/Z194-1</f>
        <v>8.2338410868671996E-3</v>
      </c>
      <c r="AF195" s="370">
        <f>+AF194/AB194-1</f>
        <v>0.14575583361515054</v>
      </c>
      <c r="AG195" s="370">
        <f>+AG194/AC194-1</f>
        <v>0.45535592758949228</v>
      </c>
      <c r="AH195" s="370">
        <f>+AH194/AD194-1</f>
        <v>0.45535592758949228</v>
      </c>
      <c r="AJ195" s="370">
        <f>+AJ194/AF194-1</f>
        <v>0.18152302243211338</v>
      </c>
      <c r="AK195" s="370">
        <f>+AK194/AG194-1</f>
        <v>0.1576338555061958</v>
      </c>
      <c r="AL195" s="370">
        <f>+AL194/AH194-1</f>
        <v>0.1576338555061958</v>
      </c>
      <c r="AN195" s="582">
        <f>+AN194/AJ194-1</f>
        <v>-4.9462902822883237E-3</v>
      </c>
      <c r="AO195" s="370">
        <f>+AO194/AK194-1</f>
        <v>0.20104217159476501</v>
      </c>
      <c r="AP195" s="370">
        <f>+AP194/AL194-1</f>
        <v>0.20104217159476501</v>
      </c>
      <c r="AR195" s="463">
        <v>0.02</v>
      </c>
      <c r="AS195" s="463">
        <v>0.02</v>
      </c>
      <c r="AT195" s="370">
        <f>+AT194/AP194-1</f>
        <v>4.0399999999999991E-2</v>
      </c>
      <c r="AV195" s="463">
        <v>0.02</v>
      </c>
      <c r="AW195" s="463">
        <v>0.02</v>
      </c>
      <c r="AX195" s="370">
        <f>+AX194/AT194-1</f>
        <v>4.0399999999999991E-2</v>
      </c>
      <c r="AZ195" s="463">
        <v>0.02</v>
      </c>
      <c r="BA195" s="463">
        <v>0.02</v>
      </c>
      <c r="BB195" s="370">
        <f>+BB194/AX194-1</f>
        <v>4.0399999999999991E-2</v>
      </c>
      <c r="BD195" s="463">
        <v>0.02</v>
      </c>
      <c r="BE195" s="463">
        <v>0.02</v>
      </c>
      <c r="BF195" s="370">
        <f>+BF194/BB194-1</f>
        <v>4.0399999999999991E-2</v>
      </c>
      <c r="BH195" s="463">
        <v>0.02</v>
      </c>
      <c r="BI195" s="463">
        <v>0.02</v>
      </c>
      <c r="BJ195" s="370">
        <f>+BJ194/BF194-1</f>
        <v>4.0400000000000214E-2</v>
      </c>
      <c r="BL195" s="463">
        <v>0.02</v>
      </c>
      <c r="BM195" s="463">
        <v>0.02</v>
      </c>
      <c r="BN195" s="370">
        <f>+BN194/BJ194-1</f>
        <v>4.0399999999999991E-2</v>
      </c>
      <c r="BP195" s="463">
        <v>0.02</v>
      </c>
      <c r="BQ195" s="463">
        <v>0.02</v>
      </c>
      <c r="BR195" s="370">
        <f>+BR194/BN194-1</f>
        <v>4.0399999999999991E-2</v>
      </c>
      <c r="BT195" s="463">
        <v>0.02</v>
      </c>
      <c r="BU195" s="463">
        <v>0.02</v>
      </c>
      <c r="BV195" s="370">
        <f>+BV194/BR194-1</f>
        <v>4.0399999999999991E-2</v>
      </c>
      <c r="BX195" s="463">
        <v>0.02</v>
      </c>
      <c r="BY195" s="463">
        <v>0.02</v>
      </c>
      <c r="BZ195" s="370">
        <f>+BZ194/BV194-1</f>
        <v>4.0399999999999991E-2</v>
      </c>
    </row>
    <row r="196" spans="1:78" s="161" customFormat="1">
      <c r="A196" s="148"/>
      <c r="B196" s="160"/>
      <c r="D196" s="230"/>
      <c r="E196" s="143"/>
      <c r="F196" s="230"/>
      <c r="H196" s="181"/>
      <c r="I196" s="143"/>
      <c r="J196" s="230"/>
      <c r="L196" s="230"/>
      <c r="M196" s="143"/>
      <c r="N196" s="230"/>
      <c r="P196" s="181"/>
      <c r="Q196" s="143"/>
      <c r="R196" s="230"/>
      <c r="T196" s="230"/>
      <c r="U196" s="143"/>
      <c r="V196" s="230"/>
      <c r="W196" s="218"/>
      <c r="X196" s="230"/>
      <c r="Y196" s="143"/>
      <c r="Z196" s="230"/>
      <c r="AA196" s="218"/>
      <c r="AB196" s="230"/>
      <c r="AC196" s="143"/>
      <c r="AD196" s="230"/>
      <c r="AF196" s="230"/>
      <c r="AG196" s="143"/>
      <c r="AH196" s="230"/>
      <c r="AJ196" s="230"/>
      <c r="AK196" s="143"/>
      <c r="AL196" s="230"/>
      <c r="AN196" s="181"/>
      <c r="AO196" s="143"/>
      <c r="AP196" s="230"/>
      <c r="AR196" s="143"/>
      <c r="AS196" s="143"/>
      <c r="AT196" s="138"/>
      <c r="AV196" s="143"/>
      <c r="AW196" s="143"/>
      <c r="AX196" s="138"/>
      <c r="AZ196" s="143"/>
      <c r="BA196" s="143"/>
      <c r="BB196" s="138"/>
      <c r="BD196" s="143"/>
      <c r="BE196" s="143"/>
      <c r="BF196" s="138"/>
      <c r="BH196" s="143"/>
      <c r="BI196" s="143"/>
      <c r="BJ196" s="138"/>
      <c r="BL196" s="143"/>
      <c r="BM196" s="143"/>
      <c r="BN196" s="138"/>
      <c r="BP196" s="143"/>
      <c r="BQ196" s="143"/>
      <c r="BR196" s="138"/>
      <c r="BT196" s="143"/>
      <c r="BU196" s="143"/>
      <c r="BV196" s="138"/>
      <c r="BX196" s="143"/>
      <c r="BY196" s="143"/>
      <c r="BZ196" s="138"/>
    </row>
    <row r="197" spans="1:78" s="140" customFormat="1">
      <c r="A197" s="149"/>
      <c r="B197" s="162" t="s">
        <v>9</v>
      </c>
      <c r="D197" s="219"/>
      <c r="F197" s="219"/>
      <c r="J197" s="219"/>
      <c r="L197" s="219"/>
      <c r="N197" s="219"/>
      <c r="R197" s="219"/>
      <c r="T197" s="219"/>
      <c r="V197" s="219"/>
      <c r="W197" s="219"/>
      <c r="X197" s="219"/>
      <c r="Z197" s="219"/>
      <c r="AA197" s="219"/>
      <c r="AB197" s="443"/>
      <c r="AD197" s="219"/>
      <c r="AF197" s="219"/>
      <c r="AH197" s="219"/>
      <c r="AJ197" s="219"/>
      <c r="AL197" s="219"/>
      <c r="AP197" s="219"/>
      <c r="AR197" s="219"/>
      <c r="AV197" s="219"/>
      <c r="AZ197" s="219"/>
      <c r="BD197" s="219"/>
      <c r="BH197" s="219"/>
      <c r="BL197" s="219"/>
      <c r="BP197" s="219"/>
      <c r="BT197" s="219"/>
      <c r="BX197" s="219"/>
    </row>
    <row r="198" spans="1:78" s="140" customFormat="1">
      <c r="A198" s="149"/>
      <c r="B198" s="159" t="s">
        <v>518</v>
      </c>
      <c r="C198" s="155" t="s">
        <v>406</v>
      </c>
      <c r="D198" s="231">
        <v>187.46199999999999</v>
      </c>
      <c r="E198" s="140">
        <f>F198</f>
        <v>239.51</v>
      </c>
      <c r="F198" s="231">
        <v>239.51</v>
      </c>
      <c r="H198" s="175">
        <v>193.67500000000001</v>
      </c>
      <c r="I198" s="140">
        <f>J198</f>
        <v>253.41200000000001</v>
      </c>
      <c r="J198" s="231">
        <v>253.41200000000001</v>
      </c>
      <c r="L198" s="231">
        <v>195.709</v>
      </c>
      <c r="M198" s="140">
        <f>N198</f>
        <v>244.637</v>
      </c>
      <c r="N198" s="231">
        <v>244.637</v>
      </c>
      <c r="P198" s="175">
        <v>220.738</v>
      </c>
      <c r="Q198" s="140">
        <f>R198</f>
        <v>216.52799999999999</v>
      </c>
      <c r="R198" s="231">
        <v>216.52799999999999</v>
      </c>
      <c r="T198" s="231">
        <v>196.16200000000001</v>
      </c>
      <c r="U198" s="140">
        <f>V198</f>
        <v>215.18600000000001</v>
      </c>
      <c r="V198" s="231">
        <v>215.18600000000001</v>
      </c>
      <c r="W198" s="219"/>
      <c r="X198" s="231">
        <v>195.78200000000001</v>
      </c>
      <c r="Y198" s="140">
        <f>Z198</f>
        <v>242.904</v>
      </c>
      <c r="Z198" s="231">
        <v>242.904</v>
      </c>
      <c r="AA198" s="219"/>
      <c r="AB198" s="231">
        <v>238.70400000000001</v>
      </c>
      <c r="AC198" s="140">
        <f>AD198</f>
        <v>425.625</v>
      </c>
      <c r="AD198" s="231">
        <v>425.625</v>
      </c>
      <c r="AF198" s="231">
        <f>950.348+8.173</f>
        <v>958.52099999999996</v>
      </c>
      <c r="AG198" s="140">
        <f>AH198</f>
        <v>1086.2549999999999</v>
      </c>
      <c r="AH198" s="231">
        <f>1050.117+36.138</f>
        <v>1086.2549999999999</v>
      </c>
      <c r="AJ198" s="231">
        <f>969.679+17.529</f>
        <v>987.20799999999997</v>
      </c>
      <c r="AK198" s="140">
        <f>AL198</f>
        <v>1206.1610000000001</v>
      </c>
      <c r="AL198" s="231">
        <f>1044.118+162.043</f>
        <v>1206.1610000000001</v>
      </c>
      <c r="AN198" s="175">
        <f>1136.331+203.297</f>
        <v>1339.6279999999999</v>
      </c>
      <c r="AO198" s="140">
        <f>AP198</f>
        <v>1295.855</v>
      </c>
      <c r="AP198" s="915">
        <f>1223.749+72.106</f>
        <v>1295.855</v>
      </c>
      <c r="AR198" s="466">
        <f>+AR199*AR$118/AR$7</f>
        <v>1249.3321535928551</v>
      </c>
      <c r="AS198" s="466">
        <f>+AS199*AS$118/AS$7</f>
        <v>1348.7409094924326</v>
      </c>
      <c r="AT198" s="466">
        <f>+AS198</f>
        <v>1348.7409094924326</v>
      </c>
      <c r="AV198" s="466">
        <f>+AV199*AV$118/AV$7</f>
        <v>1301.4300938594911</v>
      </c>
      <c r="AW198" s="466">
        <f>+AW199*AW$118/AW$7</f>
        <v>1408.0514624734817</v>
      </c>
      <c r="AX198" s="466">
        <f>+AW198</f>
        <v>1408.0514624734817</v>
      </c>
      <c r="AZ198" s="466">
        <f>+AZ199*AZ$118/AZ$7</f>
        <v>1340.402413857302</v>
      </c>
      <c r="BA198" s="466">
        <f>+BA199*BA$118/BA$7</f>
        <v>1444.9211554223541</v>
      </c>
      <c r="BB198" s="466">
        <f>+BA198</f>
        <v>1444.9211554223541</v>
      </c>
      <c r="BD198" s="466">
        <f>+BD199*BD$118/BD$7</f>
        <v>1365.7353569213008</v>
      </c>
      <c r="BE198" s="466">
        <f>+BE199*BE$118/BE$7</f>
        <v>1482.805176666152</v>
      </c>
      <c r="BF198" s="466">
        <f>+BE198</f>
        <v>1482.805176666152</v>
      </c>
      <c r="BH198" s="466">
        <f>+BH199*BH$118/BH$7</f>
        <v>1395.4613233220989</v>
      </c>
      <c r="BI198" s="466">
        <f>+BI199*BI$118/BI$7</f>
        <v>1517.5073531949661</v>
      </c>
      <c r="BJ198" s="466">
        <f>+BI198</f>
        <v>1517.5073531949661</v>
      </c>
      <c r="BL198" s="466">
        <f>+BL199*BL$118/BL$7</f>
        <v>1425.9202611401397</v>
      </c>
      <c r="BM198" s="466">
        <f>+BM199*BM$118/BM$7</f>
        <v>1553.041751313677</v>
      </c>
      <c r="BN198" s="466">
        <f>+BM198</f>
        <v>1553.041751313677</v>
      </c>
      <c r="BP198" s="466">
        <f>+BP199*BP$118/BP$7</f>
        <v>1461.1048853385655</v>
      </c>
      <c r="BQ198" s="466">
        <f>+BQ199*BQ$118/BQ$7</f>
        <v>1585.0047150593844</v>
      </c>
      <c r="BR198" s="466">
        <f>+BQ198</f>
        <v>1585.0047150593844</v>
      </c>
      <c r="BT198" s="466">
        <f>+BT199*BT$118/BT$7</f>
        <v>1489.0377517908726</v>
      </c>
      <c r="BU198" s="466">
        <f>+BU199*BU$118/BU$7</f>
        <v>1626.5999216531072</v>
      </c>
      <c r="BV198" s="466">
        <f>+BU198</f>
        <v>1626.5999216531072</v>
      </c>
      <c r="BX198" s="466">
        <f>+BX199*BX$118/BX$7</f>
        <v>1521.6919668150626</v>
      </c>
      <c r="BY198" s="466">
        <f>+BY199*BY$118/BY$7</f>
        <v>1664.6142323767635</v>
      </c>
      <c r="BZ198" s="466">
        <f>+BY198</f>
        <v>1664.6142323767635</v>
      </c>
    </row>
    <row r="199" spans="1:78" s="161" customFormat="1">
      <c r="A199" s="532"/>
      <c r="B199" s="251" t="s">
        <v>385</v>
      </c>
      <c r="C199" s="161" t="s">
        <v>39</v>
      </c>
      <c r="D199" s="245">
        <f>+D198/D$118*D$7</f>
        <v>0.45149899516528508</v>
      </c>
      <c r="E199" s="245">
        <f>+E198/E$118*E$7</f>
        <v>0.50511731340397381</v>
      </c>
      <c r="F199" s="245">
        <f>+F198/F$118*F$7</f>
        <v>0.53880347879295065</v>
      </c>
      <c r="H199" s="245">
        <f>+H198/H$118*H$7</f>
        <v>0.45691846918042228</v>
      </c>
      <c r="I199" s="245">
        <f>+I198/I$118*I$7</f>
        <v>0.50160094848825798</v>
      </c>
      <c r="J199" s="245">
        <f>+J198/J$118*J$7</f>
        <v>0.54590536508654597</v>
      </c>
      <c r="L199" s="245">
        <f>+L198/L$118*L$7</f>
        <v>0.43299883064140376</v>
      </c>
      <c r="M199" s="245">
        <f>+M198/M$118*M$7</f>
        <v>0.45368345998352044</v>
      </c>
      <c r="N199" s="245">
        <f>+N198/N$118*N$7</f>
        <v>0.49397067316040921</v>
      </c>
      <c r="P199" s="245">
        <f>+P198/P$118*P$7</f>
        <v>0.41964551571558084</v>
      </c>
      <c r="Q199" s="245">
        <f>+Q198/Q$118*Q$7</f>
        <v>0.38842742691397047</v>
      </c>
      <c r="R199" s="245">
        <f>+R198/R$118*R$7</f>
        <v>0.3997932053175775</v>
      </c>
      <c r="T199" s="245">
        <f>+T198/T$118*T$7</f>
        <v>0.36238516368332346</v>
      </c>
      <c r="U199" s="245">
        <f>+U198/U$118*U$7</f>
        <v>0.3434217311786178</v>
      </c>
      <c r="V199" s="245">
        <f>+V198/V$118*V$7</f>
        <v>0.368647189224934</v>
      </c>
      <c r="X199" s="245">
        <f>+X198/X$118*X$7</f>
        <v>0.31740629683043842</v>
      </c>
      <c r="Y199" s="245">
        <f>+Y198/Y$118*Y$7</f>
        <v>0.35342962549531898</v>
      </c>
      <c r="Z199" s="245">
        <f>+Z198/Z$118*Z$7</f>
        <v>0.37269047714028825</v>
      </c>
      <c r="AB199" s="245">
        <f>+AB198/AB$118*AB$7</f>
        <v>0.36765345353640622</v>
      </c>
      <c r="AC199" s="245">
        <f>+AC198/AC$118*AC$7</f>
        <v>0.59241715123865601</v>
      </c>
      <c r="AD199" s="245">
        <f>+AD198/AD$118*AD$7</f>
        <v>0.61731304751406868</v>
      </c>
      <c r="AF199" s="552">
        <f>+AF198/AF$118*AF$7</f>
        <v>1.0366866067308738</v>
      </c>
      <c r="AG199" s="245">
        <f>+AG198/AG$118*AG$7</f>
        <v>0.83477602456637257</v>
      </c>
      <c r="AH199" s="245">
        <f>+AH198/AH$118*AH$7</f>
        <v>0.97739385034268211</v>
      </c>
      <c r="AJ199" s="552">
        <f>+AJ198/AJ$118*AJ$7</f>
        <v>0.78071620200957426</v>
      </c>
      <c r="AK199" s="245">
        <f>+AK198/AK$118*AK$7</f>
        <v>0.86179593423012824</v>
      </c>
      <c r="AL199" s="552">
        <f>+AL198/AL$118*AL$7</f>
        <v>0.90573503052129889</v>
      </c>
      <c r="AN199" s="885">
        <f>+AN198/AN$118*AN$7</f>
        <v>0.94781659024273013</v>
      </c>
      <c r="AO199" s="245">
        <f>+AO198/AO$118*AO$7</f>
        <v>0.81476108595556074</v>
      </c>
      <c r="AP199" s="552">
        <f>+AP198/AP$118*AP$7</f>
        <v>0.86320011297463017</v>
      </c>
      <c r="AR199" s="468">
        <f>+AO199+1%</f>
        <v>0.82476108595556075</v>
      </c>
      <c r="AS199" s="520">
        <f t="shared" ref="AS199" si="792">+AR199-1.25%</f>
        <v>0.81226108595556079</v>
      </c>
      <c r="AT199" s="245">
        <f>+AT198/AT$118*AT$7</f>
        <v>0.8498521181613331</v>
      </c>
      <c r="AV199" s="468">
        <f>+AS199+1%</f>
        <v>0.8222610859555608</v>
      </c>
      <c r="AW199" s="520">
        <f t="shared" ref="AW199" si="793">+AV199-1.25%</f>
        <v>0.80976108595556084</v>
      </c>
      <c r="AX199" s="245">
        <f>+AX198/AX$118*AX$7</f>
        <v>0.84814443497984982</v>
      </c>
      <c r="AZ199" s="245">
        <f t="shared" ref="AZ199" si="794">+AW199</f>
        <v>0.80976108595556084</v>
      </c>
      <c r="BA199" s="520">
        <f t="shared" ref="BA199" si="795">+AZ199-1.25%</f>
        <v>0.79726108595556089</v>
      </c>
      <c r="BB199" s="245">
        <f>+BB198/BB$118*BB$7</f>
        <v>0.83357530211805908</v>
      </c>
      <c r="BD199" s="245">
        <f t="shared" ref="BD199" si="796">+BA199</f>
        <v>0.79726108595556089</v>
      </c>
      <c r="BE199" s="520">
        <f t="shared" ref="BE199" si="797">+BD199-1.25%</f>
        <v>0.78476108595556093</v>
      </c>
      <c r="BF199" s="245">
        <f>+BF198/BF$118*BF$7</f>
        <v>0.82353302750089563</v>
      </c>
      <c r="BH199" s="245">
        <f t="shared" ref="BH199" si="798">+BE199</f>
        <v>0.78476108595556093</v>
      </c>
      <c r="BI199" s="520">
        <f t="shared" ref="BI199" si="799">+BH199-1.25%</f>
        <v>0.77226108595556098</v>
      </c>
      <c r="BJ199" s="245">
        <f>+BJ198/BJ$118*BJ$7</f>
        <v>0.81113647072983075</v>
      </c>
      <c r="BL199" s="245">
        <f t="shared" ref="BL199" si="800">+BI199</f>
        <v>0.77226108595556098</v>
      </c>
      <c r="BM199" s="520">
        <f t="shared" ref="BM199" si="801">+BL199-1.25%</f>
        <v>0.75976108595556102</v>
      </c>
      <c r="BN199" s="245">
        <f>+BN198/BN$118*BN$7</f>
        <v>0.79870157707944289</v>
      </c>
      <c r="BP199" s="245">
        <f t="shared" ref="BP199" si="802">+BM199</f>
        <v>0.75976108595556102</v>
      </c>
      <c r="BQ199" s="520">
        <f t="shared" ref="BQ199" si="803">+BP199-1.25%</f>
        <v>0.74726108595556107</v>
      </c>
      <c r="BR199" s="245">
        <f>+BR198/BR$118*BR$7</f>
        <v>0.78405131703213571</v>
      </c>
      <c r="BT199" s="245">
        <f t="shared" ref="BT199" si="804">+BQ199</f>
        <v>0.74726108595556107</v>
      </c>
      <c r="BU199" s="520">
        <f t="shared" ref="BU199" si="805">+BT199-1.25%</f>
        <v>0.73476108595556111</v>
      </c>
      <c r="BV199" s="245">
        <f>+BV198/BV$118*BV$7</f>
        <v>0.77371957643671185</v>
      </c>
      <c r="BX199" s="245">
        <f t="shared" ref="BX199" si="806">+BU199</f>
        <v>0.73476108595556111</v>
      </c>
      <c r="BY199" s="520">
        <f t="shared" ref="BY199" si="807">+BX199-1.25%</f>
        <v>0.72226108595556116</v>
      </c>
      <c r="BZ199" s="245">
        <f>+BZ198/BZ$118*BZ$7</f>
        <v>0.76117392344982515</v>
      </c>
    </row>
    <row r="200" spans="1:78" s="161" customFormat="1">
      <c r="A200" s="148"/>
      <c r="B200" s="160"/>
      <c r="D200" s="237"/>
      <c r="F200" s="237"/>
      <c r="H200" s="174"/>
      <c r="J200" s="237"/>
      <c r="L200" s="237"/>
      <c r="N200" s="237"/>
      <c r="P200" s="174"/>
      <c r="R200" s="237"/>
      <c r="T200" s="237"/>
      <c r="V200" s="237"/>
      <c r="W200" s="218"/>
      <c r="X200" s="237"/>
      <c r="Z200" s="237"/>
      <c r="AA200" s="218"/>
      <c r="AB200" s="237"/>
      <c r="AD200" s="237"/>
      <c r="AF200" s="237"/>
      <c r="AH200" s="237"/>
      <c r="AJ200" s="237"/>
      <c r="AL200" s="237"/>
      <c r="AN200" s="174"/>
      <c r="AP200" s="237"/>
      <c r="AR200" s="237"/>
      <c r="AV200" s="237"/>
      <c r="AZ200" s="237"/>
      <c r="BD200" s="237"/>
      <c r="BH200" s="237"/>
      <c r="BL200" s="237"/>
      <c r="BP200" s="237"/>
      <c r="BT200" s="237"/>
      <c r="BX200" s="237"/>
    </row>
    <row r="201" spans="1:78" s="161" customFormat="1">
      <c r="A201" s="148"/>
      <c r="B201" s="160" t="s">
        <v>231</v>
      </c>
      <c r="C201" s="155" t="s">
        <v>406</v>
      </c>
      <c r="D201" s="230"/>
      <c r="E201" s="161">
        <f>F201</f>
        <v>0</v>
      </c>
      <c r="F201" s="230"/>
      <c r="H201" s="181"/>
      <c r="I201" s="161">
        <f>J201</f>
        <v>0</v>
      </c>
      <c r="J201" s="230"/>
      <c r="L201" s="230"/>
      <c r="M201" s="161">
        <f>N201</f>
        <v>0</v>
      </c>
      <c r="N201" s="230"/>
      <c r="P201" s="181"/>
      <c r="Q201" s="161">
        <f>R201</f>
        <v>5.59</v>
      </c>
      <c r="R201" s="230">
        <v>5.59</v>
      </c>
      <c r="T201" s="230">
        <v>0</v>
      </c>
      <c r="U201" s="161">
        <f>V201</f>
        <v>6.2430000000000003</v>
      </c>
      <c r="V201" s="230">
        <v>6.2430000000000003</v>
      </c>
      <c r="W201" s="218"/>
      <c r="X201" s="230">
        <v>6.44</v>
      </c>
      <c r="Y201" s="161">
        <f>Z201</f>
        <v>7.1660000000000004</v>
      </c>
      <c r="Z201" s="230">
        <v>7.1660000000000004</v>
      </c>
      <c r="AA201" s="218"/>
      <c r="AB201" s="230">
        <v>7.2679999999999998</v>
      </c>
      <c r="AC201" s="161">
        <f>AD201</f>
        <v>10.384</v>
      </c>
      <c r="AD201" s="230">
        <v>10.384</v>
      </c>
      <c r="AF201" s="230">
        <v>23.151</v>
      </c>
      <c r="AG201" s="161">
        <f>AH201</f>
        <v>30.827000000000002</v>
      </c>
      <c r="AH201" s="230">
        <v>30.827000000000002</v>
      </c>
      <c r="AJ201" s="230">
        <v>30.417999999999999</v>
      </c>
      <c r="AK201" s="161">
        <f>AL201</f>
        <v>31.016999999999999</v>
      </c>
      <c r="AL201" s="230">
        <v>31.016999999999999</v>
      </c>
      <c r="AM201" s="136"/>
      <c r="AN201" s="181">
        <v>32.015000000000001</v>
      </c>
      <c r="AO201" s="161">
        <f>AP201</f>
        <v>32.465000000000003</v>
      </c>
      <c r="AP201" s="916">
        <v>32.465000000000003</v>
      </c>
      <c r="AQ201" s="136"/>
      <c r="AR201" s="469">
        <f>+AR202*AR$118/AR$7</f>
        <v>30.919967759208699</v>
      </c>
      <c r="AS201" s="469">
        <f>+AS202*AS$118/AS$7</f>
        <v>33.893948086017794</v>
      </c>
      <c r="AT201" s="469">
        <f>+AS201</f>
        <v>33.893948086017794</v>
      </c>
      <c r="AU201" s="136"/>
      <c r="AV201" s="469">
        <f>+AV202*AV$118/AV$7</f>
        <v>32.307279158840629</v>
      </c>
      <c r="AW201" s="469">
        <f>+AW202*AW$118/AW$7</f>
        <v>35.493669611450429</v>
      </c>
      <c r="AX201" s="469">
        <f>+AW201</f>
        <v>35.493669611450429</v>
      </c>
      <c r="AY201" s="136"/>
      <c r="AZ201" s="469">
        <f>+AZ202*AZ$118/AZ$7</f>
        <v>33.788396015204398</v>
      </c>
      <c r="BA201" s="469">
        <f>+BA202*BA$118/BA$7</f>
        <v>36.994133518568717</v>
      </c>
      <c r="BB201" s="469">
        <f>+BA201</f>
        <v>36.994133518568717</v>
      </c>
      <c r="BC201" s="136"/>
      <c r="BD201" s="469">
        <f>+BD202*BD$118/BD$7</f>
        <v>34.966749538806738</v>
      </c>
      <c r="BE201" s="469">
        <f>+BE202*BE$118/BE$7</f>
        <v>38.568780823776649</v>
      </c>
      <c r="BF201" s="469">
        <f>+BE201</f>
        <v>38.568780823776649</v>
      </c>
      <c r="BG201" s="136"/>
      <c r="BH201" s="469">
        <f>+BH202*BH$118/BH$7</f>
        <v>36.296907223021527</v>
      </c>
      <c r="BI201" s="469">
        <f>+BI202*BI$118/BI$7</f>
        <v>40.110301783439887</v>
      </c>
      <c r="BJ201" s="469">
        <f>+BI201</f>
        <v>40.110301783439887</v>
      </c>
      <c r="BK201" s="136"/>
      <c r="BL201" s="469">
        <f>+BL202*BL$118/BL$7</f>
        <v>37.689499080868202</v>
      </c>
      <c r="BM201" s="469">
        <f>+BM202*BM$118/BM$7</f>
        <v>41.724905554932121</v>
      </c>
      <c r="BN201" s="469">
        <f>+BM201</f>
        <v>41.724905554932121</v>
      </c>
      <c r="BO201" s="136"/>
      <c r="BP201" s="469">
        <f>+BP202*BP$118/BP$7</f>
        <v>39.254877272316307</v>
      </c>
      <c r="BQ201" s="469">
        <f>+BQ202*BQ$118/BQ$7</f>
        <v>43.295969459700139</v>
      </c>
      <c r="BR201" s="469">
        <f>+BQ201</f>
        <v>43.295969459700139</v>
      </c>
      <c r="BS201" s="136"/>
      <c r="BT201" s="469">
        <f>+BT202*BT$118/BT$7</f>
        <v>40.674537061842578</v>
      </c>
      <c r="BU201" s="469">
        <f>+BU202*BU$118/BU$7</f>
        <v>45.188078702832634</v>
      </c>
      <c r="BV201" s="469">
        <f>+BU201</f>
        <v>45.188078702832634</v>
      </c>
      <c r="BW201" s="136"/>
      <c r="BX201" s="469">
        <f>+BX202*BX$118/BX$7</f>
        <v>42.273662652107063</v>
      </c>
      <c r="BY201" s="469">
        <f>+BY202*BY$118/BY$7</f>
        <v>47.044479056849745</v>
      </c>
      <c r="BZ201" s="469">
        <f>+BY201</f>
        <v>47.044479056849745</v>
      </c>
    </row>
    <row r="202" spans="1:78" s="161" customFormat="1">
      <c r="A202" s="532"/>
      <c r="B202" s="251" t="s">
        <v>385</v>
      </c>
      <c r="C202" s="161" t="s">
        <v>39</v>
      </c>
      <c r="D202" s="245">
        <f>+D201/D$118*D$7</f>
        <v>0</v>
      </c>
      <c r="E202" s="245">
        <f>+E201/E$118*E$7</f>
        <v>0</v>
      </c>
      <c r="F202" s="245">
        <f>+F201/F$118*F$7</f>
        <v>0</v>
      </c>
      <c r="H202" s="245">
        <f>+H201/H$118*H$7</f>
        <v>0</v>
      </c>
      <c r="I202" s="245">
        <f>+I201/I$118*I$7</f>
        <v>0</v>
      </c>
      <c r="J202" s="245">
        <f>+J201/J$118*J$7</f>
        <v>0</v>
      </c>
      <c r="L202" s="245">
        <f>+L201/L$118*L$7</f>
        <v>0</v>
      </c>
      <c r="M202" s="245">
        <f>+M201/M$118*M$7</f>
        <v>0</v>
      </c>
      <c r="N202" s="245">
        <f>+N201/N$118*N$7</f>
        <v>0</v>
      </c>
      <c r="P202" s="245">
        <f>+P201/P$118*P$7</f>
        <v>0</v>
      </c>
      <c r="Q202" s="245">
        <f>+Q201/Q$118*Q$7</f>
        <v>1.0027845435459131E-2</v>
      </c>
      <c r="R202" s="245">
        <f>+R201/R$118*R$7</f>
        <v>1.0321270310192024E-2</v>
      </c>
      <c r="T202" s="245">
        <f>+T201/T$118*T$7</f>
        <v>0</v>
      </c>
      <c r="U202" s="245">
        <f>+U201/U$118*U$7</f>
        <v>9.9633891970114727E-3</v>
      </c>
      <c r="V202" s="245">
        <f>+V201/V$118*V$7</f>
        <v>1.0695232972085838E-2</v>
      </c>
      <c r="X202" s="245">
        <f>+X201/X$118*X$7</f>
        <v>1.0440676628025168E-2</v>
      </c>
      <c r="Y202" s="245">
        <f>+Y201/Y$118*Y$7</f>
        <v>1.0426657017996641E-2</v>
      </c>
      <c r="Z202" s="245">
        <f>+Z201/Z$118*Z$7</f>
        <v>1.0994878467161124E-2</v>
      </c>
      <c r="AB202" s="245">
        <f>+AB201/AB$118*AB$7</f>
        <v>1.1194220877331761E-2</v>
      </c>
      <c r="AC202" s="245">
        <f>+AC201/AC$118*AC$7</f>
        <v>1.4453238645432492E-2</v>
      </c>
      <c r="AD202" s="245">
        <f>+AD201/AD$118*AD$7</f>
        <v>1.5060625398851311E-2</v>
      </c>
      <c r="AF202" s="552">
        <f>+AF201/AF$118*AF$7</f>
        <v>2.5038921038168658E-2</v>
      </c>
      <c r="AG202" s="245">
        <f>+AG201/AG$118*AG$7</f>
        <v>2.3690238948780508E-2</v>
      </c>
      <c r="AH202" s="245">
        <f>+AH201/AH$118*AH$7</f>
        <v>2.7737612461635499E-2</v>
      </c>
      <c r="AJ202" s="552">
        <f>+AJ201/AJ$118*AJ$7</f>
        <v>2.4055543950947753E-2</v>
      </c>
      <c r="AK202" s="245">
        <f>+AK201/AK$118*AK$7</f>
        <v>2.2161489628677998E-2</v>
      </c>
      <c r="AL202" s="552">
        <f>+AL201/AL$118*AL$7</f>
        <v>2.3291404250078661E-2</v>
      </c>
      <c r="AN202" s="885">
        <f>+AN201/AN$118*AN$7</f>
        <v>2.2651324200913245E-2</v>
      </c>
      <c r="AO202" s="245">
        <f>+AO201/AO$118*AO$7</f>
        <v>2.0412174707469033E-2</v>
      </c>
      <c r="AP202" s="552">
        <f>+AP201/AP$118*AP$7</f>
        <v>2.1625715583704481E-2</v>
      </c>
      <c r="AR202" s="468">
        <f>+AO202</f>
        <v>2.0412174707469033E-2</v>
      </c>
      <c r="AS202" s="468">
        <f>+AR202</f>
        <v>2.0412174707469033E-2</v>
      </c>
      <c r="AT202" s="245">
        <f>+AT201/AT$118*AT$7</f>
        <v>2.1356839828186511E-2</v>
      </c>
      <c r="AV202" s="468">
        <f>+AS202</f>
        <v>2.0412174707469033E-2</v>
      </c>
      <c r="AW202" s="468">
        <f>+AV202</f>
        <v>2.0412174707469033E-2</v>
      </c>
      <c r="AX202" s="245">
        <f>+AX201/AX$118*AX$7</f>
        <v>2.1379728767216166E-2</v>
      </c>
      <c r="AZ202" s="468">
        <f>+AW202</f>
        <v>2.0412174707469033E-2</v>
      </c>
      <c r="BA202" s="468">
        <f>+AZ202</f>
        <v>2.0412174707469033E-2</v>
      </c>
      <c r="BB202" s="245">
        <f>+BB201/BB$118*BB$7</f>
        <v>2.1341922989094091E-2</v>
      </c>
      <c r="BD202" s="468">
        <f>+BA202</f>
        <v>2.0412174707469033E-2</v>
      </c>
      <c r="BE202" s="468">
        <f>+BD202</f>
        <v>2.0412174707469033E-2</v>
      </c>
      <c r="BF202" s="245">
        <f>+BF201/BF$118*BF$7</f>
        <v>2.1420659530091805E-2</v>
      </c>
      <c r="BH202" s="468">
        <f>+BE202</f>
        <v>2.0412174707469033E-2</v>
      </c>
      <c r="BI202" s="468">
        <f>+BH202</f>
        <v>2.0412174707469033E-2</v>
      </c>
      <c r="BJ202" s="245">
        <f>+BJ201/BJ$118*BJ$7</f>
        <v>2.1439717283760568E-2</v>
      </c>
      <c r="BL202" s="468">
        <f>+BI202</f>
        <v>2.0412174707469033E-2</v>
      </c>
      <c r="BM202" s="468">
        <f>+BL202</f>
        <v>2.0412174707469033E-2</v>
      </c>
      <c r="BN202" s="245">
        <f>+BN201/BN$118*BN$7</f>
        <v>2.1458372153888152E-2</v>
      </c>
      <c r="BP202" s="468">
        <f>+BM202</f>
        <v>2.0412174707469033E-2</v>
      </c>
      <c r="BQ202" s="468">
        <f>+BP202</f>
        <v>2.0412174707469033E-2</v>
      </c>
      <c r="BR202" s="245">
        <f>+BR201/BR$118*BR$7</f>
        <v>2.1417136210720469E-2</v>
      </c>
      <c r="BT202" s="468">
        <f>+BQ202</f>
        <v>2.0412174707469033E-2</v>
      </c>
      <c r="BU202" s="468">
        <f>+BT202</f>
        <v>2.0412174707469033E-2</v>
      </c>
      <c r="BV202" s="245">
        <f>+BV201/BV$118*BV$7</f>
        <v>2.1494468706485491E-2</v>
      </c>
      <c r="BX202" s="468">
        <f>+BU202</f>
        <v>2.0412174707469033E-2</v>
      </c>
      <c r="BY202" s="468">
        <f>+BX202</f>
        <v>2.0412174707469033E-2</v>
      </c>
      <c r="BZ202" s="245">
        <f>+BZ201/BZ$118*BZ$7</f>
        <v>2.1511909488618711E-2</v>
      </c>
    </row>
    <row r="203" spans="1:78" s="161" customFormat="1">
      <c r="A203" s="148"/>
      <c r="B203" s="160"/>
      <c r="D203" s="237"/>
      <c r="F203" s="237"/>
      <c r="H203" s="174"/>
      <c r="J203" s="237"/>
      <c r="L203" s="237"/>
      <c r="N203" s="237"/>
      <c r="P203" s="174"/>
      <c r="R203" s="237"/>
      <c r="T203" s="237"/>
      <c r="V203" s="237"/>
      <c r="W203" s="218"/>
      <c r="X203" s="237"/>
      <c r="Z203" s="237"/>
      <c r="AA203" s="218"/>
      <c r="AB203" s="237"/>
      <c r="AD203" s="237"/>
      <c r="AF203" s="237"/>
      <c r="AH203" s="237"/>
      <c r="AJ203" s="237"/>
      <c r="AL203" s="237"/>
      <c r="AN203" s="174"/>
      <c r="AP203" s="237"/>
      <c r="AR203" s="237"/>
      <c r="AV203" s="237"/>
      <c r="AZ203" s="237"/>
      <c r="BD203" s="237"/>
      <c r="BH203" s="237"/>
      <c r="BL203" s="237"/>
      <c r="BP203" s="237"/>
      <c r="BT203" s="237"/>
      <c r="BX203" s="237"/>
    </row>
    <row r="204" spans="1:78" s="161" customFormat="1">
      <c r="A204" s="148"/>
      <c r="B204" s="160" t="s">
        <v>232</v>
      </c>
      <c r="C204" s="155" t="s">
        <v>406</v>
      </c>
      <c r="D204" s="230">
        <v>3.25</v>
      </c>
      <c r="E204" s="161">
        <f>F204</f>
        <v>5.593</v>
      </c>
      <c r="F204" s="230">
        <v>5.593</v>
      </c>
      <c r="H204" s="181">
        <v>2.6659999999999999</v>
      </c>
      <c r="I204" s="161">
        <f>J204</f>
        <v>4.7060000000000004</v>
      </c>
      <c r="J204" s="230">
        <v>4.7060000000000004</v>
      </c>
      <c r="L204" s="230">
        <v>4.6589999999999998</v>
      </c>
      <c r="M204" s="161">
        <f>N204</f>
        <v>5.14</v>
      </c>
      <c r="N204" s="230">
        <v>5.14</v>
      </c>
      <c r="P204" s="181">
        <v>3.8039999999999998</v>
      </c>
      <c r="Q204" s="161">
        <f>R204</f>
        <v>6.5330000000000004</v>
      </c>
      <c r="R204" s="230">
        <v>6.5330000000000004</v>
      </c>
      <c r="T204" s="230">
        <v>5.4610000000000003</v>
      </c>
      <c r="U204" s="161">
        <f>V204</f>
        <v>9.3659999999999997</v>
      </c>
      <c r="V204" s="230">
        <v>9.3659999999999997</v>
      </c>
      <c r="W204" s="218"/>
      <c r="X204" s="230">
        <v>5.9790000000000001</v>
      </c>
      <c r="Y204" s="161">
        <f>Z204</f>
        <v>9.7059999999999995</v>
      </c>
      <c r="Z204" s="230">
        <v>9.7059999999999995</v>
      </c>
      <c r="AA204" s="218"/>
      <c r="AB204" s="230">
        <v>6.3559999999999999</v>
      </c>
      <c r="AC204" s="161">
        <f>AD204</f>
        <v>7.9669999999999996</v>
      </c>
      <c r="AD204" s="230">
        <v>7.9669999999999996</v>
      </c>
      <c r="AF204" s="230">
        <v>17.219000000000001</v>
      </c>
      <c r="AG204" s="161">
        <f>AH204</f>
        <v>26.481999999999999</v>
      </c>
      <c r="AH204" s="230">
        <v>26.481999999999999</v>
      </c>
      <c r="AJ204" s="230">
        <v>17.707999999999998</v>
      </c>
      <c r="AK204" s="161">
        <f>AL204</f>
        <v>25.378</v>
      </c>
      <c r="AL204" s="230">
        <v>25.378</v>
      </c>
      <c r="AM204" s="136"/>
      <c r="AN204" s="181">
        <v>18.004999999999999</v>
      </c>
      <c r="AO204" s="161">
        <f>AP204</f>
        <v>30.006</v>
      </c>
      <c r="AP204" s="916">
        <v>30.006</v>
      </c>
      <c r="AQ204" s="136"/>
      <c r="AR204" s="469">
        <f>+AR205*AR$118/AR$7</f>
        <v>28.577993303028375</v>
      </c>
      <c r="AS204" s="469">
        <f>+AS205*AS$118/AS$7</f>
        <v>31.326715116865849</v>
      </c>
      <c r="AT204" s="469">
        <f>+AS204</f>
        <v>31.326715116865849</v>
      </c>
      <c r="AU204" s="136"/>
      <c r="AV204" s="469">
        <f>+AV205*AV$118/AV$7</f>
        <v>29.860225425540484</v>
      </c>
      <c r="AW204" s="469">
        <f>+AW205*AW$118/AW$7</f>
        <v>32.805268762087834</v>
      </c>
      <c r="AX204" s="469">
        <f>+AW204</f>
        <v>32.805268762087834</v>
      </c>
      <c r="AY204" s="136"/>
      <c r="AZ204" s="469">
        <f>+AZ205*AZ$118/AZ$7</f>
        <v>31.229157887947732</v>
      </c>
      <c r="BA204" s="469">
        <f>+BA205*BA$118/BA$7</f>
        <v>34.192082869495543</v>
      </c>
      <c r="BB204" s="469">
        <f>+BA204</f>
        <v>34.192082869495543</v>
      </c>
      <c r="BC204" s="136"/>
      <c r="BD204" s="469">
        <f>+BD205*BD$118/BD$7</f>
        <v>32.318259253393961</v>
      </c>
      <c r="BE204" s="469">
        <f>+BE205*BE$118/BE$7</f>
        <v>35.647461493862373</v>
      </c>
      <c r="BF204" s="469">
        <f>+BE204</f>
        <v>35.647461493862373</v>
      </c>
      <c r="BG204" s="136"/>
      <c r="BH204" s="469">
        <f>+BH205*BH$118/BH$7</f>
        <v>33.547666660526225</v>
      </c>
      <c r="BI204" s="469">
        <f>+BI205*BI$118/BI$7</f>
        <v>37.072222865051508</v>
      </c>
      <c r="BJ204" s="469">
        <f>+BI204</f>
        <v>37.072222865051508</v>
      </c>
      <c r="BK204" s="136"/>
      <c r="BL204" s="469">
        <f>+BL205*BL$118/BL$7</f>
        <v>34.834779282936438</v>
      </c>
      <c r="BM204" s="469">
        <f>+BM205*BM$118/BM$7</f>
        <v>38.564531528763069</v>
      </c>
      <c r="BN204" s="469">
        <f>+BM204</f>
        <v>38.564531528763069</v>
      </c>
      <c r="BO204" s="136"/>
      <c r="BP204" s="469">
        <f>+BP205*BP$118/BP$7</f>
        <v>36.281590865027667</v>
      </c>
      <c r="BQ204" s="469">
        <f>+BQ205*BQ$118/BQ$7</f>
        <v>40.01659817057638</v>
      </c>
      <c r="BR204" s="469">
        <f>+BQ204</f>
        <v>40.01659817057638</v>
      </c>
      <c r="BS204" s="136"/>
      <c r="BT204" s="469">
        <f>+BT205*BT$118/BT$7</f>
        <v>37.593721209845938</v>
      </c>
      <c r="BU204" s="469">
        <f>+BU205*BU$118/BU$7</f>
        <v>41.765393179029594</v>
      </c>
      <c r="BV204" s="469">
        <f>+BU204</f>
        <v>41.765393179029594</v>
      </c>
      <c r="BW204" s="136"/>
      <c r="BX204" s="469">
        <f>+BX205*BX$118/BX$7</f>
        <v>39.071724057881553</v>
      </c>
      <c r="BY204" s="469">
        <f>+BY205*BY$118/BY$7</f>
        <v>43.481184000610924</v>
      </c>
      <c r="BZ204" s="469">
        <f>+BY204</f>
        <v>43.481184000610924</v>
      </c>
    </row>
    <row r="205" spans="1:78" s="161" customFormat="1">
      <c r="A205" s="532"/>
      <c r="B205" s="251" t="s">
        <v>385</v>
      </c>
      <c r="C205" s="161" t="s">
        <v>39</v>
      </c>
      <c r="D205" s="245">
        <f>+D204/D$118*D$7</f>
        <v>7.827568970176231E-3</v>
      </c>
      <c r="E205" s="245">
        <f>+E204/E$118*E$7</f>
        <v>1.1795420374382803E-2</v>
      </c>
      <c r="F205" s="245">
        <f>+F204/F$118*F$7</f>
        <v>1.2582054431501703E-2</v>
      </c>
      <c r="H205" s="245">
        <f>+H204/H$118*H$7</f>
        <v>6.2896328325029328E-3</v>
      </c>
      <c r="I205" s="245">
        <f>+I204/I$118*I$7</f>
        <v>9.3150050652129404E-3</v>
      </c>
      <c r="J205" s="245">
        <f>+J204/J$118*J$7</f>
        <v>1.0137762411003762E-2</v>
      </c>
      <c r="L205" s="245">
        <f>+L204/L$118*L$7</f>
        <v>1.0307862959589492E-2</v>
      </c>
      <c r="M205" s="245">
        <f>+M204/M$118*M$7</f>
        <v>9.5322170575803927E-3</v>
      </c>
      <c r="N205" s="245">
        <f>+N204/N$118*N$7</f>
        <v>1.0378680494138266E-2</v>
      </c>
      <c r="P205" s="245">
        <f>+P204/P$118*P$7</f>
        <v>7.2317930840275326E-3</v>
      </c>
      <c r="Q205" s="245">
        <f>+Q204/Q$118*Q$7</f>
        <v>1.1719483762049107E-2</v>
      </c>
      <c r="R205" s="245">
        <f>+R204/R$118*R$7</f>
        <v>1.2062407680945348E-2</v>
      </c>
      <c r="T205" s="245">
        <f>+T204/T$118*T$7</f>
        <v>1.008852570260616E-2</v>
      </c>
      <c r="U205" s="245">
        <f>+U204/U$118*U$7</f>
        <v>1.4947477690086409E-2</v>
      </c>
      <c r="V205" s="245">
        <f>+V204/V$118*V$7</f>
        <v>1.6045419192144153E-2</v>
      </c>
      <c r="X205" s="245">
        <f>+X204/X$118*X$7</f>
        <v>9.6932927886587694E-3</v>
      </c>
      <c r="Y205" s="245">
        <f>+Y204/Y$118*Y$7</f>
        <v>1.4122402039725842E-2</v>
      </c>
      <c r="Z205" s="245">
        <f>+Z204/Z$118*Z$7</f>
        <v>1.4892030477569894E-2</v>
      </c>
      <c r="AB205" s="245">
        <f>+AB204/AB$118*AB$7</f>
        <v>9.7895525448982758E-3</v>
      </c>
      <c r="AC205" s="245">
        <f>+AC204/AC$118*AC$7</f>
        <v>1.108907475810484E-2</v>
      </c>
      <c r="AD205" s="245">
        <f>+AD204/AD$118*AD$7</f>
        <v>1.1555084991587864E-2</v>
      </c>
      <c r="AF205" s="552">
        <f>+AF204/AF$118*AF$7</f>
        <v>1.8623177459126006E-2</v>
      </c>
      <c r="AG205" s="245">
        <f>+AG204/AG$118*AG$7</f>
        <v>2.0351150220313537E-2</v>
      </c>
      <c r="AH205" s="245">
        <f>+AH204/AH$118*AH$7</f>
        <v>2.3828055055926011E-2</v>
      </c>
      <c r="AJ205" s="552">
        <f>+AJ204/AJ$118*AJ$7</f>
        <v>1.4004062472331606E-2</v>
      </c>
      <c r="AK205" s="245">
        <f>+AK204/AK$118*AK$7</f>
        <v>1.8132452648437637E-2</v>
      </c>
      <c r="AL205" s="552">
        <f>+AL204/AL$118*AL$7</f>
        <v>1.9056944806348008E-2</v>
      </c>
      <c r="AN205" s="885">
        <f>+AN204/AN$118*AN$7</f>
        <v>1.2738937755347273E-2</v>
      </c>
      <c r="AO205" s="245">
        <f>+AO204/AO$118*AO$7</f>
        <v>1.8866093154853405E-2</v>
      </c>
      <c r="AP205" s="552">
        <f>+AP204/AP$118*AP$7</f>
        <v>1.9987716673483338E-2</v>
      </c>
      <c r="AR205" s="468">
        <f>+AO205</f>
        <v>1.8866093154853405E-2</v>
      </c>
      <c r="AS205" s="468">
        <f>+AR205</f>
        <v>1.8866093154853405E-2</v>
      </c>
      <c r="AT205" s="245">
        <f>+AT204/AT$118*AT$7</f>
        <v>1.9739206403344044E-2</v>
      </c>
      <c r="AV205" s="468">
        <f>+AS205</f>
        <v>1.8866093154853405E-2</v>
      </c>
      <c r="AW205" s="468">
        <f>+AV205</f>
        <v>1.8866093154853405E-2</v>
      </c>
      <c r="AX205" s="245">
        <f>+AX204/AX$118*AX$7</f>
        <v>1.9760361662993629E-2</v>
      </c>
      <c r="AZ205" s="468">
        <f>+AW205</f>
        <v>1.8866093154853405E-2</v>
      </c>
      <c r="BA205" s="468">
        <f>+AZ205</f>
        <v>1.8866093154853405E-2</v>
      </c>
      <c r="BB205" s="245">
        <f>+BB204/BB$118*BB$7</f>
        <v>1.9725419412005459E-2</v>
      </c>
      <c r="BD205" s="468">
        <f>+BA205</f>
        <v>1.8866093154853405E-2</v>
      </c>
      <c r="BE205" s="468">
        <f>+BD205</f>
        <v>1.8866093154853405E-2</v>
      </c>
      <c r="BF205" s="245">
        <f>+BF204/BF$118*BF$7</f>
        <v>1.9798192202677794E-2</v>
      </c>
      <c r="BH205" s="468">
        <f>+BE205</f>
        <v>1.8866093154853405E-2</v>
      </c>
      <c r="BI205" s="468">
        <f>+BH205</f>
        <v>1.8866093154853405E-2</v>
      </c>
      <c r="BJ205" s="245">
        <f>+BJ204/BJ$118*BJ$7</f>
        <v>1.9815806462852907E-2</v>
      </c>
      <c r="BL205" s="468">
        <f>+BI205</f>
        <v>1.8866093154853405E-2</v>
      </c>
      <c r="BM205" s="468">
        <f>+BL205</f>
        <v>1.8866093154853405E-2</v>
      </c>
      <c r="BN205" s="245">
        <f>+BN204/BN$118*BN$7</f>
        <v>1.9833048355138386E-2</v>
      </c>
      <c r="BP205" s="468">
        <f>+BM205</f>
        <v>1.8866093154853405E-2</v>
      </c>
      <c r="BQ205" s="468">
        <f>+BP205</f>
        <v>1.8866093154853405E-2</v>
      </c>
      <c r="BR205" s="245">
        <f>+BR204/BR$118*BR$7</f>
        <v>1.9794935750465988E-2</v>
      </c>
      <c r="BT205" s="468">
        <f>+BQ205</f>
        <v>1.8866093154853405E-2</v>
      </c>
      <c r="BU205" s="468">
        <f>+BT205</f>
        <v>1.8866093154853405E-2</v>
      </c>
      <c r="BV205" s="245">
        <f>+BV204/BV$118*BV$7</f>
        <v>1.9866410842655276E-2</v>
      </c>
      <c r="BX205" s="468">
        <f>+BU205</f>
        <v>1.8866093154853405E-2</v>
      </c>
      <c r="BY205" s="468">
        <f>+BX205</f>
        <v>1.8866093154853405E-2</v>
      </c>
      <c r="BZ205" s="245">
        <f>+BZ204/BZ$118*BZ$7</f>
        <v>1.9882530605744436E-2</v>
      </c>
    </row>
    <row r="206" spans="1:78" s="161" customFormat="1">
      <c r="A206" s="148"/>
      <c r="B206" s="160"/>
      <c r="D206" s="218"/>
      <c r="F206" s="218"/>
      <c r="J206" s="218"/>
      <c r="L206" s="218"/>
      <c r="N206" s="218"/>
      <c r="R206" s="218"/>
      <c r="T206" s="218"/>
      <c r="V206" s="218"/>
      <c r="W206" s="218"/>
      <c r="X206" s="218"/>
      <c r="Z206" s="218"/>
      <c r="AA206" s="218"/>
      <c r="AB206" s="218"/>
      <c r="AD206" s="218"/>
      <c r="AF206" s="218"/>
      <c r="AH206" s="218"/>
      <c r="AJ206" s="218"/>
      <c r="AL206" s="218"/>
      <c r="AP206" s="218"/>
    </row>
    <row r="207" spans="1:78" s="161" customFormat="1">
      <c r="A207" s="148"/>
      <c r="B207" s="160" t="s">
        <v>233</v>
      </c>
      <c r="C207" s="155" t="s">
        <v>406</v>
      </c>
      <c r="D207" s="230">
        <v>10.951000000000001</v>
      </c>
      <c r="E207" s="161">
        <f>F207</f>
        <v>12.414999999999999</v>
      </c>
      <c r="F207" s="230">
        <v>12.414999999999999</v>
      </c>
      <c r="H207" s="181">
        <v>11.699</v>
      </c>
      <c r="I207" s="161">
        <f>J207</f>
        <v>15.244</v>
      </c>
      <c r="J207" s="230">
        <v>15.244</v>
      </c>
      <c r="L207" s="230">
        <v>12.558999999999999</v>
      </c>
      <c r="M207" s="161">
        <f>N207</f>
        <v>14.568</v>
      </c>
      <c r="N207" s="230">
        <v>14.568</v>
      </c>
      <c r="P207" s="181">
        <v>12.851000000000001</v>
      </c>
      <c r="Q207" s="161">
        <f>R207</f>
        <v>15.432</v>
      </c>
      <c r="R207" s="230">
        <v>15.432</v>
      </c>
      <c r="T207" s="230">
        <v>15.464</v>
      </c>
      <c r="U207" s="161">
        <f>V207</f>
        <v>17.494</v>
      </c>
      <c r="V207" s="230">
        <v>17.494</v>
      </c>
      <c r="W207" s="218"/>
      <c r="X207" s="230">
        <v>18.309999999999999</v>
      </c>
      <c r="Y207" s="161">
        <f>Z207</f>
        <v>20.68</v>
      </c>
      <c r="Z207" s="230">
        <v>20.68</v>
      </c>
      <c r="AA207" s="218"/>
      <c r="AB207" s="230">
        <v>20.157</v>
      </c>
      <c r="AC207" s="161">
        <f>AD207</f>
        <v>29.103999999999999</v>
      </c>
      <c r="AD207" s="230">
        <v>29.103999999999999</v>
      </c>
      <c r="AF207" s="230">
        <v>158.852</v>
      </c>
      <c r="AG207" s="161">
        <f>AH207</f>
        <v>204.547</v>
      </c>
      <c r="AH207" s="230">
        <v>204.547</v>
      </c>
      <c r="AJ207" s="230">
        <v>120.45099999999999</v>
      </c>
      <c r="AK207" s="161">
        <f>AL207</f>
        <v>86.085999999999999</v>
      </c>
      <c r="AL207" s="230">
        <v>86.085999999999999</v>
      </c>
      <c r="AM207" s="136"/>
      <c r="AN207" s="181">
        <v>85.177000000000007</v>
      </c>
      <c r="AO207" s="161">
        <f>AP207</f>
        <v>100.202</v>
      </c>
      <c r="AP207" s="916">
        <v>100.202</v>
      </c>
      <c r="AQ207" s="136"/>
      <c r="AR207" s="469">
        <f>+AR208*AR$118/AR$7</f>
        <v>95.433316168434615</v>
      </c>
      <c r="AS207" s="469">
        <f>+AS208*AS$118/AS$7</f>
        <v>104.61239445911457</v>
      </c>
      <c r="AT207" s="469">
        <f>+AS207</f>
        <v>104.61239445911457</v>
      </c>
      <c r="AU207" s="136"/>
      <c r="AV207" s="469">
        <f>+AV208*AV$118/AV$7</f>
        <v>99.715200562887659</v>
      </c>
      <c r="AW207" s="469">
        <f>+AW208*AW$118/AW$7</f>
        <v>109.54987470834915</v>
      </c>
      <c r="AX207" s="469">
        <f>+AW207</f>
        <v>109.54987470834915</v>
      </c>
      <c r="AY207" s="136"/>
      <c r="AZ207" s="469">
        <f>+AZ208*AZ$118/AZ$7</f>
        <v>104.28661196721117</v>
      </c>
      <c r="BA207" s="469">
        <f>+BA208*BA$118/BA$7</f>
        <v>114.18100005629515</v>
      </c>
      <c r="BB207" s="469">
        <f>+BA207</f>
        <v>114.18100005629515</v>
      </c>
      <c r="BC207" s="136"/>
      <c r="BD207" s="469">
        <f>+BD208*BD$118/BD$7</f>
        <v>107.92355574580354</v>
      </c>
      <c r="BE207" s="469">
        <f>+BE208*BE$118/BE$7</f>
        <v>119.04108966899945</v>
      </c>
      <c r="BF207" s="469">
        <f>+BE207</f>
        <v>119.04108966899945</v>
      </c>
      <c r="BG207" s="136"/>
      <c r="BH207" s="469">
        <f>+BH208*BH$118/BH$7</f>
        <v>112.02903734979832</v>
      </c>
      <c r="BI207" s="469">
        <f>+BI208*BI$118/BI$7</f>
        <v>123.79893606358365</v>
      </c>
      <c r="BJ207" s="469">
        <f>+BI207</f>
        <v>123.79893606358365</v>
      </c>
      <c r="BK207" s="136"/>
      <c r="BL207" s="469">
        <f>+BL208*BL$118/BL$7</f>
        <v>116.32721967969061</v>
      </c>
      <c r="BM207" s="469">
        <f>+BM208*BM$118/BM$7</f>
        <v>128.78234980487628</v>
      </c>
      <c r="BN207" s="469">
        <f>+BM207</f>
        <v>128.78234980487628</v>
      </c>
      <c r="BO207" s="136"/>
      <c r="BP207" s="469">
        <f>+BP208*BP$118/BP$7</f>
        <v>121.15870052181235</v>
      </c>
      <c r="BQ207" s="469">
        <f>+BQ208*BQ$118/BQ$7</f>
        <v>133.63137938705907</v>
      </c>
      <c r="BR207" s="469">
        <f>+BQ207</f>
        <v>133.63137938705907</v>
      </c>
      <c r="BS207" s="136"/>
      <c r="BT207" s="469">
        <f>+BT208*BT$118/BT$7</f>
        <v>125.54042700356536</v>
      </c>
      <c r="BU207" s="469">
        <f>+BU208*BU$118/BU$7</f>
        <v>139.47130331684073</v>
      </c>
      <c r="BV207" s="469">
        <f>+BU207</f>
        <v>139.47130331684073</v>
      </c>
      <c r="BW207" s="136"/>
      <c r="BX207" s="469">
        <f>+BX208*BX$118/BX$7</f>
        <v>130.47606792134394</v>
      </c>
      <c r="BY207" s="469">
        <f>+BY208*BY$118/BY$7</f>
        <v>145.20101310501951</v>
      </c>
      <c r="BZ207" s="469">
        <f>+BY207</f>
        <v>145.20101310501951</v>
      </c>
    </row>
    <row r="208" spans="1:78" s="161" customFormat="1">
      <c r="A208" s="532"/>
      <c r="B208" s="251" t="s">
        <v>385</v>
      </c>
      <c r="C208" s="161" t="s">
        <v>39</v>
      </c>
      <c r="D208" s="245">
        <f>+D207/D$118*D$7</f>
        <v>2.6375294705353818E-2</v>
      </c>
      <c r="E208" s="245">
        <f>+E207/E$118*E$7</f>
        <v>2.61827541476779E-2</v>
      </c>
      <c r="F208" s="245">
        <f>+F207/F$118*F$7</f>
        <v>2.7928876411066266E-2</v>
      </c>
      <c r="H208" s="245">
        <f>+H207/H$118*H$7</f>
        <v>2.7600305516673602E-2</v>
      </c>
      <c r="I208" s="245">
        <f>+I207/I$118*I$7</f>
        <v>3.0173807312814719E-2</v>
      </c>
      <c r="J208" s="245">
        <f>+J207/J$118*J$7</f>
        <v>3.2838939692592717E-2</v>
      </c>
      <c r="L208" s="245">
        <f>+L207/L$118*L$7</f>
        <v>2.7786317001391808E-2</v>
      </c>
      <c r="M208" s="245">
        <f>+M207/M$118*M$7</f>
        <v>2.7016602742185054E-2</v>
      </c>
      <c r="N208" s="245">
        <f>+N207/N$118*N$7</f>
        <v>2.9415684326577096E-2</v>
      </c>
      <c r="P208" s="245">
        <f>+P207/P$118*P$7</f>
        <v>2.4431065437128766E-2</v>
      </c>
      <c r="Q208" s="245">
        <f>+Q207/Q$118*Q$7</f>
        <v>2.7683311406083242E-2</v>
      </c>
      <c r="R208" s="245">
        <f>+R207/R$118*R$7</f>
        <v>2.8493353028064994E-2</v>
      </c>
      <c r="T208" s="245">
        <f>+T207/T$118*T$7</f>
        <v>2.856783766070347E-2</v>
      </c>
      <c r="U208" s="245">
        <f>+U207/U$118*U$7</f>
        <v>2.7919194395726207E-2</v>
      </c>
      <c r="V208" s="245">
        <f>+V207/V$118*V$7</f>
        <v>2.9969951243579949E-2</v>
      </c>
      <c r="X208" s="245">
        <f>+X207/X$118*X$7</f>
        <v>2.9684594574400747E-2</v>
      </c>
      <c r="Y208" s="245">
        <f>+Y207/Y$118*Y$7</f>
        <v>3.0089766554866105E-2</v>
      </c>
      <c r="Z208" s="245">
        <f>+Z207/Z$118*Z$7</f>
        <v>3.1729568336713934E-2</v>
      </c>
      <c r="AB208" s="245">
        <f>+AB207/AB$118*AB$7</f>
        <v>3.1045942518488755E-2</v>
      </c>
      <c r="AC208" s="245">
        <f>+AC207/AC$118*AC$7</f>
        <v>4.0509154231189066E-2</v>
      </c>
      <c r="AD208" s="245">
        <f>+AD207/AD$118*AD$7</f>
        <v>4.2211521726518542E-2</v>
      </c>
      <c r="AF208" s="552">
        <f>+AF207/AF$118*AF$7</f>
        <v>0.17180608547169313</v>
      </c>
      <c r="AG208" s="245">
        <f>+AG207/AG$118*AG$7</f>
        <v>0.1571923088933794</v>
      </c>
      <c r="AH208" s="245">
        <f>+AH207/AH$118*AH$7</f>
        <v>0.18404792604503051</v>
      </c>
      <c r="AJ208" s="552">
        <f>+AJ207/AJ$118*AJ$7</f>
        <v>9.5256569282517176E-2</v>
      </c>
      <c r="AK208" s="245">
        <f>+AK207/AK$118*AK$7</f>
        <v>6.150801161216024E-2</v>
      </c>
      <c r="AL208" s="552">
        <f>+AL207/AL$118*AL$7</f>
        <v>6.4644028315835558E-2</v>
      </c>
      <c r="AN208" s="885">
        <f>+AN207/AN$118*AN$7</f>
        <v>6.026462100456622E-2</v>
      </c>
      <c r="AO208" s="245">
        <f>+AO207/AO$118*AO$7</f>
        <v>6.3001408595035016E-2</v>
      </c>
      <c r="AP208" s="552">
        <f>+AP207/AP$118*AP$7</f>
        <v>6.6746956812516745E-2</v>
      </c>
      <c r="AR208" s="468">
        <f>+AO208</f>
        <v>6.3001408595035016E-2</v>
      </c>
      <c r="AS208" s="468">
        <f>+AR208</f>
        <v>6.3001408595035016E-2</v>
      </c>
      <c r="AT208" s="245">
        <f>+AT207/AT$118*AT$7</f>
        <v>6.5917081917879081E-2</v>
      </c>
      <c r="AV208" s="468">
        <f>+AS208</f>
        <v>6.3001408595035016E-2</v>
      </c>
      <c r="AW208" s="468">
        <f>+AV208</f>
        <v>6.3001408595035016E-2</v>
      </c>
      <c r="AX208" s="245">
        <f>+AX207/AX$118*AX$7</f>
        <v>6.5987727766289653E-2</v>
      </c>
      <c r="AZ208" s="468">
        <f>+AW208</f>
        <v>6.3001408595035016E-2</v>
      </c>
      <c r="BA208" s="468">
        <f>+AZ208</f>
        <v>6.3001408595035016E-2</v>
      </c>
      <c r="BB208" s="245">
        <f>+BB207/BB$118*BB$7</f>
        <v>6.587104165572788E-2</v>
      </c>
      <c r="BD208" s="468">
        <f>+BA208</f>
        <v>6.3001408595035016E-2</v>
      </c>
      <c r="BE208" s="468">
        <f>+BD208</f>
        <v>6.3001408595035016E-2</v>
      </c>
      <c r="BF208" s="245">
        <f>+BF207/BF$118*BF$7</f>
        <v>6.6114059024619087E-2</v>
      </c>
      <c r="BH208" s="468">
        <f>+BE208</f>
        <v>6.3001408595035016E-2</v>
      </c>
      <c r="BI208" s="468">
        <f>+BH208</f>
        <v>6.3001408595035016E-2</v>
      </c>
      <c r="BJ208" s="245">
        <f>+BJ207/BJ$118*BJ$7</f>
        <v>6.6172880063680162E-2</v>
      </c>
      <c r="BL208" s="468">
        <f>+BI208</f>
        <v>6.3001408595035016E-2</v>
      </c>
      <c r="BM208" s="468">
        <f>+BL208</f>
        <v>6.3001408595035016E-2</v>
      </c>
      <c r="BN208" s="245">
        <f>+BN207/BN$118*BN$7</f>
        <v>6.6230457617862323E-2</v>
      </c>
      <c r="BP208" s="468">
        <f>+BM208</f>
        <v>6.3001408595035016E-2</v>
      </c>
      <c r="BQ208" s="468">
        <f>+BP208</f>
        <v>6.3001408595035016E-2</v>
      </c>
      <c r="BR208" s="245">
        <f>+BR207/BR$118*BR$7</f>
        <v>6.6103184432053361E-2</v>
      </c>
      <c r="BT208" s="468">
        <f>+BQ208</f>
        <v>6.3001408595035016E-2</v>
      </c>
      <c r="BU208" s="468">
        <f>+BT208</f>
        <v>6.3001408595035016E-2</v>
      </c>
      <c r="BV208" s="245">
        <f>+BV207/BV$118*BV$7</f>
        <v>6.6341868268204485E-2</v>
      </c>
      <c r="BX208" s="468">
        <f>+BU208</f>
        <v>6.3001408595035016E-2</v>
      </c>
      <c r="BY208" s="468">
        <f>+BX208</f>
        <v>6.3001408595035016E-2</v>
      </c>
      <c r="BZ208" s="245">
        <f>+BZ207/BZ$118*BZ$7</f>
        <v>6.6395698585509699E-2</v>
      </c>
    </row>
    <row r="209" spans="1:78" s="161" customFormat="1">
      <c r="A209" s="148"/>
      <c r="B209" s="251"/>
      <c r="D209" s="245"/>
      <c r="E209" s="245"/>
      <c r="F209" s="245"/>
      <c r="H209" s="245"/>
      <c r="I209" s="245"/>
      <c r="J209" s="245"/>
      <c r="L209" s="245"/>
      <c r="M209" s="245"/>
      <c r="N209" s="245"/>
      <c r="P209" s="245"/>
      <c r="Q209" s="245"/>
      <c r="R209" s="245"/>
      <c r="T209" s="245"/>
      <c r="U209" s="245"/>
      <c r="V209" s="245"/>
      <c r="X209" s="245"/>
      <c r="Y209" s="245"/>
      <c r="Z209" s="245"/>
      <c r="AB209" s="245"/>
      <c r="AC209" s="245"/>
      <c r="AD209" s="245"/>
      <c r="AF209" s="552"/>
      <c r="AG209" s="245"/>
      <c r="AH209" s="245"/>
      <c r="AJ209" s="552"/>
      <c r="AK209" s="245"/>
      <c r="AL209" s="552"/>
      <c r="AN209" s="885"/>
      <c r="AO209" s="245"/>
      <c r="AP209" s="552"/>
      <c r="AR209" s="468"/>
      <c r="AS209" s="468"/>
      <c r="AT209" s="245"/>
      <c r="AV209" s="468"/>
      <c r="AW209" s="468"/>
      <c r="AX209" s="245"/>
      <c r="AZ209" s="468"/>
      <c r="BA209" s="468"/>
      <c r="BB209" s="245"/>
      <c r="BD209" s="468"/>
      <c r="BE209" s="468"/>
      <c r="BF209" s="245"/>
      <c r="BH209" s="468"/>
      <c r="BI209" s="468"/>
      <c r="BJ209" s="245"/>
      <c r="BL209" s="468"/>
      <c r="BM209" s="468"/>
      <c r="BN209" s="245"/>
      <c r="BP209" s="468"/>
      <c r="BQ209" s="468"/>
      <c r="BR209" s="245"/>
      <c r="BT209" s="468"/>
      <c r="BU209" s="468"/>
      <c r="BV209" s="245"/>
      <c r="BX209" s="468"/>
      <c r="BY209" s="468"/>
      <c r="BZ209" s="245"/>
    </row>
    <row r="210" spans="1:78" s="161" customFormat="1">
      <c r="A210" s="148"/>
      <c r="B210" s="160" t="s">
        <v>234</v>
      </c>
      <c r="C210" s="155" t="s">
        <v>406</v>
      </c>
      <c r="D210" s="230">
        <v>0</v>
      </c>
      <c r="E210" s="161">
        <f>F210</f>
        <v>0</v>
      </c>
      <c r="F210" s="230">
        <v>0</v>
      </c>
      <c r="H210" s="181"/>
      <c r="I210" s="161">
        <f>J210</f>
        <v>0</v>
      </c>
      <c r="J210" s="230">
        <v>0</v>
      </c>
      <c r="L210" s="230">
        <v>0</v>
      </c>
      <c r="M210" s="161">
        <f>N210</f>
        <v>0</v>
      </c>
      <c r="N210" s="230">
        <v>0</v>
      </c>
      <c r="P210" s="181"/>
      <c r="Q210" s="161">
        <f>R210</f>
        <v>0</v>
      </c>
      <c r="R210" s="230">
        <v>0</v>
      </c>
      <c r="T210" s="230">
        <v>8.92</v>
      </c>
      <c r="U210" s="161">
        <f>V210</f>
        <v>8.2240000000000002</v>
      </c>
      <c r="V210" s="230">
        <v>8.2240000000000002</v>
      </c>
      <c r="W210" s="218"/>
      <c r="X210" s="230">
        <v>8.8420000000000005</v>
      </c>
      <c r="Y210" s="161">
        <f>Z210</f>
        <v>7.7859999999999996</v>
      </c>
      <c r="Z210" s="230">
        <v>7.7859999999999996</v>
      </c>
      <c r="AA210" s="218"/>
      <c r="AB210" s="230">
        <v>7.73</v>
      </c>
      <c r="AC210" s="161">
        <f>AD210</f>
        <v>8.1869999999999994</v>
      </c>
      <c r="AD210" s="230">
        <v>8.1869999999999994</v>
      </c>
      <c r="AF210" s="230">
        <v>12.276999999999999</v>
      </c>
      <c r="AG210" s="161">
        <f>AH210</f>
        <v>14.743</v>
      </c>
      <c r="AH210" s="230">
        <v>14.743</v>
      </c>
      <c r="AJ210" s="230">
        <v>14.532</v>
      </c>
      <c r="AK210" s="161">
        <f>AL210</f>
        <v>14.154999999999999</v>
      </c>
      <c r="AL210" s="230">
        <v>14.154999999999999</v>
      </c>
      <c r="AM210" s="136"/>
      <c r="AN210" s="181">
        <v>17.818000000000001</v>
      </c>
      <c r="AO210" s="161">
        <f>AP210</f>
        <v>18.867999999999999</v>
      </c>
      <c r="AP210" s="916">
        <v>18.867999999999999</v>
      </c>
      <c r="AQ210" s="136"/>
      <c r="AR210" s="469">
        <f>+AR211*AR$118/AR$7</f>
        <v>17.970058576336044</v>
      </c>
      <c r="AS210" s="469">
        <f>+AS211*AS$118/AS$7</f>
        <v>19.698475665701018</v>
      </c>
      <c r="AT210" s="469">
        <f>+AS210</f>
        <v>19.698475665701018</v>
      </c>
      <c r="AU210" s="136"/>
      <c r="AV210" s="469">
        <f>+AV211*AV$118/AV$7</f>
        <v>18.776335843801164</v>
      </c>
      <c r="AW210" s="469">
        <f>+AW211*AW$118/AW$7</f>
        <v>20.628201393157138</v>
      </c>
      <c r="AX210" s="469">
        <f>+AW210</f>
        <v>20.628201393157138</v>
      </c>
      <c r="AY210" s="136"/>
      <c r="AZ210" s="469">
        <f>+AZ211*AZ$118/AZ$7</f>
        <v>19.637130941471629</v>
      </c>
      <c r="BA210" s="469">
        <f>+BA211*BA$118/BA$7</f>
        <v>21.500240604600471</v>
      </c>
      <c r="BB210" s="469">
        <f>+BA210</f>
        <v>21.500240604600471</v>
      </c>
      <c r="BC210" s="136"/>
      <c r="BD210" s="469">
        <f>+BD211*BD$118/BD$7</f>
        <v>20.321966126542595</v>
      </c>
      <c r="BE210" s="469">
        <f>+BE211*BE$118/BE$7</f>
        <v>22.415393703465814</v>
      </c>
      <c r="BF210" s="469">
        <f>+BE210</f>
        <v>22.415393703465814</v>
      </c>
      <c r="BG210" s="136"/>
      <c r="BH210" s="469">
        <f>+BH211*BH$118/BH$7</f>
        <v>21.095026812997688</v>
      </c>
      <c r="BI210" s="469">
        <f>+BI211*BI$118/BI$7</f>
        <v>23.311294441704717</v>
      </c>
      <c r="BJ210" s="469">
        <f>+BI210</f>
        <v>23.311294441704717</v>
      </c>
      <c r="BK210" s="136"/>
      <c r="BL210" s="469">
        <f>+BL211*BL$118/BL$7</f>
        <v>21.904372975753002</v>
      </c>
      <c r="BM210" s="469">
        <f>+BM211*BM$118/BM$7</f>
        <v>24.249669428937597</v>
      </c>
      <c r="BN210" s="469">
        <f>+BM210</f>
        <v>24.249669428937597</v>
      </c>
      <c r="BO210" s="136"/>
      <c r="BP210" s="469">
        <f>+BP211*BP$118/BP$7</f>
        <v>22.814139053567349</v>
      </c>
      <c r="BQ210" s="469">
        <f>+BQ211*BQ$118/BQ$7</f>
        <v>25.162739928095547</v>
      </c>
      <c r="BR210" s="469">
        <f>+BQ210</f>
        <v>25.162739928095547</v>
      </c>
      <c r="BS210" s="136"/>
      <c r="BT210" s="469">
        <f>+BT211*BT$118/BT$7</f>
        <v>23.639216549602512</v>
      </c>
      <c r="BU210" s="469">
        <f>+BU211*BU$118/BU$7</f>
        <v>26.262395470970151</v>
      </c>
      <c r="BV210" s="469">
        <f>+BU210</f>
        <v>26.262395470970151</v>
      </c>
      <c r="BW210" s="136"/>
      <c r="BX210" s="469">
        <f>+BX211*BX$118/BX$7</f>
        <v>24.568595931617306</v>
      </c>
      <c r="BY210" s="469">
        <f>+BY211*BY$118/BY$7</f>
        <v>27.341297731237976</v>
      </c>
      <c r="BZ210" s="469">
        <f>+BY210</f>
        <v>27.341297731237976</v>
      </c>
    </row>
    <row r="211" spans="1:78" s="161" customFormat="1">
      <c r="A211" s="532"/>
      <c r="B211" s="251" t="s">
        <v>385</v>
      </c>
      <c r="C211" s="161" t="s">
        <v>39</v>
      </c>
      <c r="D211" s="245">
        <f>+D210/D$118*D$7</f>
        <v>0</v>
      </c>
      <c r="E211" s="245">
        <f>+E210/E$118*E$7</f>
        <v>0</v>
      </c>
      <c r="F211" s="245">
        <f>+F210/F$118*F$7</f>
        <v>0</v>
      </c>
      <c r="H211" s="245">
        <f>+H210/H$118*H$7</f>
        <v>0</v>
      </c>
      <c r="I211" s="245">
        <f>+I210/I$118*I$7</f>
        <v>0</v>
      </c>
      <c r="J211" s="245">
        <f>+J210/J$118*J$7</f>
        <v>0</v>
      </c>
      <c r="L211" s="245">
        <f>+L210/L$118*L$7</f>
        <v>0</v>
      </c>
      <c r="M211" s="245">
        <f>+M210/M$118*M$7</f>
        <v>0</v>
      </c>
      <c r="N211" s="245">
        <f>+N210/N$118*N$7</f>
        <v>0</v>
      </c>
      <c r="P211" s="245">
        <f>+P210/P$118*P$7</f>
        <v>0</v>
      </c>
      <c r="Q211" s="245">
        <f>+Q210/Q$118*Q$7</f>
        <v>0</v>
      </c>
      <c r="R211" s="245">
        <f>+R210/R$118*R$7</f>
        <v>0</v>
      </c>
      <c r="T211" s="245">
        <f>+T210/T$118*T$7</f>
        <v>1.6478602685817054E-2</v>
      </c>
      <c r="U211" s="245">
        <f>+U210/U$118*U$7</f>
        <v>1.3124925958068615E-2</v>
      </c>
      <c r="V211" s="245">
        <f>+V210/V$118*V$7</f>
        <v>1.408899502842126E-2</v>
      </c>
      <c r="X211" s="245">
        <f>+X210/X$118*X$7</f>
        <v>1.433485446350909E-2</v>
      </c>
      <c r="Y211" s="245">
        <f>+Y210/Y$118*Y$7</f>
        <v>1.1328768007552585E-2</v>
      </c>
      <c r="Z211" s="245">
        <f>+Z210/Z$118*Z$7</f>
        <v>1.1946151792536492E-2</v>
      </c>
      <c r="AB211" s="245">
        <f>+AB210/AB$118*AB$7</f>
        <v>1.1905796282577671E-2</v>
      </c>
      <c r="AC211" s="245">
        <f>+AC210/AC$118*AC$7</f>
        <v>1.1395287441270783E-2</v>
      </c>
      <c r="AD211" s="245">
        <f>+AD210/AD$118*AD$7</f>
        <v>1.1874166038173697E-2</v>
      </c>
      <c r="AF211" s="552">
        <f>+AF210/AF$118*AF$7</f>
        <v>1.327816654077995E-2</v>
      </c>
      <c r="AG211" s="245">
        <f>+AG210/AG$118*AG$7</f>
        <v>1.1329846979007721E-2</v>
      </c>
      <c r="AH211" s="245">
        <f>+AH210/AH$118*AH$7</f>
        <v>1.3265501687543133E-2</v>
      </c>
      <c r="AJ211" s="552">
        <f>+AJ210/AJ$118*AJ$7</f>
        <v>1.1492378351475202E-2</v>
      </c>
      <c r="AK211" s="245">
        <f>+AK210/AK$118*AK$7</f>
        <v>1.0113675909789375E-2</v>
      </c>
      <c r="AL211" s="552">
        <f>+AL210/AL$118*AL$7</f>
        <v>1.0629326729208608E-2</v>
      </c>
      <c r="AN211" s="885">
        <f>+AN210/AN$118*AN$7</f>
        <v>1.2606631098293682E-2</v>
      </c>
      <c r="AO211" s="245">
        <f>+AO210/AO$118*AO$7</f>
        <v>1.186314222641385E-2</v>
      </c>
      <c r="AP211" s="552">
        <f>+AP210/AP$118*AP$7</f>
        <v>1.2568427587658589E-2</v>
      </c>
      <c r="AR211" s="468">
        <f>+AO211</f>
        <v>1.186314222641385E-2</v>
      </c>
      <c r="AS211" s="468">
        <f>+AR211</f>
        <v>1.186314222641385E-2</v>
      </c>
      <c r="AT211" s="245">
        <f>+AT210/AT$118*AT$7</f>
        <v>1.2412162448120221E-2</v>
      </c>
      <c r="AV211" s="468">
        <f>+AS211</f>
        <v>1.186314222641385E-2</v>
      </c>
      <c r="AW211" s="468">
        <f>+AV211</f>
        <v>1.186314222641385E-2</v>
      </c>
      <c r="AX211" s="245">
        <f>+AX210/AX$118*AX$7</f>
        <v>1.2425465035571676E-2</v>
      </c>
      <c r="AZ211" s="468">
        <f>+AW211</f>
        <v>1.186314222641385E-2</v>
      </c>
      <c r="BA211" s="468">
        <f>+AZ211</f>
        <v>1.186314222641385E-2</v>
      </c>
      <c r="BB211" s="245">
        <f>+BB210/BB$118*BB$7</f>
        <v>1.2403493083573915E-2</v>
      </c>
      <c r="BD211" s="468">
        <f>+BA211</f>
        <v>1.186314222641385E-2</v>
      </c>
      <c r="BE211" s="468">
        <f>+BD211</f>
        <v>1.186314222641385E-2</v>
      </c>
      <c r="BF211" s="245">
        <f>+BF210/BF$118*BF$7</f>
        <v>1.2449253165371078E-2</v>
      </c>
      <c r="BH211" s="468">
        <f>+BE211</f>
        <v>1.186314222641385E-2</v>
      </c>
      <c r="BI211" s="468">
        <f>+BH211</f>
        <v>1.186314222641385E-2</v>
      </c>
      <c r="BJ211" s="245">
        <f>+BJ210/BJ$118*BJ$7</f>
        <v>1.2460329145541177E-2</v>
      </c>
      <c r="BL211" s="468">
        <f>+BI211</f>
        <v>1.186314222641385E-2</v>
      </c>
      <c r="BM211" s="468">
        <f>+BL211</f>
        <v>1.186314222641385E-2</v>
      </c>
      <c r="BN211" s="245">
        <f>+BN210/BN$118*BN$7</f>
        <v>1.2471170977962777E-2</v>
      </c>
      <c r="BP211" s="468">
        <f>+BM211</f>
        <v>1.186314222641385E-2</v>
      </c>
      <c r="BQ211" s="468">
        <f>+BP211</f>
        <v>1.186314222641385E-2</v>
      </c>
      <c r="BR211" s="245">
        <f>+BR210/BR$118*BR$7</f>
        <v>1.2447205483563028E-2</v>
      </c>
      <c r="BT211" s="468">
        <f>+BQ211</f>
        <v>1.186314222641385E-2</v>
      </c>
      <c r="BU211" s="468">
        <f>+BT211</f>
        <v>1.186314222641385E-2</v>
      </c>
      <c r="BV211" s="245">
        <f>+BV210/BV$118*BV$7</f>
        <v>1.2492149562728113E-2</v>
      </c>
      <c r="BX211" s="468">
        <f>+BU211</f>
        <v>1.186314222641385E-2</v>
      </c>
      <c r="BY211" s="468">
        <f>+BX211</f>
        <v>1.186314222641385E-2</v>
      </c>
      <c r="BZ211" s="245">
        <f>+BZ210/BZ$118*BZ$7</f>
        <v>1.2502285791814501E-2</v>
      </c>
    </row>
    <row r="212" spans="1:78" s="161" customFormat="1">
      <c r="A212" s="148"/>
      <c r="B212" s="251"/>
      <c r="D212" s="245"/>
      <c r="E212" s="245"/>
      <c r="F212" s="245"/>
      <c r="H212" s="245"/>
      <c r="I212" s="245"/>
      <c r="J212" s="245"/>
      <c r="L212" s="245"/>
      <c r="M212" s="245"/>
      <c r="N212" s="245"/>
      <c r="P212" s="245"/>
      <c r="Q212" s="245"/>
      <c r="R212" s="245"/>
      <c r="T212" s="245"/>
      <c r="U212" s="245"/>
      <c r="V212" s="245"/>
      <c r="X212" s="245"/>
      <c r="Y212" s="245"/>
      <c r="Z212" s="245"/>
      <c r="AB212" s="245"/>
      <c r="AC212" s="245"/>
      <c r="AD212" s="245"/>
      <c r="AF212" s="552"/>
      <c r="AG212" s="245"/>
      <c r="AH212" s="245"/>
      <c r="AJ212" s="552"/>
      <c r="AK212" s="245"/>
      <c r="AL212" s="552"/>
      <c r="AN212" s="885"/>
      <c r="AO212" s="245"/>
      <c r="AP212" s="552"/>
      <c r="AR212" s="468"/>
      <c r="AS212" s="468"/>
      <c r="AT212" s="245"/>
      <c r="AV212" s="468"/>
      <c r="AW212" s="468"/>
      <c r="AX212" s="245"/>
      <c r="AZ212" s="468"/>
      <c r="BA212" s="468"/>
      <c r="BB212" s="245"/>
      <c r="BD212" s="468"/>
      <c r="BE212" s="468"/>
      <c r="BF212" s="245"/>
      <c r="BH212" s="468"/>
      <c r="BI212" s="468"/>
      <c r="BJ212" s="245"/>
      <c r="BL212" s="468"/>
      <c r="BM212" s="468"/>
      <c r="BN212" s="245"/>
      <c r="BP212" s="468"/>
      <c r="BQ212" s="468"/>
      <c r="BR212" s="245"/>
      <c r="BT212" s="468"/>
      <c r="BU212" s="468"/>
      <c r="BV212" s="245"/>
      <c r="BX212" s="468"/>
      <c r="BY212" s="468"/>
      <c r="BZ212" s="245"/>
    </row>
    <row r="213" spans="1:78" s="161" customFormat="1">
      <c r="A213" s="148"/>
      <c r="B213" s="160" t="s">
        <v>235</v>
      </c>
      <c r="C213" s="155" t="s">
        <v>406</v>
      </c>
      <c r="D213" s="230">
        <v>5.8920000000000003</v>
      </c>
      <c r="E213" s="161">
        <f>F213</f>
        <v>4.4610000000000003</v>
      </c>
      <c r="F213" s="230">
        <v>4.4610000000000003</v>
      </c>
      <c r="H213" s="181">
        <v>4.6020000000000003</v>
      </c>
      <c r="I213" s="161">
        <f>J213</f>
        <v>6.1689999999999996</v>
      </c>
      <c r="J213" s="230">
        <v>6.1689999999999996</v>
      </c>
      <c r="L213" s="230">
        <v>7.0990000000000002</v>
      </c>
      <c r="M213" s="161">
        <f>N213</f>
        <v>8.9169999999999998</v>
      </c>
      <c r="N213" s="230">
        <v>8.9169999999999998</v>
      </c>
      <c r="P213" s="181">
        <v>17.111999999999998</v>
      </c>
      <c r="Q213" s="161">
        <f>R213</f>
        <v>18.945</v>
      </c>
      <c r="R213" s="230">
        <v>18.945</v>
      </c>
      <c r="T213" s="230">
        <v>13.29</v>
      </c>
      <c r="U213" s="161">
        <f>V213</f>
        <v>11.103999999999999</v>
      </c>
      <c r="V213" s="230">
        <v>11.103999999999999</v>
      </c>
      <c r="W213" s="218"/>
      <c r="X213" s="230">
        <v>4.0039999999999996</v>
      </c>
      <c r="Y213" s="161">
        <f>Z213</f>
        <v>11.474</v>
      </c>
      <c r="Z213" s="230">
        <v>11.474</v>
      </c>
      <c r="AA213" s="218"/>
      <c r="AB213" s="230">
        <v>5.2619999999999996</v>
      </c>
      <c r="AC213" s="161">
        <f>AD213</f>
        <v>8.9410000000000007</v>
      </c>
      <c r="AD213" s="230">
        <v>8.9410000000000007</v>
      </c>
      <c r="AF213" s="230">
        <f>16.72</f>
        <v>16.72</v>
      </c>
      <c r="AG213" s="161">
        <f>AH213</f>
        <v>19.768999999999998</v>
      </c>
      <c r="AH213" s="230">
        <v>19.768999999999998</v>
      </c>
      <c r="AJ213" s="230">
        <v>16.940000000000001</v>
      </c>
      <c r="AK213" s="161">
        <f>AL213</f>
        <v>6.1189999999999998</v>
      </c>
      <c r="AL213" s="230">
        <v>6.1189999999999998</v>
      </c>
      <c r="AN213" s="181">
        <v>7.93</v>
      </c>
      <c r="AO213" s="161">
        <f>AP213</f>
        <v>7.242</v>
      </c>
      <c r="AP213" s="916">
        <v>7.242</v>
      </c>
      <c r="AR213" s="185">
        <f>AP213</f>
        <v>7.242</v>
      </c>
      <c r="AS213" s="185">
        <f>AR213</f>
        <v>7.242</v>
      </c>
      <c r="AT213" s="161">
        <f>AS213</f>
        <v>7.242</v>
      </c>
      <c r="AV213" s="185">
        <f>AT213</f>
        <v>7.242</v>
      </c>
      <c r="AW213" s="185">
        <f>AV213</f>
        <v>7.242</v>
      </c>
      <c r="AX213" s="161">
        <f>AW213</f>
        <v>7.242</v>
      </c>
      <c r="AZ213" s="185">
        <f>AX213</f>
        <v>7.242</v>
      </c>
      <c r="BA213" s="185">
        <f>AZ213</f>
        <v>7.242</v>
      </c>
      <c r="BB213" s="161">
        <f>BA213</f>
        <v>7.242</v>
      </c>
      <c r="BD213" s="185">
        <f>BB213</f>
        <v>7.242</v>
      </c>
      <c r="BE213" s="185">
        <f>BD213</f>
        <v>7.242</v>
      </c>
      <c r="BF213" s="161">
        <f>BE213</f>
        <v>7.242</v>
      </c>
      <c r="BH213" s="185">
        <f>BF213</f>
        <v>7.242</v>
      </c>
      <c r="BI213" s="185">
        <f>BH213</f>
        <v>7.242</v>
      </c>
      <c r="BJ213" s="161">
        <f>BI213</f>
        <v>7.242</v>
      </c>
      <c r="BL213" s="185">
        <f>BJ213</f>
        <v>7.242</v>
      </c>
      <c r="BM213" s="185">
        <f>BL213</f>
        <v>7.242</v>
      </c>
      <c r="BN213" s="161">
        <f>BM213</f>
        <v>7.242</v>
      </c>
      <c r="BP213" s="185">
        <f>BN213</f>
        <v>7.242</v>
      </c>
      <c r="BQ213" s="185">
        <f>BP213</f>
        <v>7.242</v>
      </c>
      <c r="BR213" s="161">
        <f>BQ213</f>
        <v>7.242</v>
      </c>
      <c r="BT213" s="185">
        <f>BR213</f>
        <v>7.242</v>
      </c>
      <c r="BU213" s="185">
        <f>BT213</f>
        <v>7.242</v>
      </c>
      <c r="BV213" s="161">
        <f>BU213</f>
        <v>7.242</v>
      </c>
      <c r="BX213" s="185">
        <f>BV213</f>
        <v>7.242</v>
      </c>
      <c r="BY213" s="185">
        <f>BX213</f>
        <v>7.242</v>
      </c>
      <c r="BZ213" s="161">
        <f>BY213</f>
        <v>7.242</v>
      </c>
    </row>
    <row r="214" spans="1:78" s="161" customFormat="1">
      <c r="A214" s="148"/>
      <c r="B214" s="160"/>
      <c r="D214" s="230"/>
      <c r="E214" s="186"/>
      <c r="F214" s="230"/>
      <c r="H214" s="181"/>
      <c r="I214" s="186"/>
      <c r="J214" s="230"/>
      <c r="L214" s="230"/>
      <c r="M214" s="186"/>
      <c r="N214" s="230"/>
      <c r="P214" s="181"/>
      <c r="Q214" s="186"/>
      <c r="R214" s="230"/>
      <c r="T214" s="230"/>
      <c r="U214" s="186"/>
      <c r="V214" s="230"/>
      <c r="W214" s="218"/>
      <c r="X214" s="230"/>
      <c r="Y214" s="186"/>
      <c r="Z214" s="230"/>
      <c r="AA214" s="218"/>
      <c r="AB214" s="230"/>
      <c r="AC214" s="186"/>
      <c r="AD214" s="230"/>
      <c r="AF214" s="230"/>
      <c r="AG214" s="186"/>
      <c r="AJ214" s="230"/>
      <c r="AK214" s="186"/>
      <c r="AL214" s="218"/>
      <c r="AN214" s="181"/>
      <c r="AO214" s="186"/>
      <c r="AR214" s="186"/>
      <c r="AS214" s="186"/>
      <c r="AV214" s="186"/>
      <c r="AW214" s="186"/>
      <c r="AZ214" s="186"/>
      <c r="BA214" s="186"/>
      <c r="BD214" s="186"/>
      <c r="BE214" s="186"/>
      <c r="BH214" s="186"/>
      <c r="BI214" s="186"/>
      <c r="BL214" s="186"/>
      <c r="BM214" s="186"/>
      <c r="BP214" s="186"/>
      <c r="BQ214" s="186"/>
      <c r="BT214" s="186"/>
      <c r="BU214" s="186"/>
      <c r="BX214" s="186"/>
      <c r="BY214" s="186"/>
    </row>
    <row r="215" spans="1:78" s="161" customFormat="1" ht="15.6">
      <c r="A215" s="148"/>
      <c r="B215" s="162" t="s">
        <v>11</v>
      </c>
      <c r="D215" s="230"/>
      <c r="E215" s="186"/>
      <c r="F215" s="230"/>
      <c r="H215" s="181"/>
      <c r="I215" s="186"/>
      <c r="J215" s="230"/>
      <c r="L215" s="230"/>
      <c r="M215" s="186"/>
      <c r="N215" s="230"/>
      <c r="P215" s="181"/>
      <c r="Q215" s="186"/>
      <c r="R215" s="230"/>
      <c r="T215" s="230"/>
      <c r="U215" s="186"/>
      <c r="V215" s="230"/>
      <c r="W215" s="218"/>
      <c r="X215" s="230"/>
      <c r="Y215" s="186"/>
      <c r="Z215" s="230"/>
      <c r="AA215" s="218"/>
      <c r="AB215" s="339"/>
      <c r="AC215" s="186"/>
      <c r="AD215" s="230"/>
      <c r="AF215" s="230"/>
      <c r="AG215" s="186"/>
      <c r="AJ215" s="230"/>
      <c r="AK215" s="186"/>
      <c r="AL215" s="218"/>
      <c r="AN215" s="181"/>
      <c r="AO215" s="186"/>
      <c r="AR215" s="186"/>
      <c r="AS215" s="186"/>
      <c r="AV215" s="186"/>
      <c r="AW215" s="186"/>
      <c r="AZ215" s="186"/>
      <c r="BA215" s="186"/>
      <c r="BD215" s="186"/>
      <c r="BE215" s="186"/>
      <c r="BH215" s="186"/>
      <c r="BI215" s="186"/>
      <c r="BL215" s="186"/>
      <c r="BM215" s="186"/>
      <c r="BP215" s="186"/>
      <c r="BQ215" s="186"/>
      <c r="BT215" s="186"/>
      <c r="BU215" s="186"/>
      <c r="BX215" s="186"/>
      <c r="BY215" s="186"/>
    </row>
    <row r="216" spans="1:78" s="140" customFormat="1">
      <c r="A216" s="149"/>
      <c r="B216" s="159" t="s">
        <v>518</v>
      </c>
      <c r="C216" s="155" t="s">
        <v>406</v>
      </c>
      <c r="D216" s="231">
        <v>15.721</v>
      </c>
      <c r="E216" s="140">
        <f>F216</f>
        <v>11.452</v>
      </c>
      <c r="F216" s="231">
        <v>11.452</v>
      </c>
      <c r="H216" s="175">
        <v>9.2710000000000008</v>
      </c>
      <c r="I216" s="140">
        <f>J216</f>
        <v>26.844999999999999</v>
      </c>
      <c r="J216" s="231">
        <v>26.844999999999999</v>
      </c>
      <c r="L216" s="231">
        <v>0.23</v>
      </c>
      <c r="M216" s="140">
        <f>N216</f>
        <v>26.402999999999999</v>
      </c>
      <c r="N216" s="231">
        <v>26.402999999999999</v>
      </c>
      <c r="P216" s="175">
        <v>26.783000000000001</v>
      </c>
      <c r="Q216" s="140">
        <f>R216</f>
        <v>1.0209999999999999</v>
      </c>
      <c r="R216" s="231">
        <v>1.0209999999999999</v>
      </c>
      <c r="T216" s="231">
        <v>0.66</v>
      </c>
      <c r="U216" s="140">
        <f>V216</f>
        <v>0.54700000000000004</v>
      </c>
      <c r="V216" s="231">
        <v>0.54700000000000004</v>
      </c>
      <c r="W216" s="219"/>
      <c r="X216" s="231">
        <v>19.718</v>
      </c>
      <c r="Y216" s="140">
        <f>Z216</f>
        <v>10.53</v>
      </c>
      <c r="Z216" s="231">
        <v>10.53</v>
      </c>
      <c r="AA216" s="219"/>
      <c r="AB216" s="231">
        <v>16.138000000000002</v>
      </c>
      <c r="AC216" s="140">
        <f>AD216</f>
        <v>67.626999999999995</v>
      </c>
      <c r="AD216" s="231">
        <v>67.626999999999995</v>
      </c>
      <c r="AF216" s="231">
        <v>220.98</v>
      </c>
      <c r="AG216" s="140">
        <f>AH216</f>
        <v>237.94</v>
      </c>
      <c r="AH216" s="231">
        <v>237.94</v>
      </c>
      <c r="AJ216" s="231">
        <v>227.43100000000001</v>
      </c>
      <c r="AK216" s="140">
        <f>AL216</f>
        <v>87.504999999999995</v>
      </c>
      <c r="AL216" s="231">
        <v>87.504999999999995</v>
      </c>
      <c r="AN216" s="175">
        <v>83.722999999999999</v>
      </c>
      <c r="AO216" s="140">
        <f>AP216</f>
        <v>70.516000000000005</v>
      </c>
      <c r="AP216" s="915">
        <v>70.516000000000005</v>
      </c>
      <c r="AR216" s="467">
        <f>+AR217*AR$118/AR$7</f>
        <v>121.1824539122517</v>
      </c>
      <c r="AS216" s="467">
        <f>+AS217*AS$118/AS$7</f>
        <v>132.83816573886418</v>
      </c>
      <c r="AT216" s="467">
        <f>+AS216</f>
        <v>132.83816573886418</v>
      </c>
      <c r="AV216" s="467">
        <f>+AV217*AV$118/AV$7</f>
        <v>126.61964586073839</v>
      </c>
      <c r="AW216" s="467">
        <f>+AW217*AW$118/AW$7</f>
        <v>139.10784174686853</v>
      </c>
      <c r="AX216" s="467">
        <f>+AW216</f>
        <v>139.10784174686853</v>
      </c>
      <c r="AZ216" s="467">
        <f>+AZ217*AZ$118/AZ$7</f>
        <v>132.42448293504313</v>
      </c>
      <c r="BA216" s="467">
        <f>+BA217*BA$118/BA$7</f>
        <v>144.98850435581335</v>
      </c>
      <c r="BB216" s="467">
        <f>+BA216</f>
        <v>144.98850435581335</v>
      </c>
      <c r="BD216" s="467">
        <f>+BD217*BD$118/BD$7</f>
        <v>137.04272098361781</v>
      </c>
      <c r="BE216" s="467">
        <f>+BE217*BE$118/BE$7</f>
        <v>151.15990873687326</v>
      </c>
      <c r="BF216" s="467">
        <f>+BE216</f>
        <v>151.15990873687326</v>
      </c>
      <c r="BH216" s="467">
        <f>+BH217*BH$118/BH$7</f>
        <v>142.25591439697052</v>
      </c>
      <c r="BI216" s="467">
        <f>+BI217*BI$118/BI$7</f>
        <v>157.20148336282111</v>
      </c>
      <c r="BJ216" s="467">
        <f>+BI216</f>
        <v>157.20148336282111</v>
      </c>
      <c r="BL216" s="467">
        <f>+BL217*BL$118/BL$7</f>
        <v>147.71380167377154</v>
      </c>
      <c r="BM216" s="467">
        <f>+BM217*BM$118/BM$7</f>
        <v>163.52948631059689</v>
      </c>
      <c r="BN216" s="467">
        <f>+BM216</f>
        <v>163.52948631059689</v>
      </c>
      <c r="BP216" s="467">
        <f>+BP217*BP$118/BP$7</f>
        <v>153.8488782695066</v>
      </c>
      <c r="BQ216" s="467">
        <f>+BQ217*BQ$118/BQ$7</f>
        <v>169.68684652246358</v>
      </c>
      <c r="BR216" s="467">
        <f>+BQ216</f>
        <v>169.68684652246358</v>
      </c>
      <c r="BT216" s="467">
        <f>+BT217*BT$118/BT$7</f>
        <v>159.41285098626685</v>
      </c>
      <c r="BU216" s="467">
        <f>+BU217*BU$118/BU$7</f>
        <v>177.10245713818168</v>
      </c>
      <c r="BV216" s="467">
        <f>+BU216</f>
        <v>177.10245713818168</v>
      </c>
      <c r="BX216" s="467">
        <f>+BX217*BX$118/BX$7</f>
        <v>165.68019138750043</v>
      </c>
      <c r="BY216" s="467">
        <f>+BY217*BY$118/BY$7</f>
        <v>184.37811641749536</v>
      </c>
      <c r="BZ216" s="467">
        <f>+BY216</f>
        <v>184.37811641749536</v>
      </c>
    </row>
    <row r="217" spans="1:78" s="161" customFormat="1">
      <c r="A217" s="532"/>
      <c r="B217" s="251" t="s">
        <v>385</v>
      </c>
      <c r="C217" s="161" t="s">
        <v>39</v>
      </c>
      <c r="D217" s="245">
        <f>+D216/D$118*D$7</f>
        <v>3.786375747081247E-2</v>
      </c>
      <c r="E217" s="245">
        <f>+E216/E$118*E$7</f>
        <v>2.4151824446170544E-2</v>
      </c>
      <c r="F217" s="245">
        <f>+F216/F$118*F$7</f>
        <v>2.5762504442974701E-2</v>
      </c>
      <c r="H217" s="245">
        <f>+H216/H$118*H$7</f>
        <v>2.1872162786997263E-2</v>
      </c>
      <c r="I217" s="245">
        <f>+I216/I$118*I$7</f>
        <v>5.3136700164819674E-2</v>
      </c>
      <c r="J217" s="245">
        <f>+J216/J$118*J$7</f>
        <v>5.7830053532383331E-2</v>
      </c>
      <c r="L217" s="245">
        <f>+L216/L$118*L$7</f>
        <v>5.0886638349551059E-4</v>
      </c>
      <c r="M217" s="245">
        <f>+M216/M$118*M$7</f>
        <v>4.8964810694804503E-2</v>
      </c>
      <c r="N217" s="245">
        <f>+N216/N$118*N$7</f>
        <v>5.3312899044111413E-2</v>
      </c>
      <c r="P217" s="245">
        <f>+P216/P$118*P$7</f>
        <v>5.0917222442037176E-2</v>
      </c>
      <c r="Q217" s="245">
        <f>+Q216/Q$118*Q$7</f>
        <v>1.8315617512708001E-3</v>
      </c>
      <c r="R217" s="245">
        <f>+R216/R$118*R$7</f>
        <v>1.8851550960118167E-3</v>
      </c>
      <c r="T217" s="245">
        <f>+T216/T$118*T$7</f>
        <v>1.2192688085918451E-3</v>
      </c>
      <c r="U217" s="245">
        <f>+U216/U$118*U$7</f>
        <v>8.7297355290169402E-4</v>
      </c>
      <c r="V217" s="245">
        <f>+V216/V$118*V$7</f>
        <v>9.370963376150814E-4</v>
      </c>
      <c r="X217" s="245">
        <f>+X216/X$118*X$7</f>
        <v>3.1967276669472085E-2</v>
      </c>
      <c r="Y217" s="245">
        <f>+Y216/Y$118*Y$7</f>
        <v>1.5321336645200197E-2</v>
      </c>
      <c r="Z217" s="245">
        <f>+Z216/Z$118*Z$7</f>
        <v>1.6156303413230062E-2</v>
      </c>
      <c r="AB217" s="245">
        <f>+AB216/AB$118*AB$7</f>
        <v>2.4855852575451289E-2</v>
      </c>
      <c r="AC217" s="245">
        <f>+AC216/AC$118*AC$7</f>
        <v>9.4128386929378194E-2</v>
      </c>
      <c r="AD217" s="245">
        <f>+AD216/AD$118*AD$7</f>
        <v>9.8084063352091438E-2</v>
      </c>
      <c r="AF217" s="552">
        <f>+AF216/AF$118*AF$7</f>
        <v>0.23900050844518639</v>
      </c>
      <c r="AG217" s="245">
        <f>+AG216/AG$118*AG$7</f>
        <v>0.1828544929922741</v>
      </c>
      <c r="AH217" s="245">
        <f>+AH216/AH$118*AH$7</f>
        <v>0.21409438184453725</v>
      </c>
      <c r="AJ217" s="552">
        <f>+AJ216/AJ$118*AJ$7</f>
        <v>0.17985983352975207</v>
      </c>
      <c r="AK217" s="245">
        <f>+AK216/AK$118*AK$7</f>
        <v>6.2521879935437605E-2</v>
      </c>
      <c r="AL217" s="552">
        <f>+AL216/AL$118*AL$7</f>
        <v>6.5709589222140541E-2</v>
      </c>
      <c r="AN217" s="885">
        <f>+AN216/AN$118*AN$7</f>
        <v>5.923588368180726E-2</v>
      </c>
      <c r="AO217" s="245">
        <f>+AO216/AO$118*AO$7</f>
        <v>4.4336513527549241E-2</v>
      </c>
      <c r="AP217" s="552">
        <f>+AP216/AP$118*AP$7</f>
        <v>4.6972399818281385E-2</v>
      </c>
      <c r="AR217" s="465">
        <v>0.08</v>
      </c>
      <c r="AS217" s="465">
        <v>0.08</v>
      </c>
      <c r="AT217" s="245">
        <f t="shared" ref="AT217" si="808">+AT216/AT$118*AT$7</f>
        <v>8.3702359534956597E-2</v>
      </c>
      <c r="AV217" s="465">
        <v>0.08</v>
      </c>
      <c r="AW217" s="465">
        <v>0.08</v>
      </c>
      <c r="AX217" s="245">
        <f t="shared" ref="AX217" si="809">+AX216/AX$118*AX$7</f>
        <v>8.3792066543083604E-2</v>
      </c>
      <c r="AZ217" s="465">
        <v>0.08</v>
      </c>
      <c r="BA217" s="465">
        <v>0.08</v>
      </c>
      <c r="BB217" s="245">
        <f t="shared" ref="BB217" si="810">+BB216/BB$118*BB$7</f>
        <v>8.3643897017145752E-2</v>
      </c>
      <c r="BD217" s="465">
        <v>0.08</v>
      </c>
      <c r="BE217" s="465">
        <v>0.08</v>
      </c>
      <c r="BF217" s="245">
        <f t="shared" ref="BF217" si="811">+BF216/BF$118*BF$7</f>
        <v>8.3952483601872185E-2</v>
      </c>
      <c r="BH217" s="465">
        <v>0.08</v>
      </c>
      <c r="BI217" s="465">
        <v>0.08</v>
      </c>
      <c r="BJ217" s="245">
        <f t="shared" ref="BJ217" si="812">+BJ216/BJ$118*BJ$7</f>
        <v>8.4027175314800917E-2</v>
      </c>
      <c r="BL217" s="465">
        <v>0.08</v>
      </c>
      <c r="BM217" s="465">
        <v>0.08</v>
      </c>
      <c r="BN217" s="245">
        <f t="shared" ref="BN217" si="813">+BN216/BN$118*BN$7</f>
        <v>8.4100288034616125E-2</v>
      </c>
      <c r="BP217" s="465">
        <v>0.08</v>
      </c>
      <c r="BQ217" s="465">
        <v>0.08</v>
      </c>
      <c r="BR217" s="245">
        <f t="shared" ref="BR217" si="814">+BR216/BR$118*BR$7</f>
        <v>8.3938674904183372E-2</v>
      </c>
      <c r="BT217" s="465">
        <v>0.08</v>
      </c>
      <c r="BU217" s="465">
        <v>0.08</v>
      </c>
      <c r="BV217" s="245">
        <f t="shared" ref="BV217" si="815">+BV216/BV$118*BV$7</f>
        <v>8.4241758713226908E-2</v>
      </c>
      <c r="BX217" s="465">
        <v>0.08</v>
      </c>
      <c r="BY217" s="465">
        <v>0.08</v>
      </c>
      <c r="BZ217" s="245">
        <f t="shared" ref="BZ217" si="816">+BZ216/BZ$118*BZ$7</f>
        <v>8.4310113143396814E-2</v>
      </c>
    </row>
    <row r="218" spans="1:78" s="161" customFormat="1">
      <c r="A218" s="148"/>
      <c r="B218" s="160"/>
      <c r="D218" s="230"/>
      <c r="E218" s="185"/>
      <c r="F218" s="230"/>
      <c r="H218" s="181"/>
      <c r="I218" s="185"/>
      <c r="J218" s="230"/>
      <c r="L218" s="230"/>
      <c r="M218" s="185"/>
      <c r="N218" s="230"/>
      <c r="P218" s="181"/>
      <c r="Q218" s="185"/>
      <c r="R218" s="230"/>
      <c r="T218" s="230"/>
      <c r="U218" s="185"/>
      <c r="V218" s="230"/>
      <c r="W218" s="218"/>
      <c r="X218" s="230"/>
      <c r="Y218" s="185"/>
      <c r="Z218" s="230"/>
      <c r="AA218" s="218"/>
      <c r="AB218" s="230"/>
      <c r="AC218" s="185"/>
      <c r="AD218" s="230"/>
      <c r="AF218" s="230"/>
      <c r="AG218" s="185"/>
      <c r="AH218" s="230"/>
      <c r="AJ218" s="230"/>
      <c r="AK218" s="185"/>
      <c r="AL218" s="230"/>
      <c r="AN218" s="181"/>
      <c r="AO218" s="185"/>
      <c r="AP218" s="230"/>
      <c r="AR218" s="185"/>
      <c r="AS218" s="185"/>
      <c r="AV218" s="185"/>
      <c r="AW218" s="185"/>
      <c r="AZ218" s="185"/>
      <c r="BA218" s="185"/>
      <c r="BD218" s="185"/>
      <c r="BE218" s="185"/>
      <c r="BH218" s="185"/>
      <c r="BI218" s="185"/>
      <c r="BL218" s="185"/>
      <c r="BM218" s="185"/>
      <c r="BP218" s="185"/>
      <c r="BQ218" s="185"/>
      <c r="BT218" s="185"/>
      <c r="BU218" s="185"/>
      <c r="BX218" s="185"/>
      <c r="BY218" s="185"/>
    </row>
    <row r="219" spans="1:78" s="161" customFormat="1">
      <c r="A219" s="148"/>
      <c r="B219" s="159" t="s">
        <v>464</v>
      </c>
      <c r="C219" s="155" t="s">
        <v>406</v>
      </c>
      <c r="D219" s="219">
        <f>+D216+D198</f>
        <v>203.18299999999999</v>
      </c>
      <c r="E219" s="219">
        <f>+E216+E198</f>
        <v>250.96199999999999</v>
      </c>
      <c r="F219" s="219">
        <f>+F216+F198</f>
        <v>250.96199999999999</v>
      </c>
      <c r="H219" s="219">
        <f>+H216+H198</f>
        <v>202.94600000000003</v>
      </c>
      <c r="I219" s="219">
        <f>+I216+I198</f>
        <v>280.25700000000001</v>
      </c>
      <c r="J219" s="219">
        <f>+J216+J198</f>
        <v>280.25700000000001</v>
      </c>
      <c r="L219" s="219">
        <f>+L216+L198</f>
        <v>195.93899999999999</v>
      </c>
      <c r="M219" s="219">
        <f>+M216+M198</f>
        <v>271.04000000000002</v>
      </c>
      <c r="N219" s="219">
        <f>+N216+N198</f>
        <v>271.04000000000002</v>
      </c>
      <c r="P219" s="219">
        <f>+P216+P198</f>
        <v>247.52100000000002</v>
      </c>
      <c r="Q219" s="219">
        <f>+Q216+Q198</f>
        <v>217.54899999999998</v>
      </c>
      <c r="R219" s="219">
        <f>+R216+R198</f>
        <v>217.54899999999998</v>
      </c>
      <c r="T219" s="219">
        <f>+T216+T198</f>
        <v>196.822</v>
      </c>
      <c r="U219" s="219">
        <f>+U216+U198</f>
        <v>215.733</v>
      </c>
      <c r="V219" s="219">
        <f>+V216+V198</f>
        <v>215.733</v>
      </c>
      <c r="X219" s="219">
        <f>+X216+X198</f>
        <v>215.5</v>
      </c>
      <c r="Y219" s="219">
        <f>+Y216+Y198</f>
        <v>253.434</v>
      </c>
      <c r="Z219" s="219">
        <f>+Z216+Z198</f>
        <v>253.434</v>
      </c>
      <c r="AB219" s="219">
        <f>+AB216+AB198</f>
        <v>254.84200000000001</v>
      </c>
      <c r="AC219" s="219">
        <f>+AC216+AC198</f>
        <v>493.25200000000001</v>
      </c>
      <c r="AD219" s="219">
        <f>+AD216+AD198</f>
        <v>493.25200000000001</v>
      </c>
      <c r="AF219" s="219">
        <f>+AF216+AF198</f>
        <v>1179.501</v>
      </c>
      <c r="AG219" s="219">
        <f>+AG216+AG198</f>
        <v>1324.1949999999999</v>
      </c>
      <c r="AH219" s="219">
        <f>+AH216+AH198</f>
        <v>1324.1949999999999</v>
      </c>
      <c r="AJ219" s="219">
        <f>+AJ216+AJ198</f>
        <v>1214.6389999999999</v>
      </c>
      <c r="AK219" s="219">
        <f>+AK216+AK198</f>
        <v>1293.6660000000002</v>
      </c>
      <c r="AL219" s="219">
        <f>+AL216+AL198</f>
        <v>1293.6660000000002</v>
      </c>
      <c r="AM219" s="466"/>
      <c r="AN219" s="140">
        <f>+AN216+AN198</f>
        <v>1423.3509999999999</v>
      </c>
      <c r="AO219" s="219">
        <f>+AO216+AO198</f>
        <v>1366.3710000000001</v>
      </c>
      <c r="AP219" s="219">
        <f>+AP216+AP198</f>
        <v>1366.3710000000001</v>
      </c>
      <c r="AQ219" s="466"/>
      <c r="AR219" s="466">
        <f>+AR216+AR198</f>
        <v>1370.5146075051068</v>
      </c>
      <c r="AS219" s="466">
        <f>+AS216+AS198</f>
        <v>1481.5790752312969</v>
      </c>
      <c r="AT219" s="466">
        <f>+AT216+AT198</f>
        <v>1481.5790752312969</v>
      </c>
      <c r="AU219" s="466"/>
      <c r="AV219" s="466">
        <f>+AV216+AV198</f>
        <v>1428.0497397202294</v>
      </c>
      <c r="AW219" s="466">
        <f>+AW216+AW198</f>
        <v>1547.1593042203504</v>
      </c>
      <c r="AX219" s="466">
        <f>+AX216+AX198</f>
        <v>1547.1593042203504</v>
      </c>
      <c r="AY219" s="466"/>
      <c r="AZ219" s="466">
        <f>+AZ216+AZ198</f>
        <v>1472.8268967923452</v>
      </c>
      <c r="BA219" s="466">
        <f>+BA216+BA198</f>
        <v>1589.9096597781675</v>
      </c>
      <c r="BB219" s="466">
        <f>+BB216+BB198</f>
        <v>1589.9096597781675</v>
      </c>
      <c r="BC219" s="466"/>
      <c r="BD219" s="466">
        <f>+BD216+BD198</f>
        <v>1502.7780779049185</v>
      </c>
      <c r="BE219" s="466">
        <f>+BE216+BE198</f>
        <v>1633.9650854030251</v>
      </c>
      <c r="BF219" s="466">
        <f>+BF216+BF198</f>
        <v>1633.9650854030251</v>
      </c>
      <c r="BG219" s="466"/>
      <c r="BH219" s="466">
        <f>+BH216+BH198</f>
        <v>1537.7172377190695</v>
      </c>
      <c r="BI219" s="466">
        <f>+BI216+BI198</f>
        <v>1674.7088365577872</v>
      </c>
      <c r="BJ219" s="466">
        <f>+BJ216+BJ198</f>
        <v>1674.7088365577872</v>
      </c>
      <c r="BK219" s="466"/>
      <c r="BL219" s="466">
        <f>+BL216+BL198</f>
        <v>1573.6340628139112</v>
      </c>
      <c r="BM219" s="466">
        <f>+BM216+BM198</f>
        <v>1716.5712376242739</v>
      </c>
      <c r="BN219" s="466">
        <f>+BN216+BN198</f>
        <v>1716.5712376242739</v>
      </c>
      <c r="BO219" s="466"/>
      <c r="BP219" s="466">
        <f>+BP216+BP198</f>
        <v>1614.9537636080722</v>
      </c>
      <c r="BQ219" s="466">
        <f>+BQ216+BQ198</f>
        <v>1754.691561581848</v>
      </c>
      <c r="BR219" s="466">
        <f>+BR216+BR198</f>
        <v>1754.691561581848</v>
      </c>
      <c r="BS219" s="466"/>
      <c r="BT219" s="466">
        <f>+BT216+BT198</f>
        <v>1648.4506027771395</v>
      </c>
      <c r="BU219" s="466">
        <f>+BU216+BU198</f>
        <v>1803.702378791289</v>
      </c>
      <c r="BV219" s="466">
        <f>+BV216+BV198</f>
        <v>1803.702378791289</v>
      </c>
      <c r="BW219" s="466"/>
      <c r="BX219" s="466">
        <f>+BX216+BX198</f>
        <v>1687.372158202563</v>
      </c>
      <c r="BY219" s="466">
        <f>+BY216+BY198</f>
        <v>1848.992348794259</v>
      </c>
      <c r="BZ219" s="466">
        <f>+BZ216+BZ198</f>
        <v>1848.992348794259</v>
      </c>
    </row>
    <row r="220" spans="1:78" s="161" customFormat="1">
      <c r="A220" s="532"/>
      <c r="B220" s="251" t="s">
        <v>385</v>
      </c>
      <c r="C220" s="161" t="s">
        <v>39</v>
      </c>
      <c r="D220" s="245">
        <f>+D219/D$118*D$7</f>
        <v>0.48936275263609758</v>
      </c>
      <c r="E220" s="245">
        <f>+E219/E$118*E$7</f>
        <v>0.52926913785014429</v>
      </c>
      <c r="F220" s="245">
        <f>+F219/F$118*F$7</f>
        <v>0.56456598323592533</v>
      </c>
      <c r="H220" s="245">
        <f>+H219/H$118*H$7</f>
        <v>0.4787906319674195</v>
      </c>
      <c r="I220" s="245">
        <f>+I219/I$118*I$7</f>
        <v>0.55473764865307762</v>
      </c>
      <c r="J220" s="245">
        <f>+J219/J$118*J$7</f>
        <v>0.60373541861892921</v>
      </c>
      <c r="L220" s="245">
        <f>+L219/L$118*L$7</f>
        <v>0.43350769702489922</v>
      </c>
      <c r="M220" s="245">
        <f>+M219/M$118*M$7</f>
        <v>0.50264827067832496</v>
      </c>
      <c r="N220" s="245">
        <f>+N219/N$118*N$7</f>
        <v>0.54728357220452062</v>
      </c>
      <c r="P220" s="245">
        <f>+P219/P$118*P$7</f>
        <v>0.47056273815761807</v>
      </c>
      <c r="Q220" s="245">
        <f>+Q219/Q$118*Q$7</f>
        <v>0.39025898866524122</v>
      </c>
      <c r="R220" s="245">
        <f>+R219/R$118*R$7</f>
        <v>0.40167836041358929</v>
      </c>
      <c r="T220" s="245">
        <f>+T219/T$118*T$7</f>
        <v>0.36360443249191532</v>
      </c>
      <c r="U220" s="245">
        <f>+U219/U$118*U$7</f>
        <v>0.34429470473151952</v>
      </c>
      <c r="V220" s="245">
        <f>+V219/V$118*V$7</f>
        <v>0.36958428556254908</v>
      </c>
      <c r="X220" s="245">
        <f>+X219/X$118*X$7</f>
        <v>0.34937357349991049</v>
      </c>
      <c r="Y220" s="245">
        <f>+Y219/Y$118*Y$7</f>
        <v>0.36875096214051917</v>
      </c>
      <c r="Z220" s="245">
        <f>+Z219/Z$118*Z$7</f>
        <v>0.38884678055351829</v>
      </c>
      <c r="AB220" s="245">
        <f>+AB219/AB$118*AB$7</f>
        <v>0.39250930611185753</v>
      </c>
      <c r="AC220" s="245">
        <f>+AC219/AC$118*AC$7</f>
        <v>0.68654553816803432</v>
      </c>
      <c r="AD220" s="245">
        <f>+AD219/AD$118*AD$7</f>
        <v>0.71539711086616009</v>
      </c>
      <c r="AF220" s="552">
        <f>+AF219/AF$118*AF$7</f>
        <v>1.27568711517606</v>
      </c>
      <c r="AG220" s="245">
        <f>+AG219/AG$118*AG$7</f>
        <v>1.0176305175586469</v>
      </c>
      <c r="AH220" s="245">
        <f>+AH219/AH$118*AH$7</f>
        <v>1.1914882321872196</v>
      </c>
      <c r="AJ220" s="552">
        <f>+AJ219/AJ$118*AJ$7</f>
        <v>0.96057603553932613</v>
      </c>
      <c r="AK220" s="245">
        <f>+AK219/AK$118*AK$7</f>
        <v>0.9243178141655658</v>
      </c>
      <c r="AL220" s="552">
        <f>+AL219/AL$118*AL$7</f>
        <v>0.97144461974343954</v>
      </c>
      <c r="AN220" s="552">
        <f>+AN219/AN$118*AN$7</f>
        <v>1.0070524739245375</v>
      </c>
      <c r="AO220" s="245">
        <f>+AO219/AO$118*AO$7</f>
        <v>0.85909759948311004</v>
      </c>
      <c r="AP220" s="552">
        <f>+AP219/AP$118*AP$7</f>
        <v>0.91017251279291156</v>
      </c>
      <c r="AR220" s="245">
        <f>+AR219/AR$118*AR$7</f>
        <v>0.90476108595556082</v>
      </c>
      <c r="AS220" s="245">
        <f>+AS219/AS$118*AS$7</f>
        <v>0.89226108595556086</v>
      </c>
      <c r="AT220" s="245">
        <f>+AT219/AT$118*AT$7</f>
        <v>0.93355447769628974</v>
      </c>
      <c r="AV220" s="245">
        <f>+AV219/AV$118*AV$7</f>
        <v>0.90226108595556087</v>
      </c>
      <c r="AW220" s="245">
        <f>+AW219/AW$118*AW$7</f>
        <v>0.88976108595556092</v>
      </c>
      <c r="AX220" s="245">
        <f>+AX219/AX$118*AX$7</f>
        <v>0.9319365015229335</v>
      </c>
      <c r="AZ220" s="245">
        <f>+AZ219/AZ$118*AZ$7</f>
        <v>0.88976108595556092</v>
      </c>
      <c r="BA220" s="245">
        <f>+BA219/BA$118*BA$7</f>
        <v>0.87726108595556096</v>
      </c>
      <c r="BB220" s="245">
        <f>+BB219/BB$118*BB$7</f>
        <v>0.91721919913520489</v>
      </c>
      <c r="BD220" s="245">
        <f>+BD219/BD$118*BD$7</f>
        <v>0.87726108595556096</v>
      </c>
      <c r="BE220" s="245">
        <f>+BE219/BE$118*BE$7</f>
        <v>0.864761085955561</v>
      </c>
      <c r="BF220" s="245">
        <f>+BF219/BF$118*BF$7</f>
        <v>0.90748551110276776</v>
      </c>
      <c r="BH220" s="245">
        <f>+BH219/BH$118*BH$7</f>
        <v>0.86476108595556089</v>
      </c>
      <c r="BI220" s="245">
        <f>+BI219/BI$118*BI$7</f>
        <v>0.85226108595556105</v>
      </c>
      <c r="BJ220" s="245">
        <f>+BJ219/BJ$118*BJ$7</f>
        <v>0.89516364604463172</v>
      </c>
      <c r="BL220" s="245">
        <f>+BL219/BL$118*BL$7</f>
        <v>0.85226108595556083</v>
      </c>
      <c r="BM220" s="245">
        <f>+BM219/BM$118*BM$7</f>
        <v>0.83976108595556109</v>
      </c>
      <c r="BN220" s="245">
        <f>+BN219/BN$118*BN$7</f>
        <v>0.882801865114059</v>
      </c>
      <c r="BP220" s="245">
        <f>+BP219/BP$118*BP$7</f>
        <v>0.83976108595556109</v>
      </c>
      <c r="BQ220" s="245">
        <f>+BQ219/BQ$118*BQ$7</f>
        <v>0.82726108595556103</v>
      </c>
      <c r="BR220" s="245">
        <f>+BR219/BR$118*BR$7</f>
        <v>0.86798999193631909</v>
      </c>
      <c r="BT220" s="245">
        <f>+BT219/BT$118*BT$7</f>
        <v>0.82726108595556114</v>
      </c>
      <c r="BU220" s="245">
        <f>+BU219/BU$118*BU$7</f>
        <v>0.81476108595556118</v>
      </c>
      <c r="BV220" s="245">
        <f>+BV219/BV$118*BV$7</f>
        <v>0.85796133514993878</v>
      </c>
      <c r="BX220" s="245">
        <f>+BX219/BX$118*BX$7</f>
        <v>0.81476108595556107</v>
      </c>
      <c r="BY220" s="245">
        <f>+BY219/BY$118*BY$7</f>
        <v>0.80226108595556112</v>
      </c>
      <c r="BZ220" s="245">
        <f>+BZ219/BZ$118*BZ$7</f>
        <v>0.84548403659322202</v>
      </c>
    </row>
    <row r="221" spans="1:78" s="161" customFormat="1">
      <c r="A221" s="148"/>
      <c r="B221" s="160"/>
      <c r="D221" s="230"/>
      <c r="E221" s="185"/>
      <c r="F221" s="230"/>
      <c r="H221" s="181"/>
      <c r="I221" s="185"/>
      <c r="J221" s="230"/>
      <c r="L221" s="230"/>
      <c r="M221" s="185"/>
      <c r="N221" s="230"/>
      <c r="P221" s="181"/>
      <c r="Q221" s="185"/>
      <c r="R221" s="230"/>
      <c r="T221" s="230"/>
      <c r="U221" s="185"/>
      <c r="V221" s="230"/>
      <c r="W221" s="218"/>
      <c r="X221" s="230"/>
      <c r="Y221" s="185"/>
      <c r="Z221" s="230"/>
      <c r="AA221" s="218"/>
      <c r="AB221" s="230"/>
      <c r="AC221" s="185"/>
      <c r="AD221" s="230"/>
      <c r="AF221" s="230"/>
      <c r="AG221" s="185"/>
      <c r="AH221" s="230"/>
      <c r="AJ221" s="230"/>
      <c r="AK221" s="185"/>
      <c r="AL221" s="230"/>
      <c r="AN221" s="181"/>
      <c r="AO221" s="185"/>
      <c r="AP221" s="230"/>
      <c r="AR221" s="185"/>
      <c r="AS221" s="185"/>
      <c r="AV221" s="185"/>
      <c r="AW221" s="185"/>
      <c r="AZ221" s="185"/>
      <c r="BA221" s="185"/>
      <c r="BD221" s="185"/>
      <c r="BE221" s="185"/>
      <c r="BH221" s="185"/>
      <c r="BI221" s="185"/>
      <c r="BL221" s="185"/>
      <c r="BM221" s="185"/>
      <c r="BP221" s="185"/>
      <c r="BQ221" s="185"/>
      <c r="BT221" s="185"/>
      <c r="BU221" s="185"/>
      <c r="BX221" s="185"/>
      <c r="BY221" s="185"/>
    </row>
    <row r="222" spans="1:78" s="161" customFormat="1">
      <c r="A222" s="148"/>
      <c r="B222" s="160" t="s">
        <v>236</v>
      </c>
      <c r="C222" s="155" t="s">
        <v>406</v>
      </c>
      <c r="D222" s="230">
        <v>2.407</v>
      </c>
      <c r="E222" s="161">
        <f>F222</f>
        <v>2.73</v>
      </c>
      <c r="F222" s="230">
        <v>2.73</v>
      </c>
      <c r="H222" s="181">
        <v>3.5760000000000001</v>
      </c>
      <c r="I222" s="161">
        <f>J222</f>
        <v>3.6059999999999999</v>
      </c>
      <c r="J222" s="230">
        <v>3.6059999999999999</v>
      </c>
      <c r="L222" s="230">
        <v>3.2869999999999999</v>
      </c>
      <c r="M222" s="161">
        <f>N222</f>
        <v>3.165</v>
      </c>
      <c r="N222" s="230">
        <v>3.165</v>
      </c>
      <c r="P222" s="181">
        <v>3.7810000000000001</v>
      </c>
      <c r="Q222" s="161">
        <f>R222</f>
        <v>3.3620000000000001</v>
      </c>
      <c r="R222" s="230">
        <v>3.3620000000000001</v>
      </c>
      <c r="T222" s="230">
        <v>2.86</v>
      </c>
      <c r="U222" s="161">
        <f>V222</f>
        <v>3.6640000000000001</v>
      </c>
      <c r="V222" s="230">
        <v>3.6640000000000001</v>
      </c>
      <c r="W222" s="218"/>
      <c r="X222" s="230">
        <v>4.4029999999999996</v>
      </c>
      <c r="Y222" s="161">
        <f>Z222</f>
        <v>3.7669999999999999</v>
      </c>
      <c r="Z222" s="230">
        <v>3.7669999999999999</v>
      </c>
      <c r="AA222" s="218"/>
      <c r="AB222" s="230">
        <v>6.6239999999999997</v>
      </c>
      <c r="AC222" s="161">
        <f>AD222</f>
        <v>9.7539999999999996</v>
      </c>
      <c r="AD222" s="230">
        <v>9.7539999999999996</v>
      </c>
      <c r="AF222" s="230">
        <v>9.4169999999999998</v>
      </c>
      <c r="AG222" s="161">
        <f>AH222</f>
        <v>5.4749999999999996</v>
      </c>
      <c r="AH222" s="230">
        <v>5.4749999999999996</v>
      </c>
      <c r="AJ222" s="230">
        <v>18.154</v>
      </c>
      <c r="AK222" s="161">
        <f>AL222</f>
        <v>19.919</v>
      </c>
      <c r="AL222" s="230">
        <v>19.919</v>
      </c>
      <c r="AM222" s="136"/>
      <c r="AN222" s="181">
        <v>33.231000000000002</v>
      </c>
      <c r="AO222" s="161">
        <f>AP222</f>
        <v>23.613</v>
      </c>
      <c r="AP222" s="916">
        <v>23.613</v>
      </c>
      <c r="AQ222" s="136"/>
      <c r="AR222" s="469">
        <f>+AR223*AR$118/AR$7</f>
        <v>22.489240680677494</v>
      </c>
      <c r="AS222" s="469">
        <f>+AS223*AS$118/AS$7</f>
        <v>24.652327003084491</v>
      </c>
      <c r="AT222" s="469">
        <f>+AS222</f>
        <v>24.652327003084491</v>
      </c>
      <c r="AU222" s="136"/>
      <c r="AV222" s="469">
        <f>+AV223*AV$118/AV$7</f>
        <v>23.498283775687774</v>
      </c>
      <c r="AW222" s="469">
        <f>+AW223*AW$118/AW$7</f>
        <v>25.815863869865357</v>
      </c>
      <c r="AX222" s="469">
        <f>+AW222</f>
        <v>25.815863869865357</v>
      </c>
      <c r="AY222" s="136"/>
      <c r="AZ222" s="469">
        <f>+AZ223*AZ$118/AZ$7</f>
        <v>24.575555062591139</v>
      </c>
      <c r="BA222" s="469">
        <f>+BA223*BA$118/BA$7</f>
        <v>26.907206985182899</v>
      </c>
      <c r="BB222" s="469">
        <f>+BA222</f>
        <v>26.907206985182899</v>
      </c>
      <c r="BC222" s="136"/>
      <c r="BD222" s="469">
        <f>+BD223*BD$118/BD$7</f>
        <v>25.43261533527933</v>
      </c>
      <c r="BE222" s="469">
        <f>+BE223*BE$118/BE$7</f>
        <v>28.052506440530966</v>
      </c>
      <c r="BF222" s="469">
        <f>+BE222</f>
        <v>28.052506440530966</v>
      </c>
      <c r="BG222" s="136"/>
      <c r="BH222" s="469">
        <f>+BH223*BH$118/BH$7</f>
        <v>26.400088410818025</v>
      </c>
      <c r="BI222" s="469">
        <f>+BI223*BI$118/BI$7</f>
        <v>29.173711874707099</v>
      </c>
      <c r="BJ222" s="469">
        <f>+BI222</f>
        <v>29.173711874707099</v>
      </c>
      <c r="BK222" s="136"/>
      <c r="BL222" s="469">
        <f>+BL223*BL$118/BL$7</f>
        <v>27.412972179163432</v>
      </c>
      <c r="BM222" s="469">
        <f>+BM223*BM$118/BM$7</f>
        <v>30.348073151659076</v>
      </c>
      <c r="BN222" s="469">
        <f>+BM222</f>
        <v>30.348073151659076</v>
      </c>
      <c r="BO222" s="136"/>
      <c r="BP222" s="469">
        <f>+BP223*BP$118/BP$7</f>
        <v>28.551529863890494</v>
      </c>
      <c r="BQ222" s="469">
        <f>+BQ223*BQ$118/BQ$7</f>
        <v>31.490766266807306</v>
      </c>
      <c r="BR222" s="469">
        <f>+BQ222</f>
        <v>31.490766266807306</v>
      </c>
      <c r="BS222" s="136"/>
      <c r="BT222" s="469">
        <f>+BT223*BT$118/BT$7</f>
        <v>29.584101144040922</v>
      </c>
      <c r="BU222" s="469">
        <f>+BU223*BU$118/BU$7</f>
        <v>32.866967577698652</v>
      </c>
      <c r="BV222" s="469">
        <f>+BU222</f>
        <v>32.866967577698652</v>
      </c>
      <c r="BW222" s="136"/>
      <c r="BX222" s="469">
        <f>+BX223*BX$118/BX$7</f>
        <v>30.74720456504555</v>
      </c>
      <c r="BY222" s="469">
        <f>+BY223*BY$118/BY$7</f>
        <v>34.217196487583337</v>
      </c>
      <c r="BZ222" s="469">
        <f>+BY222</f>
        <v>34.217196487583337</v>
      </c>
    </row>
    <row r="223" spans="1:78" s="161" customFormat="1">
      <c r="A223" s="532"/>
      <c r="B223" s="251" t="s">
        <v>385</v>
      </c>
      <c r="C223" s="161" t="s">
        <v>39</v>
      </c>
      <c r="D223" s="245">
        <f>+D222/D$118*D$7</f>
        <v>5.7972180034505201E-3</v>
      </c>
      <c r="E223" s="245">
        <f>+E222/E$118*E$7</f>
        <v>5.7574642628401666E-3</v>
      </c>
      <c r="F223" s="245">
        <f>+F222/F$118*F$7</f>
        <v>6.1414283207580278E-3</v>
      </c>
      <c r="H223" s="245">
        <f>+H222/H$118*H$7</f>
        <v>8.4365067550752036E-3</v>
      </c>
      <c r="I223" s="245">
        <f>+I222/I$118*I$7</f>
        <v>7.1376770644194353E-3</v>
      </c>
      <c r="J223" s="245">
        <f>+J222/J$118*J$7</f>
        <v>7.7681196884996943E-3</v>
      </c>
      <c r="L223" s="245">
        <f>+L222/L$118*L$7</f>
        <v>7.2723643589119261E-3</v>
      </c>
      <c r="M223" s="245">
        <f>+M222/M$118*M$7</f>
        <v>5.8695461064673052E-3</v>
      </c>
      <c r="N223" s="245">
        <f>+N222/N$118*N$7</f>
        <v>6.3907633781999252E-3</v>
      </c>
      <c r="P223" s="245">
        <f>+P222/P$118*P$7</f>
        <v>7.1880677315215823E-3</v>
      </c>
      <c r="Q223" s="245">
        <f>+Q222/Q$118*Q$7</f>
        <v>6.0310583817555644E-3</v>
      </c>
      <c r="R223" s="245">
        <f>+R222/R$118*R$7</f>
        <v>6.2075332348596746E-3</v>
      </c>
      <c r="T223" s="245">
        <f>+T222/T$118*T$7</f>
        <v>5.2834981705646615E-3</v>
      </c>
      <c r="U223" s="245">
        <f>+U222/U$118*U$7</f>
        <v>5.8474864676998301E-3</v>
      </c>
      <c r="V223" s="245">
        <f>+V222/V$118*V$7</f>
        <v>6.277003621611806E-3</v>
      </c>
      <c r="X223" s="245">
        <f>+X222/X$118*X$7</f>
        <v>7.1382452163345975E-3</v>
      </c>
      <c r="Y223" s="245">
        <f>+Y222/Y$118*Y$7</f>
        <v>5.4810517704149235E-3</v>
      </c>
      <c r="Z223" s="245">
        <f>+Z222/Z$118*Z$7</f>
        <v>5.7797526075629296E-3</v>
      </c>
      <c r="AB223" s="245">
        <f>+AB222/AB$118*AB$7</f>
        <v>1.0202327888201097E-2</v>
      </c>
      <c r="AC223" s="245">
        <f>+AC222/AC$118*AC$7</f>
        <v>1.3576356870911837E-2</v>
      </c>
      <c r="AD223" s="245">
        <f>+AD222/AD$118*AD$7</f>
        <v>1.4146893310900971E-2</v>
      </c>
      <c r="AF223" s="552">
        <f>+AF222/AF$118*AF$7</f>
        <v>1.0184938854323106E-2</v>
      </c>
      <c r="AG223" s="245">
        <f>+AG222/AG$118*AG$7</f>
        <v>4.2074823448461831E-3</v>
      </c>
      <c r="AH223" s="245">
        <f>+AH222/AH$118*AH$7</f>
        <v>4.9263122661126393E-3</v>
      </c>
      <c r="AJ223" s="552">
        <f>+AJ222/AJ$118*AJ$7</f>
        <v>1.4356773781494688E-2</v>
      </c>
      <c r="AK223" s="245">
        <f>+AK222/AK$118*AK$7</f>
        <v>1.4232024757830773E-2</v>
      </c>
      <c r="AL223" s="552">
        <f>+AL222/AL$118*AL$7</f>
        <v>1.4957651650943574E-2</v>
      </c>
      <c r="AN223" s="885">
        <f>+AN222/AN$118*AN$7</f>
        <v>2.3511671232876716E-2</v>
      </c>
      <c r="AO223" s="245">
        <f>+AO222/AO$118*AO$7</f>
        <v>1.4846532615661981E-2</v>
      </c>
      <c r="AP223" s="552">
        <f>+AP222/AP$118*AP$7</f>
        <v>1.5729185956507435E-2</v>
      </c>
      <c r="AR223" s="468">
        <f>+AO223</f>
        <v>1.4846532615661981E-2</v>
      </c>
      <c r="AS223" s="468">
        <f>+AR223</f>
        <v>1.4846532615661981E-2</v>
      </c>
      <c r="AT223" s="245">
        <f>+AT222/AT$118*AT$7</f>
        <v>1.5533622635544987E-2</v>
      </c>
      <c r="AV223" s="468">
        <f>+AS223</f>
        <v>1.4846532615661981E-2</v>
      </c>
      <c r="AW223" s="468">
        <f>+AV223</f>
        <v>1.4846532615661981E-2</v>
      </c>
      <c r="AX223" s="245">
        <f>+AX222/AX$118*AX$7</f>
        <v>1.555027061082012E-2</v>
      </c>
      <c r="AZ223" s="468">
        <f>+AW223</f>
        <v>1.4846532615661981E-2</v>
      </c>
      <c r="BA223" s="468">
        <f>+AZ223</f>
        <v>1.4846532615661981E-2</v>
      </c>
      <c r="BB223" s="245">
        <f>+BB222/BB$118*BB$7</f>
        <v>1.5522773064576579E-2</v>
      </c>
      <c r="BD223" s="468">
        <f>+BA223</f>
        <v>1.4846532615661981E-2</v>
      </c>
      <c r="BE223" s="468">
        <f>+BD223</f>
        <v>1.4846532615661981E-2</v>
      </c>
      <c r="BF223" s="245">
        <f>+BF222/BF$118*BF$7</f>
        <v>1.5580041074512788E-2</v>
      </c>
      <c r="BH223" s="468">
        <f>+BE223</f>
        <v>1.4846532615661981E-2</v>
      </c>
      <c r="BI223" s="468">
        <f>+BH223</f>
        <v>1.4846532615661981E-2</v>
      </c>
      <c r="BJ223" s="245">
        <f>+BJ222/BJ$118*BJ$7</f>
        <v>1.5593902486414239E-2</v>
      </c>
      <c r="BL223" s="468">
        <f>+BI223</f>
        <v>1.4846532615661981E-2</v>
      </c>
      <c r="BM223" s="468">
        <f>+BL223</f>
        <v>1.4846532615661981E-2</v>
      </c>
      <c r="BN223" s="245">
        <f>+BN222/BN$118*BN$7</f>
        <v>1.5607470866156192E-2</v>
      </c>
      <c r="BP223" s="468">
        <f>+BM223</f>
        <v>1.4846532615661981E-2</v>
      </c>
      <c r="BQ223" s="468">
        <f>+BP223</f>
        <v>1.4846532615661981E-2</v>
      </c>
      <c r="BR223" s="245">
        <f>+BR222/BR$118*BR$7</f>
        <v>1.5577478433505078E-2</v>
      </c>
      <c r="BT223" s="468">
        <f>+BQ223</f>
        <v>1.4846532615661981E-2</v>
      </c>
      <c r="BU223" s="468">
        <f>+BT223</f>
        <v>1.4846532615661981E-2</v>
      </c>
      <c r="BV223" s="245">
        <f>+BV222/BV$118*BV$7</f>
        <v>1.5633725229208126E-2</v>
      </c>
      <c r="BX223" s="468">
        <f>+BU223</f>
        <v>1.4846532615661981E-2</v>
      </c>
      <c r="BY223" s="468">
        <f>+BX223</f>
        <v>1.4846532615661981E-2</v>
      </c>
      <c r="BZ223" s="245">
        <f>+BZ222/BZ$118*BZ$7</f>
        <v>1.564641055766991E-2</v>
      </c>
    </row>
    <row r="224" spans="1:78" s="161" customFormat="1">
      <c r="A224" s="148"/>
      <c r="B224" s="160"/>
      <c r="D224" s="230"/>
      <c r="E224" s="185"/>
      <c r="F224" s="230"/>
      <c r="H224" s="181"/>
      <c r="I224" s="185"/>
      <c r="J224" s="230"/>
      <c r="L224" s="230"/>
      <c r="M224" s="185"/>
      <c r="N224" s="230"/>
      <c r="P224" s="181"/>
      <c r="Q224" s="185"/>
      <c r="R224" s="230"/>
      <c r="T224" s="230"/>
      <c r="U224" s="185"/>
      <c r="V224" s="230"/>
      <c r="W224" s="218"/>
      <c r="X224" s="230"/>
      <c r="Y224" s="185"/>
      <c r="Z224" s="230"/>
      <c r="AA224" s="218"/>
      <c r="AB224" s="230"/>
      <c r="AC224" s="185"/>
      <c r="AD224" s="230"/>
      <c r="AF224" s="230"/>
      <c r="AG224" s="185"/>
      <c r="AH224" s="230"/>
      <c r="AJ224" s="230"/>
      <c r="AK224" s="185"/>
      <c r="AL224" s="230"/>
      <c r="AN224" s="181"/>
      <c r="AO224" s="185"/>
      <c r="AP224" s="230"/>
      <c r="AR224" s="185"/>
      <c r="AS224" s="185"/>
      <c r="AV224" s="185"/>
      <c r="AW224" s="185"/>
      <c r="AZ224" s="185"/>
      <c r="BA224" s="185"/>
      <c r="BD224" s="185"/>
      <c r="BE224" s="185"/>
      <c r="BH224" s="185"/>
      <c r="BI224" s="185"/>
      <c r="BL224" s="185"/>
      <c r="BM224" s="185"/>
      <c r="BP224" s="185"/>
      <c r="BQ224" s="185"/>
      <c r="BT224" s="185"/>
      <c r="BU224" s="185"/>
      <c r="BX224" s="185"/>
      <c r="BY224" s="185"/>
    </row>
    <row r="225" spans="1:78" s="161" customFormat="1">
      <c r="A225" s="148"/>
      <c r="B225" s="160" t="s">
        <v>237</v>
      </c>
      <c r="C225" s="155" t="s">
        <v>406</v>
      </c>
      <c r="D225" s="230">
        <v>6.6269999999999998</v>
      </c>
      <c r="E225" s="161">
        <f>F225</f>
        <v>9.52</v>
      </c>
      <c r="F225" s="230">
        <v>9.52</v>
      </c>
      <c r="H225" s="181">
        <v>8.8179999999999996</v>
      </c>
      <c r="I225" s="161">
        <f>J225</f>
        <v>9.6720000000000006</v>
      </c>
      <c r="J225" s="230">
        <v>9.6720000000000006</v>
      </c>
      <c r="L225" s="230">
        <v>8.4329999999999998</v>
      </c>
      <c r="M225" s="161">
        <f>N225</f>
        <v>8.7959999999999994</v>
      </c>
      <c r="N225" s="230">
        <v>8.7959999999999994</v>
      </c>
      <c r="P225" s="181">
        <v>11.831</v>
      </c>
      <c r="Q225" s="161">
        <f>R225</f>
        <v>19.587</v>
      </c>
      <c r="R225" s="230">
        <v>19.587</v>
      </c>
      <c r="T225" s="230">
        <v>18.033999999999999</v>
      </c>
      <c r="U225" s="161">
        <f>V225</f>
        <v>15.999000000000001</v>
      </c>
      <c r="V225" s="230">
        <v>15.999000000000001</v>
      </c>
      <c r="W225" s="218"/>
      <c r="X225" s="230">
        <v>18.173999999999999</v>
      </c>
      <c r="Y225" s="161">
        <f>Z225</f>
        <v>14.929</v>
      </c>
      <c r="Z225" s="230">
        <v>14.929</v>
      </c>
      <c r="AA225" s="218"/>
      <c r="AB225" s="230">
        <v>19.263000000000002</v>
      </c>
      <c r="AC225" s="161">
        <f>AD225</f>
        <v>17.603000000000002</v>
      </c>
      <c r="AD225" s="230">
        <v>17.603000000000002</v>
      </c>
      <c r="AF225" s="230">
        <v>125.381</v>
      </c>
      <c r="AG225" s="161">
        <f>AH225</f>
        <v>118.31699999999999</v>
      </c>
      <c r="AH225" s="230">
        <v>118.31699999999999</v>
      </c>
      <c r="AJ225" s="230">
        <v>116.10899999999999</v>
      </c>
      <c r="AK225" s="161">
        <f>AL225</f>
        <v>119.28100000000001</v>
      </c>
      <c r="AL225" s="230">
        <v>119.28100000000001</v>
      </c>
      <c r="AM225" s="136"/>
      <c r="AN225" s="181">
        <v>119.2</v>
      </c>
      <c r="AO225" s="161">
        <f>AP225</f>
        <v>148.791</v>
      </c>
      <c r="AP225" s="916">
        <v>148.791</v>
      </c>
      <c r="AQ225" s="136"/>
      <c r="AR225" s="469">
        <f>+AR226*AR$118/AR$7</f>
        <v>141.70993139875006</v>
      </c>
      <c r="AS225" s="469">
        <f>+AS226*AS$118/AS$7</f>
        <v>155.34004095692814</v>
      </c>
      <c r="AT225" s="469">
        <f>+AS225</f>
        <v>155.34004095692814</v>
      </c>
      <c r="AU225" s="136"/>
      <c r="AV225" s="469">
        <f>+AV226*AV$118/AV$7</f>
        <v>148.06814641377036</v>
      </c>
      <c r="AW225" s="469">
        <f>+AW226*AW$118/AW$7</f>
        <v>162.67175712790143</v>
      </c>
      <c r="AX225" s="469">
        <f>+AW225</f>
        <v>162.67175712790143</v>
      </c>
      <c r="AY225" s="136"/>
      <c r="AZ225" s="469">
        <f>+AZ226*AZ$118/AZ$7</f>
        <v>154.8562831202303</v>
      </c>
      <c r="BA225" s="469">
        <f>+BA226*BA$118/BA$7</f>
        <v>169.54856369509801</v>
      </c>
      <c r="BB225" s="469">
        <f>+BA225</f>
        <v>169.54856369509801</v>
      </c>
      <c r="BC225" s="136"/>
      <c r="BD225" s="469">
        <f>+BD226*BD$118/BD$7</f>
        <v>160.25681905524695</v>
      </c>
      <c r="BE225" s="469">
        <f>+BE226*BE$118/BE$7</f>
        <v>176.76536169876945</v>
      </c>
      <c r="BF225" s="469">
        <f>+BE225</f>
        <v>176.76536169876945</v>
      </c>
      <c r="BG225" s="136"/>
      <c r="BH225" s="469">
        <f>+BH226*BH$118/BH$7</f>
        <v>166.35309171786832</v>
      </c>
      <c r="BI225" s="469">
        <f>+BI226*BI$118/BI$7</f>
        <v>183.83033767626071</v>
      </c>
      <c r="BJ225" s="469">
        <f>+BI225</f>
        <v>183.83033767626071</v>
      </c>
      <c r="BK225" s="136"/>
      <c r="BL225" s="469">
        <f>+BL226*BL$118/BL$7</f>
        <v>172.73550770803823</v>
      </c>
      <c r="BM225" s="469">
        <f>+BM226*BM$118/BM$7</f>
        <v>191.23026097101197</v>
      </c>
      <c r="BN225" s="469">
        <f>+BM225</f>
        <v>191.23026097101197</v>
      </c>
      <c r="BO225" s="136"/>
      <c r="BP225" s="469">
        <f>+BP226*BP$118/BP$7</f>
        <v>179.90982424842801</v>
      </c>
      <c r="BQ225" s="469">
        <f>+BQ226*BQ$118/BQ$7</f>
        <v>198.43063581944378</v>
      </c>
      <c r="BR225" s="469">
        <f>+BQ225</f>
        <v>198.43063581944378</v>
      </c>
      <c r="BS225" s="136"/>
      <c r="BT225" s="469">
        <f>+BT226*BT$118/BT$7</f>
        <v>186.4162958253078</v>
      </c>
      <c r="BU225" s="469">
        <f>+BU226*BU$118/BU$7</f>
        <v>207.10240007001906</v>
      </c>
      <c r="BV225" s="469">
        <f>+BU225</f>
        <v>207.10240007001906</v>
      </c>
      <c r="BW225" s="136"/>
      <c r="BX225" s="469">
        <f>+BX226*BX$118/BX$7</f>
        <v>193.74528075372433</v>
      </c>
      <c r="BY225" s="469">
        <f>+BY226*BY$118/BY$7</f>
        <v>215.61050618659263</v>
      </c>
      <c r="BZ225" s="469">
        <f>+BY225</f>
        <v>215.61050618659263</v>
      </c>
    </row>
    <row r="226" spans="1:78" s="161" customFormat="1">
      <c r="A226" s="532"/>
      <c r="B226" s="251" t="s">
        <v>385</v>
      </c>
      <c r="C226" s="161" t="s">
        <v>39</v>
      </c>
      <c r="D226" s="245">
        <f>+D225/D$118*D$7</f>
        <v>1.5961015250879351E-2</v>
      </c>
      <c r="E226" s="245">
        <f>+E225/E$118*E$7</f>
        <v>2.0077311275545198E-2</v>
      </c>
      <c r="F226" s="245">
        <f>+F225/F$118*F$7</f>
        <v>2.1416262862130556E-2</v>
      </c>
      <c r="H226" s="245">
        <f>+H225/H$118*H$7</f>
        <v>2.0803444229936557E-2</v>
      </c>
      <c r="I226" s="245">
        <f>+I225/I$118*I$7</f>
        <v>1.9144651294249804E-2</v>
      </c>
      <c r="J226" s="245">
        <f>+J225/J$118*J$7</f>
        <v>2.0835622192781213E-2</v>
      </c>
      <c r="L226" s="245">
        <f>+L225/L$118*L$7</f>
        <v>1.8657696573989739E-2</v>
      </c>
      <c r="M226" s="245">
        <f>+M225/M$118*M$7</f>
        <v>1.6312330980248473E-2</v>
      </c>
      <c r="N226" s="245">
        <f>+N225/N$118*N$7</f>
        <v>1.7760870355338559E-2</v>
      </c>
      <c r="P226" s="245">
        <f>+P225/P$118*P$7</f>
        <v>2.249194110860403E-2</v>
      </c>
      <c r="Q226" s="245">
        <f>+Q225/Q$118*Q$7</f>
        <v>3.5136924605427194E-2</v>
      </c>
      <c r="R226" s="245">
        <f>+R225/R$118*R$7</f>
        <v>3.6165066469719349E-2</v>
      </c>
      <c r="T226" s="245">
        <f>+T225/T$118*T$7</f>
        <v>3.3315596506280805E-2</v>
      </c>
      <c r="U226" s="245">
        <f>+U225/U$118*U$7</f>
        <v>2.5533279475089952E-2</v>
      </c>
      <c r="V226" s="245">
        <f>+V225/V$118*V$7</f>
        <v>2.740878300823343E-2</v>
      </c>
      <c r="X226" s="245">
        <f>+X225/X$118*X$7</f>
        <v>2.9464108235672266E-2</v>
      </c>
      <c r="Y226" s="245">
        <f>+Y225/Y$118*Y$7</f>
        <v>2.1721959617872148E-2</v>
      </c>
      <c r="Z226" s="245">
        <f>+Z225/Z$118*Z$7</f>
        <v>2.2905741087949821E-2</v>
      </c>
      <c r="AB226" s="245">
        <f>+AB225/AB$118*AB$7</f>
        <v>2.9668997903142778E-2</v>
      </c>
      <c r="AC226" s="245">
        <f>+AC225/AC$118*AC$7</f>
        <v>2.450119028077313E-2</v>
      </c>
      <c r="AD226" s="245">
        <f>+AD225/AD$118*AD$7</f>
        <v>2.5530834832047346E-2</v>
      </c>
      <c r="AF226" s="552">
        <f>+AF225/AF$118*AF$7</f>
        <v>0.135605587606869</v>
      </c>
      <c r="AG226" s="245">
        <f>+AG225/AG$118*AG$7</f>
        <v>9.0925422574459513E-2</v>
      </c>
      <c r="AH226" s="245">
        <f>+AH225/AH$118*AH$7</f>
        <v>0.10645963258258433</v>
      </c>
      <c r="AJ226" s="552">
        <f>+AJ225/AJ$118*AJ$7</f>
        <v>9.1822774429633519E-2</v>
      </c>
      <c r="AK226" s="245">
        <f>+AK225/AK$118*AK$7</f>
        <v>8.5225671225403504E-2</v>
      </c>
      <c r="AL226" s="552">
        <f>+AL225/AL$118*AL$7</f>
        <v>8.9570944654661408E-2</v>
      </c>
      <c r="AN226" s="885">
        <f>+AN225/AN$118*AN$7</f>
        <v>8.4336649843787553E-2</v>
      </c>
      <c r="AO226" s="245">
        <f>+AO225/AO$118*AO$7</f>
        <v>9.3551451929740473E-2</v>
      </c>
      <c r="AP226" s="552">
        <f>+AP225/AP$118*AP$7</f>
        <v>9.9113255734328443E-2</v>
      </c>
      <c r="AR226" s="468">
        <f>+AO226</f>
        <v>9.3551451929740473E-2</v>
      </c>
      <c r="AS226" s="468">
        <f>+AR226</f>
        <v>9.3551451929740473E-2</v>
      </c>
      <c r="AT226" s="245">
        <f>+AT225/AT$118*AT$7</f>
        <v>9.788096580550433E-2</v>
      </c>
      <c r="AV226" s="468">
        <f>+AS226</f>
        <v>9.3551451929740473E-2</v>
      </c>
      <c r="AW226" s="468">
        <f>+AV226</f>
        <v>9.3551451929740473E-2</v>
      </c>
      <c r="AX226" s="245">
        <f>+AX225/AX$118*AX$7</f>
        <v>9.7985868566236256E-2</v>
      </c>
      <c r="AZ226" s="468">
        <f>+AW226</f>
        <v>9.3551451929740473E-2</v>
      </c>
      <c r="BA226" s="468">
        <f>+AZ226</f>
        <v>9.3551451929740473E-2</v>
      </c>
      <c r="BB226" s="245">
        <f>+BB225/BB$118*BB$7</f>
        <v>9.7812600137695924E-2</v>
      </c>
      <c r="BD226" s="468">
        <f>+BA226</f>
        <v>9.3551451929740473E-2</v>
      </c>
      <c r="BE226" s="468">
        <f>+BD226</f>
        <v>9.3551451929740473E-2</v>
      </c>
      <c r="BF226" s="245">
        <f>+BF225/BF$118*BF$7</f>
        <v>9.817345917578589E-2</v>
      </c>
      <c r="BH226" s="468">
        <f>+BE226</f>
        <v>9.3551451929740473E-2</v>
      </c>
      <c r="BI226" s="468">
        <f>+BH226</f>
        <v>9.3551451929740473E-2</v>
      </c>
      <c r="BJ226" s="245">
        <f>+BJ225/BJ$118*BJ$7</f>
        <v>9.826080315318092E-2</v>
      </c>
      <c r="BL226" s="468">
        <f>+BI226</f>
        <v>9.3551451929740473E-2</v>
      </c>
      <c r="BM226" s="468">
        <f>+BL226</f>
        <v>9.3551451929740473E-2</v>
      </c>
      <c r="BN226" s="245">
        <f>+BN225/BN$118*BN$7</f>
        <v>9.8346300666846478E-2</v>
      </c>
      <c r="BP226" s="468">
        <f>+BM226</f>
        <v>9.3551451929740473E-2</v>
      </c>
      <c r="BQ226" s="468">
        <f>+BP226</f>
        <v>9.3551451929740473E-2</v>
      </c>
      <c r="BR226" s="245">
        <f>+BR225/BR$118*BR$7</f>
        <v>9.8157311379310302E-2</v>
      </c>
      <c r="BT226" s="468">
        <f>+BQ226</f>
        <v>9.3551451929740473E-2</v>
      </c>
      <c r="BU226" s="468">
        <f>+BT226</f>
        <v>9.3551451929740473E-2</v>
      </c>
      <c r="BV226" s="245">
        <f>+BV225/BV$118*BV$7</f>
        <v>9.851173550921552E-2</v>
      </c>
      <c r="BX226" s="468">
        <f>+BU226</f>
        <v>9.3551451929740473E-2</v>
      </c>
      <c r="BY226" s="468">
        <f>+BX226</f>
        <v>9.3551451929740473E-2</v>
      </c>
      <c r="BZ226" s="245">
        <f>+BZ225/BZ$118*BZ$7</f>
        <v>9.8591668711568339E-2</v>
      </c>
    </row>
    <row r="227" spans="1:78" s="161" customFormat="1">
      <c r="A227" s="148"/>
      <c r="B227" s="160"/>
      <c r="D227" s="230"/>
      <c r="E227" s="185"/>
      <c r="F227" s="230"/>
      <c r="H227" s="181"/>
      <c r="I227" s="185"/>
      <c r="J227" s="230"/>
      <c r="L227" s="230"/>
      <c r="M227" s="185"/>
      <c r="N227" s="230"/>
      <c r="P227" s="181"/>
      <c r="Q227" s="185"/>
      <c r="R227" s="230"/>
      <c r="T227" s="230"/>
      <c r="U227" s="185"/>
      <c r="V227" s="230"/>
      <c r="W227" s="218"/>
      <c r="X227" s="230"/>
      <c r="Y227" s="185"/>
      <c r="Z227" s="230"/>
      <c r="AA227" s="218"/>
      <c r="AB227" s="230"/>
      <c r="AC227" s="185"/>
      <c r="AD227" s="230"/>
      <c r="AF227" s="230"/>
      <c r="AG227" s="185"/>
      <c r="AH227" s="230"/>
      <c r="AJ227" s="230"/>
      <c r="AK227" s="185"/>
      <c r="AL227" s="230"/>
      <c r="AN227" s="181"/>
      <c r="AO227" s="185"/>
      <c r="AP227" s="230"/>
      <c r="AR227" s="185"/>
      <c r="AS227" s="185"/>
      <c r="AV227" s="185"/>
      <c r="AW227" s="185"/>
      <c r="AZ227" s="185"/>
      <c r="BA227" s="185"/>
      <c r="BD227" s="185"/>
      <c r="BE227" s="185"/>
      <c r="BH227" s="185"/>
      <c r="BI227" s="185"/>
      <c r="BL227" s="185"/>
      <c r="BM227" s="185"/>
      <c r="BP227" s="185"/>
      <c r="BQ227" s="185"/>
      <c r="BT227" s="185"/>
      <c r="BU227" s="185"/>
      <c r="BX227" s="185"/>
      <c r="BY227" s="185"/>
    </row>
    <row r="228" spans="1:78" s="161" customFormat="1">
      <c r="A228" s="148"/>
      <c r="B228" s="160" t="s">
        <v>234</v>
      </c>
      <c r="C228" s="155" t="s">
        <v>406</v>
      </c>
      <c r="D228" s="230"/>
      <c r="E228" s="161">
        <f>F228</f>
        <v>0</v>
      </c>
      <c r="F228" s="230"/>
      <c r="H228" s="181"/>
      <c r="I228" s="161">
        <f>J228</f>
        <v>0</v>
      </c>
      <c r="J228" s="230"/>
      <c r="L228" s="230"/>
      <c r="M228" s="161">
        <f>N228</f>
        <v>0</v>
      </c>
      <c r="N228" s="230"/>
      <c r="P228" s="181"/>
      <c r="Q228" s="161">
        <f>R228</f>
        <v>0</v>
      </c>
      <c r="R228" s="230"/>
      <c r="T228" s="230">
        <v>24.029</v>
      </c>
      <c r="U228" s="161">
        <f>V228</f>
        <v>21.443000000000001</v>
      </c>
      <c r="V228" s="230">
        <v>21.443000000000001</v>
      </c>
      <c r="W228" s="218"/>
      <c r="X228" s="230">
        <v>19.385000000000002</v>
      </c>
      <c r="Y228" s="161">
        <f>Z228</f>
        <v>18.079999999999998</v>
      </c>
      <c r="Z228" s="230">
        <v>18.079999999999998</v>
      </c>
      <c r="AA228" s="218"/>
      <c r="AB228" s="230">
        <v>18.638000000000002</v>
      </c>
      <c r="AC228" s="161">
        <f>AD228</f>
        <v>18.751999999999999</v>
      </c>
      <c r="AD228" s="230">
        <v>18.751999999999999</v>
      </c>
      <c r="AF228" s="230">
        <v>54.548999999999999</v>
      </c>
      <c r="AG228" s="161">
        <f>AH228</f>
        <v>62.134</v>
      </c>
      <c r="AH228" s="230">
        <v>62.134</v>
      </c>
      <c r="AJ228" s="230">
        <v>59.463000000000001</v>
      </c>
      <c r="AK228" s="161">
        <f>AL228</f>
        <v>64.536000000000001</v>
      </c>
      <c r="AL228" s="230">
        <v>64.536000000000001</v>
      </c>
      <c r="AM228" s="136"/>
      <c r="AN228" s="181">
        <v>65.016999999999996</v>
      </c>
      <c r="AO228" s="161">
        <f>AP228</f>
        <v>66.423000000000002</v>
      </c>
      <c r="AP228" s="916">
        <v>66.423000000000002</v>
      </c>
      <c r="AQ228" s="136"/>
      <c r="AR228" s="469">
        <f>+AR229*AR$118/AR$7</f>
        <v>63.261882595715967</v>
      </c>
      <c r="AS228" s="469">
        <f>+AS229*AS$118/AS$7</f>
        <v>69.346610618129034</v>
      </c>
      <c r="AT228" s="469">
        <f>+AS228</f>
        <v>69.346610618129034</v>
      </c>
      <c r="AU228" s="136"/>
      <c r="AV228" s="469">
        <f>+AV229*AV$118/AV$7</f>
        <v>66.100305053678426</v>
      </c>
      <c r="AW228" s="469">
        <f>+AW229*AW$118/AW$7</f>
        <v>72.619621641810298</v>
      </c>
      <c r="AX228" s="469">
        <f>+AW228</f>
        <v>72.619621641810298</v>
      </c>
      <c r="AY228" s="136"/>
      <c r="AZ228" s="469">
        <f>+AZ229*AZ$118/AZ$7</f>
        <v>69.13065234923522</v>
      </c>
      <c r="BA228" s="469">
        <f>+BA229*BA$118/BA$7</f>
        <v>75.689552770795899</v>
      </c>
      <c r="BB228" s="469">
        <f>+BA228</f>
        <v>75.689552770795899</v>
      </c>
      <c r="BC228" s="136"/>
      <c r="BD228" s="469">
        <f>+BD229*BD$118/BD$7</f>
        <v>71.541549503038937</v>
      </c>
      <c r="BE228" s="469">
        <f>+BE229*BE$118/BE$7</f>
        <v>78.911262241112453</v>
      </c>
      <c r="BF228" s="469">
        <f>+BE228</f>
        <v>78.911262241112453</v>
      </c>
      <c r="BG228" s="136"/>
      <c r="BH228" s="469">
        <f>+BH229*BH$118/BH$7</f>
        <v>74.263036145841923</v>
      </c>
      <c r="BI228" s="469">
        <f>+BI229*BI$118/BI$7</f>
        <v>82.065195606389253</v>
      </c>
      <c r="BJ228" s="469">
        <f>+BI228</f>
        <v>82.065195606389253</v>
      </c>
      <c r="BK228" s="136"/>
      <c r="BL228" s="469">
        <f>+BL229*BL$118/BL$7</f>
        <v>77.112262357877967</v>
      </c>
      <c r="BM228" s="469">
        <f>+BM229*BM$118/BM$7</f>
        <v>85.368655526728958</v>
      </c>
      <c r="BN228" s="469">
        <f>+BM228</f>
        <v>85.368655526728958</v>
      </c>
      <c r="BO228" s="136"/>
      <c r="BP228" s="469">
        <f>+BP229*BP$118/BP$7</f>
        <v>80.315007332791183</v>
      </c>
      <c r="BQ228" s="469">
        <f>+BQ229*BQ$118/BQ$7</f>
        <v>88.58303340279258</v>
      </c>
      <c r="BR228" s="469">
        <f>+BQ228</f>
        <v>88.58303340279258</v>
      </c>
      <c r="BS228" s="136"/>
      <c r="BT228" s="469">
        <f>+BT229*BT$118/BT$7</f>
        <v>83.219614207878294</v>
      </c>
      <c r="BU228" s="469">
        <f>+BU229*BU$118/BU$7</f>
        <v>92.454266184452521</v>
      </c>
      <c r="BV228" s="469">
        <f>+BU228</f>
        <v>92.454266184452521</v>
      </c>
      <c r="BW228" s="136"/>
      <c r="BX228" s="469">
        <f>+BX229*BX$118/BX$7</f>
        <v>86.491405955364442</v>
      </c>
      <c r="BY228" s="469">
        <f>+BY229*BY$118/BY$7</f>
        <v>96.252439007951025</v>
      </c>
      <c r="BZ228" s="469">
        <f>+BY228</f>
        <v>96.252439007951025</v>
      </c>
    </row>
    <row r="229" spans="1:78" s="161" customFormat="1">
      <c r="A229" s="532"/>
      <c r="B229" s="251" t="s">
        <v>385</v>
      </c>
      <c r="C229" s="161" t="s">
        <v>39</v>
      </c>
      <c r="D229" s="245">
        <f>+D228/D$118*D$7</f>
        <v>0</v>
      </c>
      <c r="E229" s="245">
        <f>+E228/E$118*E$7</f>
        <v>0</v>
      </c>
      <c r="F229" s="245">
        <f>+F228/F$118*F$7</f>
        <v>0</v>
      </c>
      <c r="H229" s="245">
        <f>+H228/H$118*H$7</f>
        <v>0</v>
      </c>
      <c r="I229" s="245">
        <f>+I228/I$118*I$7</f>
        <v>0</v>
      </c>
      <c r="J229" s="245">
        <f>+J228/J$118*J$7</f>
        <v>0</v>
      </c>
      <c r="L229" s="245">
        <f>+L228/L$118*L$7</f>
        <v>0</v>
      </c>
      <c r="M229" s="245">
        <f>+M228/M$118*M$7</f>
        <v>0</v>
      </c>
      <c r="N229" s="245">
        <f>+N228/N$118*N$7</f>
        <v>0</v>
      </c>
      <c r="P229" s="245">
        <f>+P228/P$118*P$7</f>
        <v>0</v>
      </c>
      <c r="Q229" s="245">
        <f>+Q228/Q$118*Q$7</f>
        <v>0</v>
      </c>
      <c r="R229" s="245">
        <f>+R228/R$118*R$7</f>
        <v>0</v>
      </c>
      <c r="T229" s="245">
        <f>+T228/T$118*T$7</f>
        <v>4.4390621517656735E-2</v>
      </c>
      <c r="U229" s="245">
        <f>+U228/U$118*U$7</f>
        <v>3.4221520831574086E-2</v>
      </c>
      <c r="V229" s="245">
        <f>+V228/V$118*V$7</f>
        <v>3.6735204328117346E-2</v>
      </c>
      <c r="X229" s="245">
        <f>+X228/X$118*X$7</f>
        <v>3.1427409384203089E-2</v>
      </c>
      <c r="Y229" s="245">
        <f>+Y228/Y$118*Y$7</f>
        <v>2.6306720469631485E-2</v>
      </c>
      <c r="Z229" s="245">
        <f>+Z228/Z$118*Z$7</f>
        <v>2.7740357617397866E-2</v>
      </c>
      <c r="AB229" s="245">
        <f>+AB228/AB$118*AB$7</f>
        <v>2.8706368837604478E-2</v>
      </c>
      <c r="AC229" s="245">
        <f>+AC228/AC$118*AC$7</f>
        <v>2.610045561239889E-2</v>
      </c>
      <c r="AD229" s="245">
        <f>+AD228/AD$118*AD$7</f>
        <v>2.7197308116261532E-2</v>
      </c>
      <c r="AF229" s="552">
        <f>+AF228/AF$118*AF$7</f>
        <v>5.8997369604382621E-2</v>
      </c>
      <c r="AG229" s="245">
        <f>+AG228/AG$118*AG$7</f>
        <v>4.7749353062040679E-2</v>
      </c>
      <c r="AH229" s="245">
        <f>+AH228/AH$118*AH$7</f>
        <v>5.5907120793176758E-2</v>
      </c>
      <c r="AJ229" s="552">
        <f>+AJ228/AJ$118*AJ$7</f>
        <v>4.70252748357948E-2</v>
      </c>
      <c r="AK229" s="245">
        <f>+AK228/AK$118*AK$7</f>
        <v>4.6110645603261551E-2</v>
      </c>
      <c r="AL229" s="552">
        <f>+AL228/AL$118*AL$7</f>
        <v>4.8461619907891683E-2</v>
      </c>
      <c r="AN229" s="885">
        <f>+AN228/AN$118*AN$7</f>
        <v>4.6000972843066576E-2</v>
      </c>
      <c r="AO229" s="245">
        <f>+AO228/AO$118*AO$7</f>
        <v>4.1763064241312653E-2</v>
      </c>
      <c r="AP229" s="552">
        <f>+AP228/AP$118*AP$7</f>
        <v>4.4245954295900281E-2</v>
      </c>
      <c r="AR229" s="468">
        <f>+AO229</f>
        <v>4.1763064241312653E-2</v>
      </c>
      <c r="AS229" s="468">
        <f>+AR229</f>
        <v>4.1763064241312653E-2</v>
      </c>
      <c r="AT229" s="245">
        <f>+AT228/AT$118*AT$7</f>
        <v>4.3695837730098018E-2</v>
      </c>
      <c r="AV229" s="468">
        <f>+AS229</f>
        <v>4.1763064241312653E-2</v>
      </c>
      <c r="AW229" s="468">
        <f>+AV229</f>
        <v>4.1763064241312653E-2</v>
      </c>
      <c r="AX229" s="245">
        <f>+AX228/AX$118*AX$7</f>
        <v>4.3742668224389311E-2</v>
      </c>
      <c r="AZ229" s="468">
        <f>+AW229</f>
        <v>4.1763064241312653E-2</v>
      </c>
      <c r="BA229" s="468">
        <f>+AZ229</f>
        <v>4.1763064241312653E-2</v>
      </c>
      <c r="BB229" s="245">
        <f>+BB228/BB$118*BB$7</f>
        <v>4.3665318056509972E-2</v>
      </c>
      <c r="BD229" s="468">
        <f>+BA229</f>
        <v>4.1763064241312653E-2</v>
      </c>
      <c r="BE229" s="468">
        <f>+BD229</f>
        <v>4.1763064241312653E-2</v>
      </c>
      <c r="BF229" s="245">
        <f>+BF228/BF$118*BF$7</f>
        <v>4.3826412073534195E-2</v>
      </c>
      <c r="BH229" s="468">
        <f>+BE229</f>
        <v>4.1763064241312653E-2</v>
      </c>
      <c r="BI229" s="468">
        <f>+BH229</f>
        <v>4.1763064241312653E-2</v>
      </c>
      <c r="BJ229" s="245">
        <f>+BJ228/BJ$118*BJ$7</f>
        <v>4.3865404008600895E-2</v>
      </c>
      <c r="BL229" s="468">
        <f>+BI229</f>
        <v>4.1763064241312653E-2</v>
      </c>
      <c r="BM229" s="468">
        <f>+BL229</f>
        <v>4.1763064241312653E-2</v>
      </c>
      <c r="BN229" s="245">
        <f>+BN228/BN$118*BN$7</f>
        <v>4.3903571648782141E-2</v>
      </c>
      <c r="BP229" s="468">
        <f>+BM229</f>
        <v>4.1763064241312653E-2</v>
      </c>
      <c r="BQ229" s="468">
        <f>+BP229</f>
        <v>4.1763064241312653E-2</v>
      </c>
      <c r="BR229" s="245">
        <f>+BR228/BR$118*BR$7</f>
        <v>4.3819203404425848E-2</v>
      </c>
      <c r="BT229" s="468">
        <f>+BQ229</f>
        <v>4.1763064241312653E-2</v>
      </c>
      <c r="BU229" s="468">
        <f>+BT229</f>
        <v>4.1763064241312653E-2</v>
      </c>
      <c r="BV229" s="245">
        <f>+BV228/BV$118*BV$7</f>
        <v>4.3977424761770689E-2</v>
      </c>
      <c r="BX229" s="468">
        <f>+BU229</f>
        <v>4.1763064241312653E-2</v>
      </c>
      <c r="BY229" s="468">
        <f>+BX229</f>
        <v>4.1763064241312653E-2</v>
      </c>
      <c r="BZ229" s="245">
        <f>+BZ228/BZ$118*BZ$7</f>
        <v>4.4013108392500243E-2</v>
      </c>
    </row>
    <row r="230" spans="1:78" s="161" customFormat="1">
      <c r="A230" s="148"/>
      <c r="B230" s="160"/>
      <c r="D230" s="230"/>
      <c r="E230" s="185"/>
      <c r="F230" s="230"/>
      <c r="H230" s="181"/>
      <c r="I230" s="185"/>
      <c r="J230" s="230"/>
      <c r="L230" s="230"/>
      <c r="M230" s="185"/>
      <c r="N230" s="230"/>
      <c r="P230" s="181"/>
      <c r="Q230" s="185"/>
      <c r="R230" s="230"/>
      <c r="T230" s="230"/>
      <c r="U230" s="185"/>
      <c r="V230" s="230"/>
      <c r="W230" s="218"/>
      <c r="X230" s="230"/>
      <c r="Y230" s="185"/>
      <c r="Z230" s="230"/>
      <c r="AA230" s="218"/>
      <c r="AB230" s="230"/>
      <c r="AC230" s="185"/>
      <c r="AD230" s="230"/>
      <c r="AF230" s="230"/>
      <c r="AG230" s="185"/>
      <c r="AH230" s="230"/>
      <c r="AJ230" s="230"/>
      <c r="AK230" s="185"/>
      <c r="AL230" s="230"/>
      <c r="AN230" s="181"/>
      <c r="AO230" s="185"/>
      <c r="AP230" s="230"/>
      <c r="AR230" s="185"/>
      <c r="AS230" s="185"/>
      <c r="AV230" s="185"/>
      <c r="AW230" s="185"/>
      <c r="AZ230" s="185"/>
      <c r="BA230" s="185"/>
      <c r="BD230" s="185"/>
      <c r="BE230" s="185"/>
      <c r="BH230" s="185"/>
      <c r="BI230" s="185"/>
      <c r="BL230" s="185"/>
      <c r="BM230" s="185"/>
      <c r="BP230" s="185"/>
      <c r="BQ230" s="185"/>
      <c r="BT230" s="185"/>
      <c r="BU230" s="185"/>
      <c r="BX230" s="185"/>
      <c r="BY230" s="185"/>
    </row>
    <row r="231" spans="1:78" s="161" customFormat="1">
      <c r="A231" s="148"/>
      <c r="B231" s="160" t="s">
        <v>235</v>
      </c>
      <c r="C231" s="155" t="s">
        <v>406</v>
      </c>
      <c r="D231" s="230">
        <v>82.724999999999994</v>
      </c>
      <c r="E231" s="161">
        <f>F231</f>
        <v>84.185000000000002</v>
      </c>
      <c r="F231" s="230">
        <v>84.185000000000002</v>
      </c>
      <c r="H231" s="181">
        <v>84.024000000000001</v>
      </c>
      <c r="I231" s="161">
        <f>J231</f>
        <v>88.927000000000007</v>
      </c>
      <c r="J231" s="230">
        <v>88.927000000000007</v>
      </c>
      <c r="L231" s="230">
        <v>106.858</v>
      </c>
      <c r="M231" s="161">
        <f>N231</f>
        <v>112.285</v>
      </c>
      <c r="N231" s="230">
        <v>112.285</v>
      </c>
      <c r="P231" s="181">
        <v>43.545999999999999</v>
      </c>
      <c r="Q231" s="161">
        <f>R231</f>
        <v>85.53</v>
      </c>
      <c r="R231" s="230">
        <v>85.53</v>
      </c>
      <c r="T231" s="230">
        <v>76.504000000000005</v>
      </c>
      <c r="U231" s="161">
        <f>V231</f>
        <v>220.666</v>
      </c>
      <c r="V231" s="230">
        <v>220.666</v>
      </c>
      <c r="W231" s="218"/>
      <c r="X231" s="230">
        <v>258.95499999999998</v>
      </c>
      <c r="Y231" s="161">
        <f>Z231</f>
        <v>200.809</v>
      </c>
      <c r="Z231" s="230">
        <v>200.809</v>
      </c>
      <c r="AA231" s="218"/>
      <c r="AB231" s="230">
        <v>225.453</v>
      </c>
      <c r="AC231" s="161">
        <f>AD231</f>
        <v>38.860999999999997</v>
      </c>
      <c r="AD231" s="230">
        <v>38.860999999999997</v>
      </c>
      <c r="AF231" s="230">
        <v>684.68799999999999</v>
      </c>
      <c r="AG231" s="161">
        <f>AH231</f>
        <v>564.46100000000001</v>
      </c>
      <c r="AH231" s="230">
        <v>564.46100000000001</v>
      </c>
      <c r="AJ231" s="230">
        <v>662.86900000000003</v>
      </c>
      <c r="AK231" s="161">
        <f>AL231</f>
        <v>639.88199999999995</v>
      </c>
      <c r="AL231" s="230">
        <v>639.88199999999995</v>
      </c>
      <c r="AN231" s="181">
        <v>765.95899999999995</v>
      </c>
      <c r="AO231" s="161">
        <f>AP231</f>
        <v>865.529</v>
      </c>
      <c r="AP231" s="916">
        <v>865.529</v>
      </c>
      <c r="AR231" s="161">
        <f>AO231+AR232</f>
        <v>863.44564249999996</v>
      </c>
      <c r="AS231" s="185">
        <f>AR231+AS232</f>
        <v>861.37645750000001</v>
      </c>
      <c r="AT231" s="161">
        <f>AS231</f>
        <v>861.37645750000001</v>
      </c>
      <c r="AV231" s="161">
        <f>AS231+AV232</f>
        <v>859.26588879999997</v>
      </c>
      <c r="AW231" s="185">
        <f>AV231+AW232</f>
        <v>857.15532009999993</v>
      </c>
      <c r="AX231" s="161">
        <f>AW231</f>
        <v>857.15532009999993</v>
      </c>
      <c r="AZ231" s="161">
        <f>AW231+AZ232</f>
        <v>852.84975995199989</v>
      </c>
      <c r="BA231" s="185">
        <f>AZ231+BA232</f>
        <v>848.54419980399985</v>
      </c>
      <c r="BB231" s="161">
        <f>BA231</f>
        <v>848.54419980399985</v>
      </c>
      <c r="BD231" s="161">
        <f>BA231+BD232</f>
        <v>844.15252845303985</v>
      </c>
      <c r="BE231" s="185">
        <f>BD231+BE232</f>
        <v>839.76085710207985</v>
      </c>
      <c r="BF231" s="161">
        <f>BE231</f>
        <v>839.76085710207985</v>
      </c>
      <c r="BH231" s="161">
        <f>BE231+BH232</f>
        <v>835.28135232410068</v>
      </c>
      <c r="BI231" s="185">
        <f>BH231+BI232</f>
        <v>830.80184754612151</v>
      </c>
      <c r="BJ231" s="161">
        <f>BI231</f>
        <v>830.80184754612151</v>
      </c>
      <c r="BL231" s="161">
        <f>BI231+BL232</f>
        <v>826.23275267258271</v>
      </c>
      <c r="BM231" s="185">
        <f>BL231+BM232</f>
        <v>821.6636577990439</v>
      </c>
      <c r="BN231" s="161">
        <f>BM231</f>
        <v>821.6636577990439</v>
      </c>
      <c r="BP231" s="161">
        <f>BM231+BP232</f>
        <v>817.00318102803431</v>
      </c>
      <c r="BQ231" s="185">
        <f>BP231+BQ232</f>
        <v>812.34270425702471</v>
      </c>
      <c r="BR231" s="161">
        <f>BQ231</f>
        <v>812.34270425702471</v>
      </c>
      <c r="BT231" s="161">
        <f>BQ231+BT232</f>
        <v>807.58901795059501</v>
      </c>
      <c r="BU231" s="185">
        <f>BT231+BU232</f>
        <v>802.83533164416531</v>
      </c>
      <c r="BV231" s="161">
        <f>BU231</f>
        <v>802.83533164416531</v>
      </c>
      <c r="BX231" s="161">
        <f>BU231+BX232</f>
        <v>797.98657161160691</v>
      </c>
      <c r="BY231" s="185">
        <f>BX231+BY232</f>
        <v>793.1378115790485</v>
      </c>
      <c r="BZ231" s="161">
        <f>BY231</f>
        <v>793.1378115790485</v>
      </c>
    </row>
    <row r="232" spans="1:78" s="161" customFormat="1">
      <c r="A232" s="148"/>
      <c r="B232" s="441" t="s">
        <v>428</v>
      </c>
      <c r="C232" s="155" t="s">
        <v>406</v>
      </c>
      <c r="D232" s="172"/>
      <c r="E232" s="172"/>
      <c r="F232" s="172"/>
      <c r="H232" s="172">
        <f>H231-E231</f>
        <v>-0.16100000000000136</v>
      </c>
      <c r="I232" s="172">
        <f>I231-H231</f>
        <v>4.9030000000000058</v>
      </c>
      <c r="J232" s="172">
        <f>J231-F231</f>
        <v>4.7420000000000044</v>
      </c>
      <c r="L232" s="172">
        <f>L231-I231</f>
        <v>17.930999999999997</v>
      </c>
      <c r="M232" s="172">
        <f>M231-L231</f>
        <v>5.4269999999999925</v>
      </c>
      <c r="N232" s="172">
        <f>N231-J231</f>
        <v>23.35799999999999</v>
      </c>
      <c r="P232" s="172">
        <f>P231-M231</f>
        <v>-68.739000000000004</v>
      </c>
      <c r="Q232" s="172">
        <f>Q231-P231</f>
        <v>41.984000000000002</v>
      </c>
      <c r="R232" s="172">
        <f>R231-N231</f>
        <v>-26.754999999999995</v>
      </c>
      <c r="T232" s="172">
        <f>T231-Q231</f>
        <v>-9.0259999999999962</v>
      </c>
      <c r="U232" s="172">
        <f>U231-T231</f>
        <v>144.16199999999998</v>
      </c>
      <c r="V232" s="172">
        <f>V231-R231</f>
        <v>135.136</v>
      </c>
      <c r="X232" s="172">
        <f>X231-U231</f>
        <v>38.288999999999987</v>
      </c>
      <c r="Y232" s="172">
        <f>Y231-X231</f>
        <v>-58.145999999999987</v>
      </c>
      <c r="Z232" s="172">
        <f>Z231-V231</f>
        <v>-19.856999999999999</v>
      </c>
      <c r="AB232" s="172">
        <f>AB231-Y231</f>
        <v>24.644000000000005</v>
      </c>
      <c r="AC232" s="172">
        <f>AC231-AB231</f>
        <v>-186.59200000000001</v>
      </c>
      <c r="AD232" s="172">
        <f>AD231-Z231</f>
        <v>-161.94800000000001</v>
      </c>
      <c r="AF232" s="263">
        <f>AF231-AC231</f>
        <v>645.827</v>
      </c>
      <c r="AG232" s="172">
        <f>AG231-AF231</f>
        <v>-120.22699999999998</v>
      </c>
      <c r="AH232" s="172">
        <f>AH231-AD231</f>
        <v>525.6</v>
      </c>
      <c r="AJ232" s="263">
        <f>AJ231-AG231</f>
        <v>98.408000000000015</v>
      </c>
      <c r="AK232" s="172">
        <f>AK231-AJ231</f>
        <v>-22.98700000000008</v>
      </c>
      <c r="AL232" s="263">
        <f>AL231-AH231</f>
        <v>75.420999999999935</v>
      </c>
      <c r="AN232" s="172">
        <f>AN231-AK231</f>
        <v>126.077</v>
      </c>
      <c r="AO232" s="172">
        <f>AO231-AN231</f>
        <v>99.57000000000005</v>
      </c>
      <c r="AP232" s="263">
        <f>AP231-AL231</f>
        <v>225.64700000000005</v>
      </c>
      <c r="AR232" s="501">
        <f>CF!AR113</f>
        <v>-2.0833575</v>
      </c>
      <c r="AS232" s="501">
        <f>CF!AS113</f>
        <v>-2.0691850000000001</v>
      </c>
      <c r="AT232" s="172">
        <f t="shared" ref="AT232" si="817">AT231-AP231</f>
        <v>-4.1525424999999814</v>
      </c>
      <c r="AV232" s="501">
        <f>CF!AV113</f>
        <v>-2.1105687</v>
      </c>
      <c r="AW232" s="501">
        <f>CF!AW113</f>
        <v>-2.1105687</v>
      </c>
      <c r="AX232" s="172">
        <f t="shared" ref="AX232" si="818">AX231-AT231</f>
        <v>-4.2211374000000887</v>
      </c>
      <c r="AZ232" s="501">
        <f>CF!AZ113</f>
        <v>-4.3055601480000005</v>
      </c>
      <c r="BA232" s="501">
        <f>CF!BA113</f>
        <v>-4.3055601480000005</v>
      </c>
      <c r="BB232" s="172">
        <f t="shared" ref="BB232" si="819">BB231-AX231</f>
        <v>-8.611120296000081</v>
      </c>
      <c r="BD232" s="501">
        <f>CF!BD113</f>
        <v>-4.3916713509600003</v>
      </c>
      <c r="BE232" s="501">
        <f>CF!BE113</f>
        <v>-4.3916713509600003</v>
      </c>
      <c r="BF232" s="172">
        <f t="shared" ref="BF232" si="820">BF231-BB231</f>
        <v>-8.7833427019199917</v>
      </c>
      <c r="BH232" s="501">
        <f>CF!BH113</f>
        <v>-4.4795047779792005</v>
      </c>
      <c r="BI232" s="501">
        <f>CF!BI113</f>
        <v>-4.4795047779792005</v>
      </c>
      <c r="BJ232" s="172">
        <f t="shared" ref="BJ232" si="821">BJ231-BF231</f>
        <v>-8.959009555958346</v>
      </c>
      <c r="BL232" s="501">
        <f>CF!BL113</f>
        <v>-4.5690948735387842</v>
      </c>
      <c r="BM232" s="501">
        <f>CF!BM113</f>
        <v>-4.5690948735387842</v>
      </c>
      <c r="BN232" s="172">
        <f t="shared" ref="BN232" si="822">BN231-BJ231</f>
        <v>-9.1381897470776039</v>
      </c>
      <c r="BP232" s="501">
        <f>CF!BP113</f>
        <v>-4.6604767710095603</v>
      </c>
      <c r="BQ232" s="501">
        <f>CF!BQ113</f>
        <v>-4.6604767710095603</v>
      </c>
      <c r="BR232" s="172">
        <f t="shared" ref="BR232" si="823">BR231-BN231</f>
        <v>-9.3209535420191969</v>
      </c>
      <c r="BT232" s="501">
        <f>CF!BT113</f>
        <v>-4.7536863064297519</v>
      </c>
      <c r="BU232" s="501">
        <f>CF!BU113</f>
        <v>-4.7536863064297519</v>
      </c>
      <c r="BV232" s="172">
        <f t="shared" ref="BV232" si="824">BV231-BR231</f>
        <v>-9.5073726128593989</v>
      </c>
      <c r="BX232" s="501">
        <f>CF!BX113</f>
        <v>-4.8487600325583466</v>
      </c>
      <c r="BY232" s="501">
        <f>CF!BY113</f>
        <v>-4.8487600325583466</v>
      </c>
      <c r="BZ232" s="172">
        <f t="shared" ref="BZ232" si="825">BZ231-BV231</f>
        <v>-9.6975200651168052</v>
      </c>
    </row>
    <row r="233" spans="1:78" s="161" customFormat="1">
      <c r="A233" s="148"/>
      <c r="B233" s="160"/>
      <c r="D233" s="230"/>
      <c r="E233" s="185"/>
      <c r="F233" s="230"/>
      <c r="H233" s="181"/>
      <c r="I233" s="185"/>
      <c r="J233" s="230"/>
      <c r="L233" s="230"/>
      <c r="M233" s="185"/>
      <c r="N233" s="230"/>
      <c r="P233" s="181"/>
      <c r="Q233" s="185"/>
      <c r="R233" s="230"/>
      <c r="T233" s="230"/>
      <c r="U233" s="185"/>
      <c r="V233" s="230"/>
      <c r="W233" s="218"/>
      <c r="X233" s="230"/>
      <c r="Y233" s="185"/>
      <c r="Z233" s="230"/>
      <c r="AA233" s="218"/>
      <c r="AB233" s="230"/>
      <c r="AC233" s="185"/>
      <c r="AD233" s="230"/>
      <c r="AF233" s="230"/>
      <c r="AG233" s="185"/>
      <c r="AH233" s="230"/>
      <c r="AJ233" s="185"/>
      <c r="AK233" s="185"/>
      <c r="AL233" s="230"/>
      <c r="AN233" s="185"/>
      <c r="AO233" s="185"/>
      <c r="AR233" s="185"/>
      <c r="AS233" s="185"/>
      <c r="AV233" s="185"/>
      <c r="AW233" s="185"/>
      <c r="AZ233" s="185"/>
      <c r="BA233" s="185"/>
      <c r="BD233" s="185"/>
      <c r="BE233" s="185"/>
      <c r="BH233" s="185"/>
      <c r="BI233" s="185"/>
      <c r="BL233" s="185"/>
      <c r="BM233" s="185"/>
      <c r="BP233" s="185"/>
      <c r="BQ233" s="185"/>
      <c r="BT233" s="185"/>
      <c r="BU233" s="185"/>
      <c r="BX233" s="185"/>
      <c r="BY233" s="185"/>
    </row>
    <row r="234" spans="1:78" s="161" customFormat="1">
      <c r="A234" s="148"/>
      <c r="B234" s="162" t="s">
        <v>15</v>
      </c>
      <c r="D234" s="230"/>
      <c r="E234" s="185"/>
      <c r="F234" s="230"/>
      <c r="H234" s="181"/>
      <c r="I234" s="185"/>
      <c r="J234" s="230"/>
      <c r="L234" s="230"/>
      <c r="M234" s="185"/>
      <c r="N234" s="230"/>
      <c r="P234" s="181"/>
      <c r="Q234" s="185"/>
      <c r="R234" s="230"/>
      <c r="T234" s="230"/>
      <c r="U234" s="185"/>
      <c r="V234" s="230"/>
      <c r="W234" s="218"/>
      <c r="X234" s="230"/>
      <c r="Y234" s="185"/>
      <c r="Z234" s="230"/>
      <c r="AA234" s="218"/>
      <c r="AB234" s="230"/>
      <c r="AC234" s="185"/>
      <c r="AD234" s="230"/>
      <c r="AF234" s="230"/>
      <c r="AG234" s="185"/>
      <c r="AH234" s="230"/>
      <c r="AJ234" s="185"/>
      <c r="AK234" s="185"/>
      <c r="AL234" s="230"/>
      <c r="AN234" s="185"/>
      <c r="AO234" s="185"/>
      <c r="AR234" s="185"/>
      <c r="AS234" s="185"/>
      <c r="AV234" s="185"/>
      <c r="AW234" s="185"/>
      <c r="AZ234" s="185"/>
      <c r="BA234" s="185"/>
      <c r="BD234" s="185"/>
      <c r="BE234" s="185"/>
      <c r="BH234" s="185"/>
      <c r="BI234" s="185"/>
      <c r="BL234" s="185"/>
      <c r="BM234" s="185"/>
      <c r="BP234" s="185"/>
      <c r="BQ234" s="185"/>
      <c r="BT234" s="185"/>
      <c r="BU234" s="185"/>
      <c r="BX234" s="185"/>
      <c r="BY234" s="185"/>
    </row>
    <row r="235" spans="1:78" s="161" customFormat="1">
      <c r="A235" s="148"/>
      <c r="B235" s="160"/>
      <c r="D235" s="174"/>
      <c r="F235" s="174"/>
      <c r="H235" s="174"/>
      <c r="J235" s="174"/>
      <c r="L235" s="174"/>
      <c r="N235" s="174"/>
      <c r="P235" s="174"/>
      <c r="R235" s="174"/>
      <c r="T235" s="174"/>
      <c r="V235" s="174"/>
      <c r="X235" s="174"/>
      <c r="Z235" s="174"/>
      <c r="AB235" s="174"/>
      <c r="AD235" s="174"/>
      <c r="AF235" s="237"/>
      <c r="AH235" s="174"/>
      <c r="AL235" s="174"/>
    </row>
    <row r="236" spans="1:78">
      <c r="B236" s="336" t="s">
        <v>297</v>
      </c>
      <c r="C236" s="155" t="s">
        <v>406</v>
      </c>
      <c r="T236" s="490">
        <v>170.48099999999999</v>
      </c>
      <c r="U236" s="155">
        <f>T241</f>
        <v>171.16800000000001</v>
      </c>
      <c r="V236" s="490">
        <v>170.48099999999999</v>
      </c>
      <c r="X236" s="155">
        <f>+V241</f>
        <v>177.76900000000001</v>
      </c>
      <c r="Y236" s="155">
        <f>X241</f>
        <v>174.62</v>
      </c>
      <c r="Z236" s="155">
        <f>+V241</f>
        <v>177.76900000000001</v>
      </c>
      <c r="AB236" s="155">
        <f>+Z241</f>
        <v>210.42400000000001</v>
      </c>
      <c r="AC236" s="155">
        <f>AB241</f>
        <v>208.297</v>
      </c>
      <c r="AD236" s="155">
        <f>+Z241</f>
        <v>210.42400000000001</v>
      </c>
      <c r="AE236" s="161"/>
      <c r="AF236" s="155">
        <f>+AD241</f>
        <v>247.27799999999999</v>
      </c>
      <c r="AG236" s="155">
        <f>AF241</f>
        <v>205.12200000000001</v>
      </c>
      <c r="AH236" s="155">
        <f>+AD241</f>
        <v>247.27799999999999</v>
      </c>
      <c r="AI236" s="161"/>
      <c r="AJ236" s="155">
        <f>+AH241</f>
        <v>258.399</v>
      </c>
      <c r="AK236" s="155">
        <f>AJ241</f>
        <v>244.553</v>
      </c>
      <c r="AL236" s="155">
        <f>+AH241</f>
        <v>258.399</v>
      </c>
      <c r="AN236" s="155">
        <f>+AL241</f>
        <v>312.84699999999998</v>
      </c>
      <c r="AO236" s="155">
        <f>AN241</f>
        <v>244.00800000000001</v>
      </c>
      <c r="AP236" s="155">
        <f>+AL241</f>
        <v>312.84699999999998</v>
      </c>
      <c r="AR236" s="155">
        <f t="shared" ref="AR236" si="826">+AP241</f>
        <v>361.63799999999998</v>
      </c>
      <c r="AS236" s="155">
        <f t="shared" ref="AS236" si="827">AR241</f>
        <v>360.44170474867508</v>
      </c>
      <c r="AT236" s="155">
        <f t="shared" ref="AT236" si="828">+AP241</f>
        <v>361.63799999999998</v>
      </c>
      <c r="AV236" s="155">
        <f t="shared" ref="AV236" si="829">+AT241</f>
        <v>439.60878149325515</v>
      </c>
      <c r="AW236" s="155">
        <f t="shared" ref="AW236" si="830">AV241</f>
        <v>430.170871851529</v>
      </c>
      <c r="AX236" s="155">
        <f t="shared" ref="AX236" si="831">+AT241</f>
        <v>439.60878149325515</v>
      </c>
      <c r="AZ236" s="155">
        <f t="shared" ref="AZ236" si="832">+AX241</f>
        <v>518.36983344859448</v>
      </c>
      <c r="BA236" s="155">
        <f t="shared" ref="BA236" si="833">AZ241</f>
        <v>509.13865601119096</v>
      </c>
      <c r="BB236" s="155">
        <f t="shared" ref="BB236" si="834">+AX241</f>
        <v>518.36983344859448</v>
      </c>
      <c r="BD236" s="155">
        <f t="shared" ref="BD236" si="835">+BB241</f>
        <v>605.30187851347205</v>
      </c>
      <c r="BE236" s="155">
        <f t="shared" ref="BE236" si="836">BD241</f>
        <v>592.91091255542688</v>
      </c>
      <c r="BF236" s="155">
        <f t="shared" ref="BF236" si="837">+BB241</f>
        <v>605.30187851347205</v>
      </c>
      <c r="BH236" s="155">
        <f t="shared" ref="BH236" si="838">+BF241</f>
        <v>694.18503304772503</v>
      </c>
      <c r="BI236" s="155">
        <f t="shared" ref="BI236" si="839">BH241</f>
        <v>681.89743721945979</v>
      </c>
      <c r="BJ236" s="155">
        <f t="shared" ref="BJ236" si="840">+BF241</f>
        <v>694.18503304772503</v>
      </c>
      <c r="BL236" s="155">
        <f t="shared" ref="BL236" si="841">+BJ241</f>
        <v>788.5245689936653</v>
      </c>
      <c r="BM236" s="155">
        <f t="shared" ref="BM236" si="842">BL241</f>
        <v>776.34315123535021</v>
      </c>
      <c r="BN236" s="155">
        <f t="shared" ref="BN236" si="843">+BJ241</f>
        <v>788.5245689936653</v>
      </c>
      <c r="BP236" s="155">
        <f t="shared" ref="BP236" si="844">+BN241</f>
        <v>888.57731330882052</v>
      </c>
      <c r="BQ236" s="155">
        <f t="shared" ref="BQ236" si="845">BP241</f>
        <v>876.50501984582036</v>
      </c>
      <c r="BR236" s="155">
        <f t="shared" ref="BR236" si="846">+BN241</f>
        <v>888.57731330882052</v>
      </c>
      <c r="BT236" s="155">
        <f t="shared" ref="BT236" si="847">+BR241</f>
        <v>994.61273472669427</v>
      </c>
      <c r="BU236" s="155">
        <f t="shared" ref="BU236" si="848">BT241</f>
        <v>982.65265987204521</v>
      </c>
      <c r="BV236" s="155">
        <f t="shared" ref="BV236" si="849">+BR241</f>
        <v>994.61273472669427</v>
      </c>
      <c r="BX236" s="155">
        <f t="shared" ref="BX236" si="850">+BV241</f>
        <v>1106.9135817337508</v>
      </c>
      <c r="BY236" s="155">
        <f t="shared" ref="BY236" si="851">BX241</f>
        <v>1095.0689784073786</v>
      </c>
      <c r="BZ236" s="155">
        <f t="shared" ref="BZ236" si="852">+BV241</f>
        <v>1106.9135817337508</v>
      </c>
    </row>
    <row r="237" spans="1:78">
      <c r="B237" s="336" t="s">
        <v>298</v>
      </c>
      <c r="C237" s="155" t="s">
        <v>406</v>
      </c>
      <c r="T237" s="161">
        <f>+'P&amp;L'!T89</f>
        <v>7.7430000000000323</v>
      </c>
      <c r="U237" s="491">
        <f>+V237-T237</f>
        <v>39.240999999999971</v>
      </c>
      <c r="V237" s="181">
        <v>46.984000000000002</v>
      </c>
      <c r="W237" s="489">
        <f>+V237-U237-T237</f>
        <v>0</v>
      </c>
      <c r="X237" s="161">
        <f>+'P&amp;L'!X89</f>
        <v>23.300000000000004</v>
      </c>
      <c r="Y237" s="161">
        <f>+'P&amp;L'!Y89</f>
        <v>47.39400000000002</v>
      </c>
      <c r="Z237" s="161">
        <f>+'P&amp;L'!Z89</f>
        <v>70.694000000000074</v>
      </c>
      <c r="AA237" s="489">
        <f>+Z237-Y237-X237</f>
        <v>4.9737991503207013E-14</v>
      </c>
      <c r="AB237" s="161">
        <f>+'P&amp;L'!AB89</f>
        <v>29.599000000000018</v>
      </c>
      <c r="AC237" s="161">
        <f>+'P&amp;L'!AC89</f>
        <v>51.257999999999996</v>
      </c>
      <c r="AD237" s="161">
        <f>+'P&amp;L'!AD89</f>
        <v>80.856999999999914</v>
      </c>
      <c r="AE237" s="489">
        <f>+AD237-AC237-AB237</f>
        <v>-9.9475983006414026E-14</v>
      </c>
      <c r="AF237" s="161">
        <f>+'P&amp;L'!AF89</f>
        <v>2.2659999999999627</v>
      </c>
      <c r="AG237" s="161">
        <f>+'P&amp;L'!AG89</f>
        <v>62.967000000000027</v>
      </c>
      <c r="AH237" s="161">
        <f>+'P&amp;L'!AH89</f>
        <v>65.133000000000067</v>
      </c>
      <c r="AI237" s="489">
        <f>+AH237-AG237-AF237</f>
        <v>-9.9999999999923261E-2</v>
      </c>
      <c r="AJ237" s="161">
        <f>+'P&amp;L'!AJ89</f>
        <v>53.232000000000056</v>
      </c>
      <c r="AK237" s="161">
        <f>+'P&amp;L'!AK89</f>
        <v>83.822000000000031</v>
      </c>
      <c r="AL237" s="161">
        <f>+'P&amp;L'!AL89</f>
        <v>137.07600000000008</v>
      </c>
      <c r="AM237" s="489">
        <f>+AL237-AK237-AJ237</f>
        <v>2.199999999999136E-2</v>
      </c>
      <c r="AN237" s="161">
        <f>+'P&amp;L'!AN89</f>
        <v>26.544999999999959</v>
      </c>
      <c r="AO237" s="161">
        <f>+'P&amp;L'!AO89</f>
        <v>153.54499999999985</v>
      </c>
      <c r="AP237" s="161">
        <f>+'P&amp;L'!AP89</f>
        <v>180.0899999999998</v>
      </c>
      <c r="AQ237" s="489">
        <f>+AP237-AO237-AN237</f>
        <v>0</v>
      </c>
      <c r="AR237" s="161">
        <f>+'P&amp;L'!AR89</f>
        <v>75.751704748675081</v>
      </c>
      <c r="AS237" s="161">
        <f>+'P&amp;L'!AS89</f>
        <v>115.86775864405007</v>
      </c>
      <c r="AT237" s="161">
        <f t="shared" ref="AT237:AT239" si="853">+AR237+AS237</f>
        <v>191.61946339272515</v>
      </c>
      <c r="AV237" s="161">
        <f>+'P&amp;L'!AV89</f>
        <v>82.86952140910887</v>
      </c>
      <c r="AW237" s="161">
        <f>+'P&amp;L'!AW89</f>
        <v>127.74677016070908</v>
      </c>
      <c r="AX237" s="161">
        <f t="shared" ref="AX237:AX239" si="854">+AV237+AW237</f>
        <v>210.61629156981795</v>
      </c>
      <c r="AZ237" s="161">
        <f>+'P&amp;L'!AZ89</f>
        <v>91.391561675092831</v>
      </c>
      <c r="BA237" s="161">
        <f>+'P&amp;L'!BA89</f>
        <v>139.11984717231823</v>
      </c>
      <c r="BB237" s="161">
        <f t="shared" ref="BB237:BB239" si="855">+AZ237+BA237</f>
        <v>230.51140884741108</v>
      </c>
      <c r="BD237" s="161">
        <f>+'P&amp;L'!BD89</f>
        <v>96.192927062577667</v>
      </c>
      <c r="BE237" s="161">
        <f>+'P&amp;L'!BE89</f>
        <v>146.15129131732908</v>
      </c>
      <c r="BF237" s="161">
        <f t="shared" ref="BF237:BF239" si="856">+BD237+BE237</f>
        <v>242.34421837990675</v>
      </c>
      <c r="BH237" s="161">
        <f>+'P&amp;L'!BH89</f>
        <v>101.21830809386506</v>
      </c>
      <c r="BI237" s="161">
        <f>+'P&amp;L'!BI89</f>
        <v>153.51445501175158</v>
      </c>
      <c r="BJ237" s="161">
        <f t="shared" ref="BJ237:BJ239" si="857">+BH237+BI237</f>
        <v>254.73276310561664</v>
      </c>
      <c r="BL237" s="161">
        <f>+'P&amp;L'!BL89</f>
        <v>106.47870074991104</v>
      </c>
      <c r="BM237" s="161">
        <f>+'P&amp;L'!BM89</f>
        <v>161.22564237343471</v>
      </c>
      <c r="BN237" s="161">
        <f t="shared" ref="BN237:BN239" si="858">+BL237+BM237</f>
        <v>267.70434312334578</v>
      </c>
      <c r="BP237" s="161">
        <f>+'P&amp;L'!BP89</f>
        <v>111.98565619840416</v>
      </c>
      <c r="BQ237" s="161">
        <f>+'P&amp;L'!BQ89</f>
        <v>169.3019773602357</v>
      </c>
      <c r="BR237" s="161">
        <f t="shared" ref="BR237:BR239" si="859">+BP237+BQ237</f>
        <v>281.28763355863987</v>
      </c>
      <c r="BT237" s="161">
        <f>+'P&amp;L'!BT89</f>
        <v>117.75130929751597</v>
      </c>
      <c r="BU237" s="161">
        <f>+'P&amp;L'!BU89</f>
        <v>177.76144558071212</v>
      </c>
      <c r="BV237" s="161">
        <f t="shared" ref="BV237:BV239" si="860">+BT237+BU237</f>
        <v>295.51275487822807</v>
      </c>
      <c r="BX237" s="161">
        <f>+'P&amp;L'!BX89</f>
        <v>123.78840858012643</v>
      </c>
      <c r="BY237" s="161">
        <f>+'P&amp;L'!BY89</f>
        <v>186.62293825928731</v>
      </c>
      <c r="BZ237" s="161">
        <f t="shared" ref="BZ237:BZ239" si="861">+BX237+BY237</f>
        <v>310.41134683941374</v>
      </c>
    </row>
    <row r="238" spans="1:78">
      <c r="B238" s="336" t="s">
        <v>299</v>
      </c>
      <c r="C238" s="155" t="s">
        <v>406</v>
      </c>
      <c r="T238" s="155">
        <f>CF!T68</f>
        <v>-20.603000000000002</v>
      </c>
      <c r="U238" s="491">
        <f>+V238-T238</f>
        <v>-13.985999999999997</v>
      </c>
      <c r="V238" s="490">
        <v>-34.588999999999999</v>
      </c>
      <c r="W238" s="489">
        <f>+V238-U238-T238</f>
        <v>0</v>
      </c>
      <c r="X238" s="155">
        <v>-26.216000000000001</v>
      </c>
      <c r="Y238" s="491">
        <f>+Z238-X238</f>
        <v>-11.902999999999999</v>
      </c>
      <c r="Z238" s="490">
        <v>-38.119</v>
      </c>
      <c r="AA238" s="489">
        <f>+Z238-Y238-X238</f>
        <v>0</v>
      </c>
      <c r="AB238" s="155">
        <f>CF!AB68</f>
        <v>-29.016999999999999</v>
      </c>
      <c r="AC238" s="155">
        <f>CF!AC68</f>
        <v>-12.660999999999998</v>
      </c>
      <c r="AD238" s="155">
        <f>CF!AD68</f>
        <v>-41.677999999999997</v>
      </c>
      <c r="AE238" s="489">
        <f>+AD238-AC238-AB238</f>
        <v>0</v>
      </c>
      <c r="AF238" s="155">
        <f>CF!AF68</f>
        <v>-35.154000000000003</v>
      </c>
      <c r="AG238" s="155">
        <f>CF!AG68</f>
        <v>-17.260999999999996</v>
      </c>
      <c r="AH238" s="155">
        <f>CF!AH68</f>
        <v>-52.414999999999999</v>
      </c>
      <c r="AI238" s="489">
        <f>+AH238-AG238-AF238</f>
        <v>0</v>
      </c>
      <c r="AJ238" s="155">
        <f>CF!AJ68</f>
        <v>-50.951000000000001</v>
      </c>
      <c r="AK238" s="155">
        <f>CF!AK68</f>
        <v>-21.702000000000005</v>
      </c>
      <c r="AL238" s="155">
        <f>CF!AL68</f>
        <v>-72.653000000000006</v>
      </c>
      <c r="AM238" s="489">
        <f>+AL238-AK238-AJ238</f>
        <v>0</v>
      </c>
      <c r="AN238" s="155">
        <f>CF!AN68</f>
        <v>-68.787000000000006</v>
      </c>
      <c r="AO238" s="155">
        <f>CF!AO68</f>
        <v>-29.146999999999991</v>
      </c>
      <c r="AP238" s="155">
        <f>CF!AP68</f>
        <v>-97.933999999999997</v>
      </c>
      <c r="AQ238" s="489">
        <f>+AP238-AO238-AN238</f>
        <v>0</v>
      </c>
      <c r="AR238" s="155">
        <f>CF!AR82</f>
        <v>-76.947999999999993</v>
      </c>
      <c r="AS238" s="155">
        <f>CF!AS82</f>
        <v>-36.700681899470034</v>
      </c>
      <c r="AT238" s="161">
        <f t="shared" si="853"/>
        <v>-113.64868189947003</v>
      </c>
      <c r="AV238" s="155">
        <f>CF!AV82</f>
        <v>-92.307431050835049</v>
      </c>
      <c r="AW238" s="155">
        <f>CF!AW82</f>
        <v>-39.547808563643549</v>
      </c>
      <c r="AX238" s="161">
        <f t="shared" si="854"/>
        <v>-131.85523961447859</v>
      </c>
      <c r="AZ238" s="155">
        <f>CF!AZ82</f>
        <v>-100.62273911249635</v>
      </c>
      <c r="BA238" s="155">
        <f>CF!BA82</f>
        <v>-42.956624670037137</v>
      </c>
      <c r="BB238" s="161">
        <f t="shared" si="855"/>
        <v>-143.57936378253348</v>
      </c>
      <c r="BD238" s="155">
        <f>CF!BD82</f>
        <v>-108.58389302062275</v>
      </c>
      <c r="BE238" s="155">
        <f>CF!BE82</f>
        <v>-44.877170825031072</v>
      </c>
      <c r="BF238" s="161">
        <f t="shared" si="856"/>
        <v>-153.46106384565383</v>
      </c>
      <c r="BH238" s="155">
        <f>CF!BH82</f>
        <v>-113.50590392213034</v>
      </c>
      <c r="BI238" s="155">
        <f>CF!BI82</f>
        <v>-46.887323237546028</v>
      </c>
      <c r="BJ238" s="161">
        <f t="shared" si="857"/>
        <v>-160.39322715967637</v>
      </c>
      <c r="BL238" s="155">
        <f>CF!BL82</f>
        <v>-118.66011850822609</v>
      </c>
      <c r="BM238" s="155">
        <f>CF!BM82</f>
        <v>-48.991480299964422</v>
      </c>
      <c r="BN238" s="161">
        <f t="shared" si="858"/>
        <v>-167.6515988081905</v>
      </c>
      <c r="BP238" s="155">
        <f>CF!BP82</f>
        <v>-124.05794966140429</v>
      </c>
      <c r="BQ238" s="155">
        <f>CF!BQ82</f>
        <v>-51.194262479361669</v>
      </c>
      <c r="BR238" s="161">
        <f t="shared" si="859"/>
        <v>-175.25221214076595</v>
      </c>
      <c r="BT238" s="155">
        <f>CF!BT82</f>
        <v>-129.71138415216498</v>
      </c>
      <c r="BU238" s="155">
        <f>CF!BU82</f>
        <v>-53.500523719006395</v>
      </c>
      <c r="BV238" s="161">
        <f t="shared" si="860"/>
        <v>-183.21190787117138</v>
      </c>
      <c r="BX238" s="155">
        <f>CF!BX82</f>
        <v>-135.63301190649847</v>
      </c>
      <c r="BY238" s="155">
        <f>CF!BY82</f>
        <v>-55.915363432050576</v>
      </c>
      <c r="BZ238" s="161">
        <f t="shared" si="861"/>
        <v>-191.54837533854905</v>
      </c>
    </row>
    <row r="239" spans="1:78">
      <c r="B239" s="336" t="s">
        <v>301</v>
      </c>
      <c r="C239" s="155" t="s">
        <v>406</v>
      </c>
      <c r="T239" s="230">
        <f>-3.408+1.104</f>
        <v>-2.3039999999999998</v>
      </c>
      <c r="U239" s="230">
        <v>0</v>
      </c>
      <c r="V239" s="230">
        <f>-1.246-3.861</f>
        <v>-5.1070000000000002</v>
      </c>
      <c r="W239" s="489">
        <f>+V239-U239-T239</f>
        <v>-2.8030000000000004</v>
      </c>
      <c r="X239" s="230">
        <f>-5.642+5.468</f>
        <v>-0.17400000000000038</v>
      </c>
      <c r="Y239" s="230">
        <v>0</v>
      </c>
      <c r="Z239" s="230">
        <f>-5.434+5.587</f>
        <v>0.15299999999999958</v>
      </c>
      <c r="AA239" s="489">
        <f>+Z239-Y239-X239</f>
        <v>0.32699999999999996</v>
      </c>
      <c r="AB239" s="161">
        <f>+AB240-AB238-AB237-AB236</f>
        <v>-2.7090000000000316</v>
      </c>
      <c r="AC239" s="491">
        <f>+AD239-AB239</f>
        <v>0.38400000000012824</v>
      </c>
      <c r="AD239" s="161">
        <f>+AD240-AD238-AD237-AD236</f>
        <v>-2.3249999999999034</v>
      </c>
      <c r="AE239" s="489">
        <f>+AD239-AC239-AB239</f>
        <v>0</v>
      </c>
      <c r="AF239" s="161">
        <f>+AF240-AF238-AF237-AF236</f>
        <v>-9.2679999999999438</v>
      </c>
      <c r="AG239" s="491">
        <f>+AH239-AF239</f>
        <v>7.670999999999907</v>
      </c>
      <c r="AH239" s="161">
        <f>+AH240-AH238-AH237-AH236</f>
        <v>-1.5970000000000368</v>
      </c>
      <c r="AI239" s="489">
        <f>+AH239-AG239-AF239</f>
        <v>0</v>
      </c>
      <c r="AJ239" s="161">
        <f>+AJ240-AJ238-AJ237-AJ236</f>
        <v>-16.127000000000038</v>
      </c>
      <c r="AK239" s="491">
        <f>+AL239-AJ239</f>
        <v>6.1519999999999584</v>
      </c>
      <c r="AL239" s="161">
        <f>+AL240-AL238-AL237-AL236</f>
        <v>-9.9750000000000796</v>
      </c>
      <c r="AM239" s="489">
        <f>+AL239-AK239-AJ239</f>
        <v>0</v>
      </c>
      <c r="AN239" s="161">
        <f>+AN240-AN238-AN237-AN236</f>
        <v>-26.596999999999923</v>
      </c>
      <c r="AO239" s="491">
        <f>+AP239-AN239</f>
        <v>-6.7679999999998586</v>
      </c>
      <c r="AP239" s="161">
        <f>+AP240-AP238-AP237-AP236</f>
        <v>-33.364999999999782</v>
      </c>
      <c r="AQ239" s="489">
        <f>+AP239-AO239-AN239</f>
        <v>0</v>
      </c>
      <c r="AR239" s="186">
        <v>0</v>
      </c>
      <c r="AS239" s="186">
        <v>0</v>
      </c>
      <c r="AT239" s="161">
        <f t="shared" si="853"/>
        <v>0</v>
      </c>
      <c r="AV239" s="186">
        <v>0</v>
      </c>
      <c r="AW239" s="186">
        <v>0</v>
      </c>
      <c r="AX239" s="161">
        <f t="shared" si="854"/>
        <v>0</v>
      </c>
      <c r="AZ239" s="186">
        <v>0</v>
      </c>
      <c r="BA239" s="186">
        <v>0</v>
      </c>
      <c r="BB239" s="161">
        <f t="shared" si="855"/>
        <v>0</v>
      </c>
      <c r="BD239" s="186">
        <v>0</v>
      </c>
      <c r="BE239" s="186">
        <v>0</v>
      </c>
      <c r="BF239" s="161">
        <f t="shared" si="856"/>
        <v>0</v>
      </c>
      <c r="BH239" s="186">
        <v>0</v>
      </c>
      <c r="BI239" s="186">
        <v>0</v>
      </c>
      <c r="BJ239" s="161">
        <f t="shared" si="857"/>
        <v>0</v>
      </c>
      <c r="BL239" s="186">
        <v>0</v>
      </c>
      <c r="BM239" s="186">
        <v>0</v>
      </c>
      <c r="BN239" s="161">
        <f t="shared" si="858"/>
        <v>0</v>
      </c>
      <c r="BP239" s="186">
        <v>0</v>
      </c>
      <c r="BQ239" s="186">
        <v>0</v>
      </c>
      <c r="BR239" s="161">
        <f t="shared" si="859"/>
        <v>0</v>
      </c>
      <c r="BT239" s="186">
        <v>0</v>
      </c>
      <c r="BU239" s="186">
        <v>0</v>
      </c>
      <c r="BV239" s="161">
        <f t="shared" si="860"/>
        <v>0</v>
      </c>
      <c r="BX239" s="186">
        <v>0</v>
      </c>
      <c r="BY239" s="186">
        <v>0</v>
      </c>
      <c r="BZ239" s="161">
        <f t="shared" si="861"/>
        <v>0</v>
      </c>
    </row>
    <row r="240" spans="1:78">
      <c r="B240" s="336" t="s">
        <v>300</v>
      </c>
      <c r="C240" s="155" t="s">
        <v>406</v>
      </c>
      <c r="T240" s="161">
        <f>SUM(T236:T239)</f>
        <v>155.31700000000001</v>
      </c>
      <c r="U240" s="161">
        <f>SUM(U236:U239)</f>
        <v>196.423</v>
      </c>
      <c r="V240" s="161">
        <f>SUM(V236:V239)</f>
        <v>177.76900000000001</v>
      </c>
      <c r="W240" s="489">
        <f>+V240-U240</f>
        <v>-18.653999999999996</v>
      </c>
      <c r="X240" s="161">
        <f>SUM(X236:X239)</f>
        <v>174.679</v>
      </c>
      <c r="Y240" s="161">
        <f>SUM(Y236:Y239)</f>
        <v>210.11100000000002</v>
      </c>
      <c r="Z240" s="161">
        <f>SUM(Z236:Z239)</f>
        <v>210.49700000000007</v>
      </c>
      <c r="AA240" s="489">
        <f>+Z240-Y240</f>
        <v>0.38600000000005252</v>
      </c>
      <c r="AB240" s="161">
        <f>+AB241</f>
        <v>208.297</v>
      </c>
      <c r="AC240" s="161">
        <f>SUM(AC236:AC239)</f>
        <v>247.27800000000013</v>
      </c>
      <c r="AD240" s="161">
        <f>+AD241</f>
        <v>247.27799999999999</v>
      </c>
      <c r="AE240" s="489">
        <f>+AD240-AC240</f>
        <v>0</v>
      </c>
      <c r="AF240" s="161">
        <f>+AF241</f>
        <v>205.12200000000001</v>
      </c>
      <c r="AG240" s="161">
        <f>SUM(AG236:AG239)</f>
        <v>258.49899999999997</v>
      </c>
      <c r="AH240" s="161">
        <f>+AH241</f>
        <v>258.399</v>
      </c>
      <c r="AI240" s="489">
        <f>+AH240-AG240</f>
        <v>-9.9999999999965894E-2</v>
      </c>
      <c r="AJ240" s="161">
        <f>+AJ241</f>
        <v>244.553</v>
      </c>
      <c r="AK240" s="161">
        <f>SUM(AK236:AK239)</f>
        <v>312.82499999999993</v>
      </c>
      <c r="AL240" s="161">
        <f>+AL241</f>
        <v>312.84699999999998</v>
      </c>
      <c r="AM240" s="489">
        <f>+AL240-AK240</f>
        <v>2.2000000000048203E-2</v>
      </c>
      <c r="AN240" s="161">
        <f>+AN241</f>
        <v>244.00800000000001</v>
      </c>
      <c r="AO240" s="161">
        <f>SUM(AO236:AO239)</f>
        <v>361.63800000000003</v>
      </c>
      <c r="AP240" s="161">
        <f>+AP241</f>
        <v>361.63799999999998</v>
      </c>
      <c r="AQ240" s="489">
        <f>+AP240-AO240</f>
        <v>0</v>
      </c>
      <c r="AR240" s="161">
        <f t="shared" ref="AR240:AT240" si="862">SUM(AR236:AR239)</f>
        <v>360.44170474867508</v>
      </c>
      <c r="AS240" s="161">
        <f t="shared" si="862"/>
        <v>439.60878149325509</v>
      </c>
      <c r="AT240" s="161">
        <f t="shared" si="862"/>
        <v>439.60878149325515</v>
      </c>
      <c r="AV240" s="161">
        <f t="shared" ref="AV240:AX240" si="863">SUM(AV236:AV239)</f>
        <v>430.170871851529</v>
      </c>
      <c r="AW240" s="161">
        <f t="shared" si="863"/>
        <v>518.36983344859448</v>
      </c>
      <c r="AX240" s="161">
        <f t="shared" si="863"/>
        <v>518.36983344859448</v>
      </c>
      <c r="AZ240" s="161">
        <f t="shared" ref="AZ240:BB240" si="864">SUM(AZ236:AZ239)</f>
        <v>509.13865601119096</v>
      </c>
      <c r="BA240" s="161">
        <f t="shared" si="864"/>
        <v>605.30187851347205</v>
      </c>
      <c r="BB240" s="161">
        <f t="shared" si="864"/>
        <v>605.30187851347205</v>
      </c>
      <c r="BD240" s="161">
        <f t="shared" ref="BD240:BF240" si="865">SUM(BD236:BD239)</f>
        <v>592.91091255542688</v>
      </c>
      <c r="BE240" s="161">
        <f t="shared" si="865"/>
        <v>694.18503304772491</v>
      </c>
      <c r="BF240" s="161">
        <f t="shared" si="865"/>
        <v>694.18503304772503</v>
      </c>
      <c r="BH240" s="161">
        <f t="shared" ref="BH240:BJ240" si="866">SUM(BH236:BH239)</f>
        <v>681.89743721945979</v>
      </c>
      <c r="BI240" s="161">
        <f t="shared" si="866"/>
        <v>788.5245689936653</v>
      </c>
      <c r="BJ240" s="161">
        <f t="shared" si="866"/>
        <v>788.5245689936653</v>
      </c>
      <c r="BL240" s="161">
        <f t="shared" ref="BL240:BN240" si="867">SUM(BL236:BL239)</f>
        <v>776.34315123535021</v>
      </c>
      <c r="BM240" s="161">
        <f t="shared" si="867"/>
        <v>888.57731330882052</v>
      </c>
      <c r="BN240" s="161">
        <f t="shared" si="867"/>
        <v>888.57731330882052</v>
      </c>
      <c r="BP240" s="161">
        <f t="shared" ref="BP240:BR240" si="868">SUM(BP236:BP239)</f>
        <v>876.50501984582036</v>
      </c>
      <c r="BQ240" s="161">
        <f t="shared" si="868"/>
        <v>994.6127347266945</v>
      </c>
      <c r="BR240" s="161">
        <f t="shared" si="868"/>
        <v>994.61273472669427</v>
      </c>
      <c r="BT240" s="161">
        <f t="shared" ref="BT240:BV240" si="869">SUM(BT236:BT239)</f>
        <v>982.65265987204521</v>
      </c>
      <c r="BU240" s="161">
        <f t="shared" si="869"/>
        <v>1106.9135817337508</v>
      </c>
      <c r="BV240" s="161">
        <f t="shared" si="869"/>
        <v>1106.9135817337508</v>
      </c>
      <c r="BX240" s="161">
        <f t="shared" ref="BX240:BZ240" si="870">SUM(BX236:BX239)</f>
        <v>1095.0689784073786</v>
      </c>
      <c r="BY240" s="161">
        <f t="shared" si="870"/>
        <v>1225.7765532346154</v>
      </c>
      <c r="BZ240" s="161">
        <f t="shared" si="870"/>
        <v>1225.7765532346154</v>
      </c>
    </row>
    <row r="241" spans="1:78" s="140" customFormat="1">
      <c r="A241" s="149"/>
      <c r="B241" s="159" t="s">
        <v>239</v>
      </c>
      <c r="C241" s="157" t="s">
        <v>406</v>
      </c>
      <c r="D241" s="231">
        <v>135.60300000000001</v>
      </c>
      <c r="E241" s="140">
        <f>F241</f>
        <v>146.53299999999999</v>
      </c>
      <c r="F241" s="231">
        <v>146.53299999999999</v>
      </c>
      <c r="H241" s="175">
        <v>141.88999999999999</v>
      </c>
      <c r="I241" s="140">
        <f>J241</f>
        <v>154.57900000000001</v>
      </c>
      <c r="J241" s="231">
        <v>154.57900000000001</v>
      </c>
      <c r="L241" s="231">
        <v>158.71799999999999</v>
      </c>
      <c r="M241" s="140">
        <f>N241</f>
        <v>169.02199999999999</v>
      </c>
      <c r="N241" s="231">
        <v>169.02199999999999</v>
      </c>
      <c r="P241" s="175">
        <v>163.21799999999999</v>
      </c>
      <c r="Q241" s="140">
        <f>R241</f>
        <v>171.16800000000001</v>
      </c>
      <c r="R241" s="231">
        <v>171.16800000000001</v>
      </c>
      <c r="T241" s="231">
        <v>171.16800000000001</v>
      </c>
      <c r="U241" s="140">
        <f>V241</f>
        <v>177.76900000000001</v>
      </c>
      <c r="V241" s="231">
        <v>177.76900000000001</v>
      </c>
      <c r="W241" s="219"/>
      <c r="X241" s="231">
        <v>174.62</v>
      </c>
      <c r="Y241" s="140">
        <f>Z241</f>
        <v>210.42400000000001</v>
      </c>
      <c r="Z241" s="231">
        <v>210.42400000000001</v>
      </c>
      <c r="AA241" s="219"/>
      <c r="AB241" s="231">
        <v>208.297</v>
      </c>
      <c r="AC241" s="140">
        <f>AD241</f>
        <v>247.27799999999999</v>
      </c>
      <c r="AD241" s="231">
        <v>247.27799999999999</v>
      </c>
      <c r="AF241" s="175">
        <v>205.12200000000001</v>
      </c>
      <c r="AG241" s="140">
        <f>AH241</f>
        <v>258.399</v>
      </c>
      <c r="AH241" s="231">
        <v>258.399</v>
      </c>
      <c r="AJ241" s="231">
        <v>244.553</v>
      </c>
      <c r="AK241" s="140">
        <f>AL241</f>
        <v>312.84699999999998</v>
      </c>
      <c r="AL241" s="231">
        <v>312.84699999999998</v>
      </c>
      <c r="AN241" s="175">
        <v>244.00800000000001</v>
      </c>
      <c r="AO241" s="140">
        <f>AP241</f>
        <v>361.63799999999998</v>
      </c>
      <c r="AP241" s="915">
        <v>361.63799999999998</v>
      </c>
      <c r="AR241" s="140">
        <f t="shared" ref="AR241:AT241" si="871">+AR240</f>
        <v>360.44170474867508</v>
      </c>
      <c r="AS241" s="140">
        <f t="shared" si="871"/>
        <v>439.60878149325509</v>
      </c>
      <c r="AT241" s="140">
        <f t="shared" si="871"/>
        <v>439.60878149325515</v>
      </c>
      <c r="AV241" s="140">
        <f t="shared" ref="AV241:AX241" si="872">+AV240</f>
        <v>430.170871851529</v>
      </c>
      <c r="AW241" s="140">
        <f t="shared" si="872"/>
        <v>518.36983344859448</v>
      </c>
      <c r="AX241" s="140">
        <f t="shared" si="872"/>
        <v>518.36983344859448</v>
      </c>
      <c r="AZ241" s="140">
        <f t="shared" ref="AZ241:BB241" si="873">+AZ240</f>
        <v>509.13865601119096</v>
      </c>
      <c r="BA241" s="140">
        <f t="shared" si="873"/>
        <v>605.30187851347205</v>
      </c>
      <c r="BB241" s="140">
        <f t="shared" si="873"/>
        <v>605.30187851347205</v>
      </c>
      <c r="BD241" s="140">
        <f t="shared" ref="BD241:BF241" si="874">+BD240</f>
        <v>592.91091255542688</v>
      </c>
      <c r="BE241" s="140">
        <f t="shared" si="874"/>
        <v>694.18503304772491</v>
      </c>
      <c r="BF241" s="140">
        <f t="shared" si="874"/>
        <v>694.18503304772503</v>
      </c>
      <c r="BH241" s="140">
        <f t="shared" ref="BH241:BJ241" si="875">+BH240</f>
        <v>681.89743721945979</v>
      </c>
      <c r="BI241" s="140">
        <f t="shared" si="875"/>
        <v>788.5245689936653</v>
      </c>
      <c r="BJ241" s="140">
        <f t="shared" si="875"/>
        <v>788.5245689936653</v>
      </c>
      <c r="BL241" s="140">
        <f t="shared" ref="BL241:BN241" si="876">+BL240</f>
        <v>776.34315123535021</v>
      </c>
      <c r="BM241" s="140">
        <f t="shared" si="876"/>
        <v>888.57731330882052</v>
      </c>
      <c r="BN241" s="140">
        <f t="shared" si="876"/>
        <v>888.57731330882052</v>
      </c>
      <c r="BP241" s="140">
        <f t="shared" ref="BP241:BR241" si="877">+BP240</f>
        <v>876.50501984582036</v>
      </c>
      <c r="BQ241" s="140">
        <f t="shared" si="877"/>
        <v>994.6127347266945</v>
      </c>
      <c r="BR241" s="140">
        <f t="shared" si="877"/>
        <v>994.61273472669427</v>
      </c>
      <c r="BT241" s="140">
        <f t="shared" ref="BT241:BV241" si="878">+BT240</f>
        <v>982.65265987204521</v>
      </c>
      <c r="BU241" s="140">
        <f t="shared" si="878"/>
        <v>1106.9135817337508</v>
      </c>
      <c r="BV241" s="140">
        <f t="shared" si="878"/>
        <v>1106.9135817337508</v>
      </c>
      <c r="BX241" s="140">
        <f t="shared" ref="BX241:BZ241" si="879">+BX240</f>
        <v>1095.0689784073786</v>
      </c>
      <c r="BY241" s="140">
        <f t="shared" si="879"/>
        <v>1225.7765532346154</v>
      </c>
      <c r="BZ241" s="140">
        <f t="shared" si="879"/>
        <v>1225.7765532346154</v>
      </c>
    </row>
    <row r="242" spans="1:78" s="140" customFormat="1" hidden="1" outlineLevel="1">
      <c r="B242" s="244" t="s">
        <v>302</v>
      </c>
      <c r="C242" s="243"/>
      <c r="D242" s="341">
        <f>+D241-D240</f>
        <v>135.60300000000001</v>
      </c>
      <c r="E242" s="341">
        <f>+E241-E240</f>
        <v>146.53299999999999</v>
      </c>
      <c r="F242" s="341">
        <f>+F241-F240</f>
        <v>146.53299999999999</v>
      </c>
      <c r="G242" s="341"/>
      <c r="H242" s="341">
        <f>+H241-H240</f>
        <v>141.88999999999999</v>
      </c>
      <c r="I242" s="341">
        <f>+I241-I240</f>
        <v>154.57900000000001</v>
      </c>
      <c r="J242" s="341">
        <f>+J241-J240</f>
        <v>154.57900000000001</v>
      </c>
      <c r="K242" s="341"/>
      <c r="L242" s="341">
        <f>+L241-L240</f>
        <v>158.71799999999999</v>
      </c>
      <c r="M242" s="341">
        <f>+M241-M240</f>
        <v>169.02199999999999</v>
      </c>
      <c r="N242" s="341">
        <f>+N241-N240</f>
        <v>169.02199999999999</v>
      </c>
      <c r="O242" s="341"/>
      <c r="P242" s="341">
        <f>+P241-P240</f>
        <v>163.21799999999999</v>
      </c>
      <c r="Q242" s="341">
        <f>+Q241-Q240</f>
        <v>171.16800000000001</v>
      </c>
      <c r="R242" s="341">
        <f>+R241-R240</f>
        <v>171.16800000000001</v>
      </c>
      <c r="S242" s="341"/>
      <c r="T242" s="341">
        <f>+T241-T240</f>
        <v>15.850999999999999</v>
      </c>
      <c r="U242" s="341">
        <f>+U241-U240</f>
        <v>-18.653999999999996</v>
      </c>
      <c r="V242" s="341">
        <f>+V241-V240</f>
        <v>0</v>
      </c>
      <c r="W242" s="341"/>
      <c r="X242" s="341">
        <f>+X241-X240</f>
        <v>-5.8999999999997499E-2</v>
      </c>
      <c r="Y242" s="341">
        <f>+Y241-Y240</f>
        <v>0.31299999999998818</v>
      </c>
      <c r="Z242" s="341">
        <f>+Z241-Z240</f>
        <v>-7.3000000000064347E-2</v>
      </c>
      <c r="AA242" s="341"/>
      <c r="AB242" s="341">
        <f>+AB241-AB240</f>
        <v>0</v>
      </c>
      <c r="AC242" s="341">
        <f>+AC241-AC240</f>
        <v>0</v>
      </c>
      <c r="AD242" s="341">
        <f>+AD241-AD240</f>
        <v>0</v>
      </c>
      <c r="AE242" s="243"/>
      <c r="AF242" s="341">
        <f>+AF241-AF240</f>
        <v>0</v>
      </c>
      <c r="AG242" s="341">
        <f>+AG241-AG240</f>
        <v>-9.9999999999965894E-2</v>
      </c>
      <c r="AH242" s="341">
        <f>+AH241-AH240</f>
        <v>0</v>
      </c>
      <c r="AI242" s="243"/>
      <c r="AJ242" s="341">
        <f>+AJ241-AJ240</f>
        <v>0</v>
      </c>
      <c r="AK242" s="341">
        <f>+AK241-AK240</f>
        <v>2.2000000000048203E-2</v>
      </c>
      <c r="AL242" s="262">
        <f>+AL241-AL240</f>
        <v>0</v>
      </c>
      <c r="AM242" s="243"/>
      <c r="AN242" s="136">
        <f>+AN241-AN240</f>
        <v>0</v>
      </c>
      <c r="AO242" s="341">
        <f>+AO241-AO240</f>
        <v>0</v>
      </c>
      <c r="AP242" s="262">
        <f>+AP241-AP240</f>
        <v>0</v>
      </c>
      <c r="AQ242" s="243"/>
      <c r="AR242" s="243"/>
      <c r="AS242" s="243"/>
      <c r="AT242" s="243"/>
      <c r="AU242" s="243"/>
      <c r="AV242" s="243"/>
      <c r="AW242" s="243"/>
      <c r="AX242" s="243"/>
      <c r="AY242" s="243"/>
      <c r="AZ242" s="243"/>
      <c r="BA242" s="243"/>
      <c r="BB242" s="243"/>
      <c r="BC242" s="243"/>
      <c r="BD242" s="243"/>
      <c r="BE242" s="243"/>
      <c r="BF242" s="243"/>
      <c r="BG242" s="243"/>
      <c r="BH242" s="243"/>
      <c r="BI242" s="243"/>
      <c r="BJ242" s="243"/>
      <c r="BK242" s="243"/>
      <c r="BL242" s="243"/>
      <c r="BM242" s="243"/>
      <c r="BN242" s="243"/>
      <c r="BO242" s="243"/>
      <c r="BP242" s="243"/>
      <c r="BQ242" s="243"/>
      <c r="BR242" s="243"/>
      <c r="BS242" s="243"/>
      <c r="BT242" s="243"/>
      <c r="BU242" s="243"/>
      <c r="BV242" s="243"/>
      <c r="BW242" s="243"/>
      <c r="BX242" s="243"/>
      <c r="BY242" s="243"/>
      <c r="BZ242" s="243"/>
    </row>
    <row r="243" spans="1:78" s="161" customFormat="1" collapsed="1">
      <c r="A243" s="148"/>
      <c r="B243" s="160"/>
      <c r="D243" s="230"/>
      <c r="F243" s="230"/>
      <c r="H243" s="181"/>
      <c r="J243" s="230"/>
      <c r="L243" s="230"/>
      <c r="N243" s="230"/>
      <c r="P243" s="181"/>
      <c r="R243" s="230"/>
      <c r="T243" s="230"/>
      <c r="V243" s="230"/>
      <c r="W243" s="218"/>
      <c r="X243" s="230"/>
      <c r="Z243" s="230"/>
      <c r="AA243" s="218"/>
      <c r="AB243" s="230"/>
      <c r="AD243" s="230"/>
      <c r="AF243" s="230"/>
      <c r="AH243" s="230"/>
      <c r="AJ243" s="230"/>
      <c r="AL243" s="230"/>
      <c r="AN243" s="181"/>
      <c r="AP243" s="230"/>
    </row>
    <row r="244" spans="1:78" s="161" customFormat="1">
      <c r="A244" s="148"/>
      <c r="B244" s="160" t="s">
        <v>240</v>
      </c>
      <c r="C244" s="155" t="s">
        <v>406</v>
      </c>
      <c r="D244" s="230">
        <v>-0.34200000000000003</v>
      </c>
      <c r="E244" s="161">
        <f>F244</f>
        <v>0.248</v>
      </c>
      <c r="F244" s="230">
        <v>0.248</v>
      </c>
      <c r="H244" s="181">
        <v>0.317</v>
      </c>
      <c r="I244" s="161">
        <f>J244</f>
        <v>0.21199999999999999</v>
      </c>
      <c r="J244" s="230">
        <v>0.21199999999999999</v>
      </c>
      <c r="L244" s="230">
        <v>-0.49099999999999999</v>
      </c>
      <c r="M244" s="161">
        <f>N244</f>
        <v>-0.45900000000000002</v>
      </c>
      <c r="N244" s="230">
        <v>-0.45900000000000002</v>
      </c>
      <c r="P244" s="181">
        <v>0.18</v>
      </c>
      <c r="Q244" s="161">
        <f>R244</f>
        <v>0.372</v>
      </c>
      <c r="R244" s="230">
        <v>0.372</v>
      </c>
      <c r="T244" s="230">
        <v>0.372</v>
      </c>
      <c r="U244" s="161">
        <f>V244</f>
        <v>-1.129</v>
      </c>
      <c r="V244" s="230">
        <v>-1.129</v>
      </c>
      <c r="W244" s="218"/>
      <c r="X244" s="230">
        <v>-1.1919999999999999</v>
      </c>
      <c r="Y244" s="161">
        <f>Z244</f>
        <v>-1.5189999999999999</v>
      </c>
      <c r="Z244" s="230">
        <v>-1.5189999999999999</v>
      </c>
      <c r="AA244" s="218"/>
      <c r="AB244" s="230">
        <v>-1.02</v>
      </c>
      <c r="AC244" s="161">
        <f>AD244</f>
        <v>-5.0570000000000004</v>
      </c>
      <c r="AD244" s="230">
        <v>-5.0570000000000004</v>
      </c>
      <c r="AF244" s="230">
        <v>0.67400000000000004</v>
      </c>
      <c r="AG244" s="161">
        <f>AH244</f>
        <v>57.34</v>
      </c>
      <c r="AH244" s="230">
        <v>57.34</v>
      </c>
      <c r="AJ244" s="230">
        <v>41.755000000000003</v>
      </c>
      <c r="AK244" s="161">
        <f>AL244</f>
        <v>51.521000000000001</v>
      </c>
      <c r="AL244" s="230">
        <v>51.521000000000001</v>
      </c>
      <c r="AN244" s="181">
        <v>112.514</v>
      </c>
      <c r="AO244" s="161">
        <f>AP244</f>
        <v>141.33199999999999</v>
      </c>
      <c r="AP244" s="916">
        <v>141.33199999999999</v>
      </c>
      <c r="AR244" s="161">
        <f>AO244+AR245</f>
        <v>141.33199999999999</v>
      </c>
      <c r="AS244" s="161">
        <f>AR244+AS245</f>
        <v>141.33199999999999</v>
      </c>
      <c r="AT244" s="161">
        <f>AS244</f>
        <v>141.33199999999999</v>
      </c>
      <c r="AV244" s="161">
        <f>AS244+AV245</f>
        <v>141.33199999999999</v>
      </c>
      <c r="AW244" s="161">
        <f>AV244+AW245</f>
        <v>141.33199999999999</v>
      </c>
      <c r="AX244" s="161">
        <f>AW244</f>
        <v>141.33199999999999</v>
      </c>
      <c r="AZ244" s="161">
        <f>AW244+AZ245</f>
        <v>141.33199999999999</v>
      </c>
      <c r="BA244" s="161">
        <f>AZ244+BA245</f>
        <v>141.33199999999999</v>
      </c>
      <c r="BB244" s="161">
        <f>BA244</f>
        <v>141.33199999999999</v>
      </c>
      <c r="BD244" s="161">
        <f>BA244+BD245</f>
        <v>141.33199999999999</v>
      </c>
      <c r="BE244" s="161">
        <f>BD244+BE245</f>
        <v>141.33199999999999</v>
      </c>
      <c r="BF244" s="161">
        <f>BE244</f>
        <v>141.33199999999999</v>
      </c>
      <c r="BH244" s="161">
        <f>BE244+BH245</f>
        <v>141.33199999999999</v>
      </c>
      <c r="BI244" s="161">
        <f>BH244+BI245</f>
        <v>141.33199999999999</v>
      </c>
      <c r="BJ244" s="161">
        <f>BI244</f>
        <v>141.33199999999999</v>
      </c>
      <c r="BL244" s="161">
        <f>BI244+BL245</f>
        <v>141.33199999999999</v>
      </c>
      <c r="BM244" s="161">
        <f>BL244+BM245</f>
        <v>141.33199999999999</v>
      </c>
      <c r="BN244" s="161">
        <f>BM244</f>
        <v>141.33199999999999</v>
      </c>
      <c r="BP244" s="161">
        <f>BM244+BP245</f>
        <v>141.33199999999999</v>
      </c>
      <c r="BQ244" s="161">
        <f>BP244+BQ245</f>
        <v>141.33199999999999</v>
      </c>
      <c r="BR244" s="161">
        <f>BQ244</f>
        <v>141.33199999999999</v>
      </c>
      <c r="BT244" s="161">
        <f>BQ244+BT245</f>
        <v>141.33199999999999</v>
      </c>
      <c r="BU244" s="161">
        <f>BT244+BU245</f>
        <v>141.33199999999999</v>
      </c>
      <c r="BV244" s="161">
        <f>BU244</f>
        <v>141.33199999999999</v>
      </c>
      <c r="BX244" s="161">
        <f>BU244+BX245</f>
        <v>141.33199999999999</v>
      </c>
      <c r="BY244" s="161">
        <f>BX244+BY245</f>
        <v>141.33199999999999</v>
      </c>
      <c r="BZ244" s="161">
        <f>BY244</f>
        <v>141.33199999999999</v>
      </c>
    </row>
    <row r="245" spans="1:78" s="161" customFormat="1">
      <c r="A245" s="148"/>
      <c r="B245" s="160" t="s">
        <v>30</v>
      </c>
      <c r="C245" s="155" t="s">
        <v>406</v>
      </c>
      <c r="D245" s="218"/>
      <c r="E245" s="186"/>
      <c r="F245" s="218"/>
      <c r="I245" s="186"/>
      <c r="J245" s="218"/>
      <c r="L245" s="218"/>
      <c r="M245" s="186"/>
      <c r="N245" s="218"/>
      <c r="Q245" s="186"/>
      <c r="R245" s="218"/>
      <c r="T245" s="218"/>
      <c r="U245" s="186">
        <v>0</v>
      </c>
      <c r="V245" s="218">
        <f>V244-R244</f>
        <v>-1.5009999999999999</v>
      </c>
      <c r="W245" s="218"/>
      <c r="X245" s="218">
        <f>X244-T244</f>
        <v>-1.5640000000000001</v>
      </c>
      <c r="Y245" s="218">
        <f>Y244-U244</f>
        <v>-0.3899999999999999</v>
      </c>
      <c r="Z245" s="218">
        <f>Z244-V244</f>
        <v>-0.3899999999999999</v>
      </c>
      <c r="AA245" s="218"/>
      <c r="AB245" s="218">
        <f>AB244-X244</f>
        <v>0.17199999999999993</v>
      </c>
      <c r="AC245" s="218">
        <f>AC244-Y244</f>
        <v>-3.5380000000000003</v>
      </c>
      <c r="AD245" s="218">
        <f>AD244-Z244</f>
        <v>-3.5380000000000003</v>
      </c>
      <c r="AF245" s="218">
        <f>AF244-AB244</f>
        <v>1.694</v>
      </c>
      <c r="AG245" s="218">
        <f>AG244-AC244</f>
        <v>62.397000000000006</v>
      </c>
      <c r="AH245" s="218">
        <f>AH244-AD244</f>
        <v>62.397000000000006</v>
      </c>
      <c r="AJ245" s="218">
        <f>AJ244-AF244</f>
        <v>41.081000000000003</v>
      </c>
      <c r="AK245" s="218">
        <f>AK244-AG244</f>
        <v>-5.8190000000000026</v>
      </c>
      <c r="AL245" s="218">
        <f>AL244-AH244</f>
        <v>-5.8190000000000026</v>
      </c>
      <c r="AN245" s="161">
        <f>AN244-AJ244</f>
        <v>70.758999999999986</v>
      </c>
      <c r="AO245" s="218">
        <f>AO244-AK244</f>
        <v>89.810999999999993</v>
      </c>
      <c r="AP245" s="218">
        <f>AP244-AL244</f>
        <v>89.810999999999993</v>
      </c>
      <c r="AR245" s="186">
        <v>0</v>
      </c>
      <c r="AS245" s="186">
        <v>0</v>
      </c>
      <c r="AT245" s="161">
        <f>AT244-AP244</f>
        <v>0</v>
      </c>
      <c r="AV245" s="186">
        <v>0</v>
      </c>
      <c r="AW245" s="186">
        <v>0</v>
      </c>
      <c r="AX245" s="161">
        <f>AX244-AT244</f>
        <v>0</v>
      </c>
      <c r="AZ245" s="186">
        <v>0</v>
      </c>
      <c r="BA245" s="186">
        <v>0</v>
      </c>
      <c r="BB245" s="161">
        <f>BB244-AX244</f>
        <v>0</v>
      </c>
      <c r="BD245" s="186">
        <v>0</v>
      </c>
      <c r="BE245" s="186">
        <v>0</v>
      </c>
      <c r="BF245" s="161">
        <f>BF244-BB244</f>
        <v>0</v>
      </c>
      <c r="BH245" s="186">
        <v>0</v>
      </c>
      <c r="BI245" s="186">
        <v>0</v>
      </c>
      <c r="BJ245" s="161">
        <f>BJ244-BF244</f>
        <v>0</v>
      </c>
      <c r="BL245" s="186">
        <v>0</v>
      </c>
      <c r="BM245" s="186">
        <v>0</v>
      </c>
      <c r="BN245" s="161">
        <f>BN244-BJ244</f>
        <v>0</v>
      </c>
      <c r="BP245" s="186">
        <v>0</v>
      </c>
      <c r="BQ245" s="186">
        <v>0</v>
      </c>
      <c r="BR245" s="161">
        <f>BR244-BN244</f>
        <v>0</v>
      </c>
      <c r="BT245" s="186">
        <v>0</v>
      </c>
      <c r="BU245" s="186">
        <v>0</v>
      </c>
      <c r="BV245" s="161">
        <f>BV244-BR244</f>
        <v>0</v>
      </c>
      <c r="BX245" s="186">
        <v>0</v>
      </c>
      <c r="BY245" s="186">
        <v>0</v>
      </c>
      <c r="BZ245" s="161">
        <f>BZ244-BV244</f>
        <v>0</v>
      </c>
    </row>
    <row r="246" spans="1:78" s="161" customFormat="1">
      <c r="A246" s="148"/>
      <c r="B246" s="160"/>
      <c r="D246" s="237"/>
      <c r="F246" s="237"/>
      <c r="H246" s="174"/>
      <c r="J246" s="237"/>
      <c r="L246" s="237"/>
      <c r="N246" s="237"/>
      <c r="P246" s="174"/>
      <c r="R246" s="237"/>
      <c r="T246" s="237"/>
      <c r="V246" s="237"/>
      <c r="W246" s="218"/>
      <c r="X246" s="237"/>
      <c r="Z246" s="237"/>
      <c r="AA246" s="218"/>
      <c r="AB246" s="237"/>
      <c r="AD246" s="237"/>
      <c r="AF246" s="237"/>
      <c r="AH246" s="237"/>
      <c r="AJ246" s="237"/>
      <c r="AL246" s="237"/>
      <c r="AN246" s="174"/>
      <c r="AP246" s="237"/>
    </row>
    <row r="247" spans="1:78" s="161" customFormat="1">
      <c r="A247" s="148"/>
      <c r="B247" s="160" t="s">
        <v>241</v>
      </c>
      <c r="C247" s="155" t="s">
        <v>406</v>
      </c>
      <c r="D247" s="230">
        <v>0</v>
      </c>
      <c r="E247" s="161">
        <f>F247</f>
        <v>0</v>
      </c>
      <c r="F247" s="230">
        <v>0</v>
      </c>
      <c r="H247" s="174"/>
      <c r="I247" s="161">
        <f>J247</f>
        <v>0</v>
      </c>
      <c r="J247" s="230">
        <v>0</v>
      </c>
      <c r="L247" s="230">
        <v>0</v>
      </c>
      <c r="M247" s="161">
        <f>N247</f>
        <v>0</v>
      </c>
      <c r="N247" s="230">
        <v>0</v>
      </c>
      <c r="P247" s="174"/>
      <c r="Q247" s="161">
        <f>R247</f>
        <v>0</v>
      </c>
      <c r="R247" s="230">
        <v>0</v>
      </c>
      <c r="T247" s="230">
        <v>0</v>
      </c>
      <c r="U247" s="161">
        <f>V247</f>
        <v>0</v>
      </c>
      <c r="V247" s="230">
        <v>0</v>
      </c>
      <c r="W247" s="218"/>
      <c r="X247" s="230">
        <v>0</v>
      </c>
      <c r="Y247" s="161">
        <f>Z247</f>
        <v>0.108</v>
      </c>
      <c r="Z247" s="230">
        <v>0.108</v>
      </c>
      <c r="AA247" s="218"/>
      <c r="AB247" s="230">
        <v>0.35799999999999998</v>
      </c>
      <c r="AC247" s="161">
        <f>AD247</f>
        <v>-0.86699999999999999</v>
      </c>
      <c r="AD247" s="230">
        <v>-0.86699999999999999</v>
      </c>
      <c r="AF247" s="230">
        <f>6.301+11.27</f>
        <v>17.570999999999998</v>
      </c>
      <c r="AG247" s="161">
        <f>AH247</f>
        <v>5.9449999999999994</v>
      </c>
      <c r="AH247" s="230">
        <f>12.562-6.617</f>
        <v>5.9449999999999994</v>
      </c>
      <c r="AJ247" s="230">
        <f>11.602-9.468</f>
        <v>2.1340000000000003</v>
      </c>
      <c r="AK247" s="161">
        <f>AL247</f>
        <v>-1.455000000000001</v>
      </c>
      <c r="AL247" s="230">
        <f>6.662-8.117</f>
        <v>-1.455000000000001</v>
      </c>
      <c r="AN247" s="181">
        <f>2.811-8.557</f>
        <v>-5.7460000000000004</v>
      </c>
      <c r="AO247" s="161">
        <f>AP247</f>
        <v>-0.70800000000000018</v>
      </c>
      <c r="AP247" s="916">
        <f>8.564-9.272</f>
        <v>-0.70800000000000018</v>
      </c>
      <c r="AR247" s="185">
        <f t="shared" ref="AR247" si="880">+AP247</f>
        <v>-0.70800000000000018</v>
      </c>
      <c r="AS247" s="185">
        <f t="shared" ref="AS247:AS251" si="881">+AR247</f>
        <v>-0.70800000000000018</v>
      </c>
      <c r="AT247" s="161">
        <f t="shared" ref="AT247:AT251" si="882">AS247</f>
        <v>-0.70800000000000018</v>
      </c>
      <c r="AV247" s="185">
        <f t="shared" ref="AV247" si="883">+AT247</f>
        <v>-0.70800000000000018</v>
      </c>
      <c r="AW247" s="185">
        <f t="shared" ref="AW247:AW251" si="884">+AV247</f>
        <v>-0.70800000000000018</v>
      </c>
      <c r="AX247" s="161">
        <f t="shared" ref="AX247:AX251" si="885">AW247</f>
        <v>-0.70800000000000018</v>
      </c>
      <c r="AZ247" s="185">
        <f t="shared" ref="AZ247" si="886">+AX247</f>
        <v>-0.70800000000000018</v>
      </c>
      <c r="BA247" s="185">
        <f t="shared" ref="BA247:BA251" si="887">+AZ247</f>
        <v>-0.70800000000000018</v>
      </c>
      <c r="BB247" s="161">
        <f t="shared" ref="BB247:BB251" si="888">BA247</f>
        <v>-0.70800000000000018</v>
      </c>
      <c r="BD247" s="185">
        <f t="shared" ref="BD247" si="889">+BB247</f>
        <v>-0.70800000000000018</v>
      </c>
      <c r="BE247" s="185">
        <f t="shared" ref="BE247:BE251" si="890">+BD247</f>
        <v>-0.70800000000000018</v>
      </c>
      <c r="BF247" s="161">
        <f t="shared" ref="BF247:BF251" si="891">BE247</f>
        <v>-0.70800000000000018</v>
      </c>
      <c r="BH247" s="185">
        <f t="shared" ref="BH247" si="892">+BF247</f>
        <v>-0.70800000000000018</v>
      </c>
      <c r="BI247" s="185">
        <f t="shared" ref="BI247:BI251" si="893">+BH247</f>
        <v>-0.70800000000000018</v>
      </c>
      <c r="BJ247" s="161">
        <f t="shared" ref="BJ247:BJ251" si="894">BI247</f>
        <v>-0.70800000000000018</v>
      </c>
      <c r="BL247" s="185">
        <f t="shared" ref="BL247" si="895">+BJ247</f>
        <v>-0.70800000000000018</v>
      </c>
      <c r="BM247" s="185">
        <f t="shared" ref="BM247:BM251" si="896">+BL247</f>
        <v>-0.70800000000000018</v>
      </c>
      <c r="BN247" s="161">
        <f t="shared" ref="BN247:BN251" si="897">BM247</f>
        <v>-0.70800000000000018</v>
      </c>
      <c r="BP247" s="185">
        <f t="shared" ref="BP247" si="898">+BN247</f>
        <v>-0.70800000000000018</v>
      </c>
      <c r="BQ247" s="185">
        <f t="shared" ref="BQ247:BQ251" si="899">+BP247</f>
        <v>-0.70800000000000018</v>
      </c>
      <c r="BR247" s="161">
        <f t="shared" ref="BR247:BR251" si="900">BQ247</f>
        <v>-0.70800000000000018</v>
      </c>
      <c r="BT247" s="185">
        <f t="shared" ref="BT247" si="901">+BR247</f>
        <v>-0.70800000000000018</v>
      </c>
      <c r="BU247" s="185">
        <f t="shared" ref="BU247" si="902">+BT247</f>
        <v>-0.70800000000000018</v>
      </c>
      <c r="BV247" s="161">
        <f t="shared" ref="BV247" si="903">BU247</f>
        <v>-0.70800000000000018</v>
      </c>
      <c r="BX247" s="185">
        <f t="shared" ref="BX247" si="904">+BV247</f>
        <v>-0.70800000000000018</v>
      </c>
      <c r="BY247" s="185">
        <f t="shared" ref="BY247" si="905">+BX247</f>
        <v>-0.70800000000000018</v>
      </c>
      <c r="BZ247" s="161">
        <f t="shared" ref="BZ247" si="906">BY247</f>
        <v>-0.70800000000000018</v>
      </c>
    </row>
    <row r="248" spans="1:78">
      <c r="B248" s="160"/>
      <c r="D248" s="241"/>
      <c r="E248" s="241"/>
      <c r="F248" s="241"/>
      <c r="I248" s="241"/>
      <c r="J248" s="241"/>
      <c r="L248" s="241"/>
      <c r="M248" s="241"/>
      <c r="N248" s="241"/>
      <c r="Q248" s="241"/>
      <c r="R248" s="241"/>
      <c r="T248" s="241"/>
      <c r="U248" s="241"/>
      <c r="V248" s="241"/>
      <c r="W248" s="241"/>
      <c r="X248" s="241"/>
      <c r="Y248" s="241"/>
      <c r="Z248" s="241"/>
      <c r="AA248" s="241"/>
      <c r="AB248" s="241"/>
      <c r="AC248" s="241"/>
      <c r="AD248" s="241"/>
      <c r="AF248" s="241"/>
      <c r="AG248" s="241"/>
      <c r="AH248" s="241"/>
      <c r="AJ248" s="241"/>
      <c r="AK248" s="241"/>
      <c r="AL248" s="241"/>
      <c r="AO248" s="241"/>
      <c r="AP248" s="241"/>
      <c r="AR248" s="241"/>
      <c r="AS248" s="241"/>
      <c r="AV248" s="241"/>
      <c r="AW248" s="241"/>
      <c r="AZ248" s="241"/>
      <c r="BA248" s="241"/>
      <c r="BD248" s="241"/>
      <c r="BE248" s="241"/>
      <c r="BH248" s="241"/>
      <c r="BI248" s="241"/>
      <c r="BL248" s="241"/>
      <c r="BM248" s="241"/>
      <c r="BP248" s="241"/>
      <c r="BQ248" s="241"/>
      <c r="BT248" s="241"/>
      <c r="BU248" s="241"/>
      <c r="BX248" s="241"/>
      <c r="BY248" s="241"/>
    </row>
    <row r="249" spans="1:78" s="161" customFormat="1">
      <c r="A249" s="148"/>
      <c r="B249" s="160" t="s">
        <v>242</v>
      </c>
      <c r="C249" s="155" t="s">
        <v>406</v>
      </c>
      <c r="D249" s="230">
        <v>0.45500000000000002</v>
      </c>
      <c r="E249" s="161">
        <f>F249</f>
        <v>0</v>
      </c>
      <c r="F249" s="230"/>
      <c r="H249" s="181"/>
      <c r="I249" s="161">
        <f>J249</f>
        <v>-25.875</v>
      </c>
      <c r="J249" s="230">
        <v>-25.875</v>
      </c>
      <c r="L249" s="230">
        <v>0.127</v>
      </c>
      <c r="M249" s="161">
        <f>N249</f>
        <v>-26.402999999999999</v>
      </c>
      <c r="N249" s="230">
        <v>-26.402999999999999</v>
      </c>
      <c r="P249" s="181">
        <v>-26.672000000000001</v>
      </c>
      <c r="Q249" s="161">
        <f>R249</f>
        <v>-19.919</v>
      </c>
      <c r="R249" s="230">
        <v>-19.919</v>
      </c>
      <c r="T249" s="230">
        <v>-19.919</v>
      </c>
      <c r="U249" s="161">
        <f>V249</f>
        <v>-14.778</v>
      </c>
      <c r="V249" s="230">
        <v>-14.778</v>
      </c>
      <c r="W249" s="218"/>
      <c r="X249" s="230">
        <v>-19.663</v>
      </c>
      <c r="Y249" s="161">
        <f>Z249</f>
        <v>-7.0570000000000004</v>
      </c>
      <c r="Z249" s="230">
        <v>-7.0570000000000004</v>
      </c>
      <c r="AA249" s="218"/>
      <c r="AB249" s="230">
        <v>-8.0239999999999991</v>
      </c>
      <c r="AC249" s="161">
        <f>AD249</f>
        <v>-8.1609999999999996</v>
      </c>
      <c r="AD249" s="230">
        <v>-8.1609999999999996</v>
      </c>
      <c r="AF249" s="230">
        <v>-8.2780000000000005</v>
      </c>
      <c r="AG249" s="161">
        <f>AH249</f>
        <v>-11.781000000000001</v>
      </c>
      <c r="AH249" s="230">
        <v>-11.781000000000001</v>
      </c>
      <c r="AJ249" s="230">
        <v>-10.318</v>
      </c>
      <c r="AK249" s="161">
        <f>AL249</f>
        <v>-10.318</v>
      </c>
      <c r="AL249" s="230">
        <v>-10.318</v>
      </c>
      <c r="AN249" s="181">
        <v>-10.318</v>
      </c>
      <c r="AO249" s="161">
        <f>AP249</f>
        <v>-11.303000000000001</v>
      </c>
      <c r="AP249" s="916">
        <v>-11.303000000000001</v>
      </c>
      <c r="AR249" s="185">
        <f t="shared" ref="AR249" si="907">+AP249</f>
        <v>-11.303000000000001</v>
      </c>
      <c r="AS249" s="185">
        <f t="shared" si="881"/>
        <v>-11.303000000000001</v>
      </c>
      <c r="AT249" s="161">
        <f t="shared" si="882"/>
        <v>-11.303000000000001</v>
      </c>
      <c r="AV249" s="185">
        <f t="shared" ref="AV249" si="908">+AT249</f>
        <v>-11.303000000000001</v>
      </c>
      <c r="AW249" s="185">
        <f t="shared" si="884"/>
        <v>-11.303000000000001</v>
      </c>
      <c r="AX249" s="161">
        <f t="shared" si="885"/>
        <v>-11.303000000000001</v>
      </c>
      <c r="AZ249" s="185">
        <f t="shared" ref="AZ249" si="909">+AX249</f>
        <v>-11.303000000000001</v>
      </c>
      <c r="BA249" s="185">
        <f t="shared" si="887"/>
        <v>-11.303000000000001</v>
      </c>
      <c r="BB249" s="161">
        <f t="shared" si="888"/>
        <v>-11.303000000000001</v>
      </c>
      <c r="BD249" s="185">
        <f t="shared" ref="BD249" si="910">+BB249</f>
        <v>-11.303000000000001</v>
      </c>
      <c r="BE249" s="185">
        <f t="shared" si="890"/>
        <v>-11.303000000000001</v>
      </c>
      <c r="BF249" s="161">
        <f t="shared" si="891"/>
        <v>-11.303000000000001</v>
      </c>
      <c r="BH249" s="185">
        <f t="shared" ref="BH249" si="911">+BF249</f>
        <v>-11.303000000000001</v>
      </c>
      <c r="BI249" s="185">
        <f t="shared" si="893"/>
        <v>-11.303000000000001</v>
      </c>
      <c r="BJ249" s="161">
        <f t="shared" si="894"/>
        <v>-11.303000000000001</v>
      </c>
      <c r="BL249" s="185">
        <f t="shared" ref="BL249" si="912">+BJ249</f>
        <v>-11.303000000000001</v>
      </c>
      <c r="BM249" s="185">
        <f t="shared" si="896"/>
        <v>-11.303000000000001</v>
      </c>
      <c r="BN249" s="161">
        <f t="shared" si="897"/>
        <v>-11.303000000000001</v>
      </c>
      <c r="BP249" s="185">
        <f t="shared" ref="BP249" si="913">+BN249</f>
        <v>-11.303000000000001</v>
      </c>
      <c r="BQ249" s="185">
        <f t="shared" si="899"/>
        <v>-11.303000000000001</v>
      </c>
      <c r="BR249" s="161">
        <f t="shared" si="900"/>
        <v>-11.303000000000001</v>
      </c>
      <c r="BT249" s="185">
        <f t="shared" ref="BT249" si="914">+BR249</f>
        <v>-11.303000000000001</v>
      </c>
      <c r="BU249" s="185">
        <f t="shared" ref="BU249" si="915">+BT249</f>
        <v>-11.303000000000001</v>
      </c>
      <c r="BV249" s="161">
        <f t="shared" ref="BV249" si="916">BU249</f>
        <v>-11.303000000000001</v>
      </c>
      <c r="BX249" s="185">
        <f t="shared" ref="BX249" si="917">+BV249</f>
        <v>-11.303000000000001</v>
      </c>
      <c r="BY249" s="185">
        <f t="shared" ref="BY249" si="918">+BX249</f>
        <v>-11.303000000000001</v>
      </c>
      <c r="BZ249" s="161">
        <f t="shared" ref="BZ249" si="919">BY249</f>
        <v>-11.303000000000001</v>
      </c>
    </row>
    <row r="250" spans="1:78" s="161" customFormat="1">
      <c r="A250" s="148"/>
      <c r="B250" s="160"/>
      <c r="D250" s="218"/>
      <c r="E250" s="250"/>
      <c r="F250" s="218"/>
      <c r="H250" s="181"/>
      <c r="I250" s="250"/>
      <c r="J250" s="218"/>
      <c r="L250" s="218"/>
      <c r="M250" s="250"/>
      <c r="N250" s="218"/>
      <c r="P250" s="181"/>
      <c r="Q250" s="250"/>
      <c r="R250" s="218"/>
      <c r="T250" s="218"/>
      <c r="U250" s="250"/>
      <c r="V250" s="218"/>
      <c r="W250" s="218"/>
      <c r="X250" s="218"/>
      <c r="Y250" s="250"/>
      <c r="Z250" s="218"/>
      <c r="AA250" s="218"/>
      <c r="AB250" s="218"/>
      <c r="AC250" s="250"/>
      <c r="AD250" s="218"/>
      <c r="AF250" s="218"/>
      <c r="AG250" s="250"/>
      <c r="AH250" s="218"/>
      <c r="AJ250" s="218"/>
      <c r="AK250" s="250"/>
      <c r="AL250" s="218"/>
      <c r="AO250" s="250"/>
      <c r="AP250" s="218"/>
      <c r="AR250" s="250"/>
      <c r="AS250" s="250"/>
      <c r="AV250" s="250"/>
      <c r="AW250" s="250"/>
      <c r="AZ250" s="250"/>
      <c r="BA250" s="250"/>
      <c r="BD250" s="250"/>
      <c r="BE250" s="250"/>
      <c r="BH250" s="250"/>
      <c r="BI250" s="250"/>
      <c r="BL250" s="250"/>
      <c r="BM250" s="250"/>
      <c r="BP250" s="250"/>
      <c r="BQ250" s="250"/>
      <c r="BT250" s="250"/>
      <c r="BU250" s="250"/>
      <c r="BX250" s="250"/>
      <c r="BY250" s="250"/>
    </row>
    <row r="251" spans="1:78" s="174" customFormat="1">
      <c r="B251" s="160" t="s">
        <v>243</v>
      </c>
      <c r="C251" s="155" t="s">
        <v>406</v>
      </c>
      <c r="D251" s="230">
        <v>6.0289999999999999</v>
      </c>
      <c r="E251" s="161">
        <f>F251</f>
        <v>5.3840000000000003</v>
      </c>
      <c r="F251" s="230">
        <v>5.3840000000000003</v>
      </c>
      <c r="H251" s="174">
        <v>5.7320000000000002</v>
      </c>
      <c r="I251" s="161">
        <f>J251</f>
        <v>6.09</v>
      </c>
      <c r="J251" s="230">
        <v>6.09</v>
      </c>
      <c r="L251" s="230">
        <v>6.6029999999999998</v>
      </c>
      <c r="M251" s="161">
        <f>N251</f>
        <v>6.8609999999999998</v>
      </c>
      <c r="N251" s="230">
        <v>6.8609999999999998</v>
      </c>
      <c r="P251" s="174">
        <v>7.1989999999999998</v>
      </c>
      <c r="Q251" s="161">
        <f>R251</f>
        <v>7.82</v>
      </c>
      <c r="R251" s="230">
        <v>7.82</v>
      </c>
      <c r="T251" s="230">
        <v>7.82</v>
      </c>
      <c r="U251" s="161">
        <f>V251</f>
        <v>8.4689999999999994</v>
      </c>
      <c r="V251" s="230">
        <v>8.4689999999999994</v>
      </c>
      <c r="X251" s="230">
        <v>9.3710000000000004</v>
      </c>
      <c r="Y251" s="161">
        <f>Z251</f>
        <v>10.138999999999999</v>
      </c>
      <c r="Z251" s="230">
        <v>10.138999999999999</v>
      </c>
      <c r="AB251" s="230">
        <v>12.128</v>
      </c>
      <c r="AC251" s="161">
        <f>AD251</f>
        <v>12.781000000000001</v>
      </c>
      <c r="AD251" s="230">
        <v>12.781000000000001</v>
      </c>
      <c r="AF251" s="230">
        <v>16.175000000000001</v>
      </c>
      <c r="AG251" s="161">
        <f>AH251</f>
        <v>24.263000000000002</v>
      </c>
      <c r="AH251" s="230">
        <v>24.263000000000002</v>
      </c>
      <c r="AJ251" s="230">
        <v>28.867999999999999</v>
      </c>
      <c r="AK251" s="161">
        <f>AL251</f>
        <v>18.297000000000001</v>
      </c>
      <c r="AL251" s="230">
        <v>18.297000000000001</v>
      </c>
      <c r="AM251" s="161"/>
      <c r="AN251" s="181">
        <v>23.145</v>
      </c>
      <c r="AO251" s="161">
        <f>AP251</f>
        <v>34.533999999999999</v>
      </c>
      <c r="AP251" s="916">
        <v>34.533999999999999</v>
      </c>
      <c r="AQ251" s="161"/>
      <c r="AR251" s="185">
        <f t="shared" ref="AR251" si="920">+AP251</f>
        <v>34.533999999999999</v>
      </c>
      <c r="AS251" s="185">
        <f t="shared" si="881"/>
        <v>34.533999999999999</v>
      </c>
      <c r="AT251" s="161">
        <f t="shared" si="882"/>
        <v>34.533999999999999</v>
      </c>
      <c r="AU251" s="161"/>
      <c r="AV251" s="185">
        <f t="shared" ref="AV251" si="921">+AT251</f>
        <v>34.533999999999999</v>
      </c>
      <c r="AW251" s="185">
        <f t="shared" si="884"/>
        <v>34.533999999999999</v>
      </c>
      <c r="AX251" s="161">
        <f t="shared" si="885"/>
        <v>34.533999999999999</v>
      </c>
      <c r="AY251" s="161"/>
      <c r="AZ251" s="185">
        <f t="shared" ref="AZ251" si="922">+AX251</f>
        <v>34.533999999999999</v>
      </c>
      <c r="BA251" s="185">
        <f t="shared" si="887"/>
        <v>34.533999999999999</v>
      </c>
      <c r="BB251" s="161">
        <f t="shared" si="888"/>
        <v>34.533999999999999</v>
      </c>
      <c r="BC251" s="161"/>
      <c r="BD251" s="185">
        <f t="shared" ref="BD251" si="923">+BB251</f>
        <v>34.533999999999999</v>
      </c>
      <c r="BE251" s="185">
        <f t="shared" si="890"/>
        <v>34.533999999999999</v>
      </c>
      <c r="BF251" s="161">
        <f t="shared" si="891"/>
        <v>34.533999999999999</v>
      </c>
      <c r="BG251" s="161"/>
      <c r="BH251" s="185">
        <f t="shared" ref="BH251" si="924">+BF251</f>
        <v>34.533999999999999</v>
      </c>
      <c r="BI251" s="185">
        <f t="shared" si="893"/>
        <v>34.533999999999999</v>
      </c>
      <c r="BJ251" s="161">
        <f t="shared" si="894"/>
        <v>34.533999999999999</v>
      </c>
      <c r="BK251" s="161"/>
      <c r="BL251" s="185">
        <f t="shared" ref="BL251" si="925">+BJ251</f>
        <v>34.533999999999999</v>
      </c>
      <c r="BM251" s="185">
        <f t="shared" si="896"/>
        <v>34.533999999999999</v>
      </c>
      <c r="BN251" s="161">
        <f t="shared" si="897"/>
        <v>34.533999999999999</v>
      </c>
      <c r="BO251" s="161"/>
      <c r="BP251" s="185">
        <f t="shared" ref="BP251" si="926">+BN251</f>
        <v>34.533999999999999</v>
      </c>
      <c r="BQ251" s="185">
        <f t="shared" si="899"/>
        <v>34.533999999999999</v>
      </c>
      <c r="BR251" s="161">
        <f t="shared" si="900"/>
        <v>34.533999999999999</v>
      </c>
      <c r="BS251" s="161"/>
      <c r="BT251" s="185">
        <f t="shared" ref="BT251" si="927">+BR251</f>
        <v>34.533999999999999</v>
      </c>
      <c r="BU251" s="185">
        <f t="shared" ref="BU251" si="928">+BT251</f>
        <v>34.533999999999999</v>
      </c>
      <c r="BV251" s="161">
        <f t="shared" ref="BV251" si="929">BU251</f>
        <v>34.533999999999999</v>
      </c>
      <c r="BW251" s="161"/>
      <c r="BX251" s="185">
        <f t="shared" ref="BX251" si="930">+BV251</f>
        <v>34.533999999999999</v>
      </c>
      <c r="BY251" s="185">
        <f t="shared" ref="BY251" si="931">+BX251</f>
        <v>34.533999999999999</v>
      </c>
      <c r="BZ251" s="161">
        <f t="shared" ref="BZ251" si="932">BY251</f>
        <v>34.533999999999999</v>
      </c>
    </row>
    <row r="252" spans="1:78" s="161" customFormat="1">
      <c r="A252" s="148"/>
      <c r="B252" s="160"/>
      <c r="D252" s="174"/>
      <c r="F252" s="174"/>
      <c r="H252" s="174"/>
      <c r="J252" s="174"/>
      <c r="L252" s="174"/>
      <c r="N252" s="174"/>
      <c r="P252" s="174"/>
      <c r="R252" s="174"/>
      <c r="T252" s="174"/>
      <c r="V252" s="174"/>
      <c r="X252" s="174"/>
      <c r="Z252" s="174"/>
      <c r="AB252" s="174"/>
      <c r="AD252" s="174"/>
      <c r="AF252" s="237"/>
      <c r="AH252" s="174"/>
      <c r="AJ252" s="237"/>
      <c r="AL252" s="237"/>
      <c r="AN252" s="174"/>
      <c r="AP252" s="237"/>
    </row>
    <row r="253" spans="1:78">
      <c r="B253" s="154" t="s">
        <v>244</v>
      </c>
      <c r="C253" s="155" t="s">
        <v>406</v>
      </c>
      <c r="D253" s="155">
        <f>D251+D249+D247+D244+D241+'P&amp;L'!D117</f>
        <v>279.28399999999999</v>
      </c>
      <c r="E253" s="161">
        <f>F253</f>
        <v>293.87299999999999</v>
      </c>
      <c r="F253" s="155">
        <f>F251+F249+F247+F244+F241+'P&amp;L'!F117</f>
        <v>293.87299999999999</v>
      </c>
      <c r="I253" s="161">
        <f>J253</f>
        <v>276.714</v>
      </c>
      <c r="J253" s="155">
        <f>J251+J249+J247+J244+J241+'P&amp;L'!J117</f>
        <v>276.714</v>
      </c>
      <c r="L253" s="155">
        <f>L251+L249+L247+L244+L241+'P&amp;L'!L117</f>
        <v>306.66499999999996</v>
      </c>
      <c r="M253" s="161">
        <f>N253</f>
        <v>290.72899999999998</v>
      </c>
      <c r="N253" s="155">
        <f>N251+N249+N247+N244+N241+'P&amp;L'!N117</f>
        <v>290.72899999999998</v>
      </c>
      <c r="P253" s="155">
        <f>P251+P249+P247+P244+P241+'P&amp;L'!P117</f>
        <v>398.90300000000002</v>
      </c>
      <c r="Q253" s="161">
        <f>R253</f>
        <v>415.10300000000001</v>
      </c>
      <c r="R253" s="155">
        <f>R251+R249+R247+R244+R241+'P&amp;L'!R117</f>
        <v>415.10300000000001</v>
      </c>
      <c r="T253" s="155">
        <f>T251+T249+T247+T244+T241+'P&amp;L'!T117</f>
        <v>415.10300000000001</v>
      </c>
      <c r="U253" s="161">
        <f>V253</f>
        <v>429.27800000000002</v>
      </c>
      <c r="V253" s="155">
        <f>V251+V249+V247+V244+V241+'P&amp;L'!V117</f>
        <v>429.27800000000002</v>
      </c>
      <c r="X253" s="161">
        <f>X251+X249+X247+X244+X241+'P&amp;L'!X117</f>
        <v>429.67200000000003</v>
      </c>
      <c r="Y253" s="161">
        <f>Z253</f>
        <v>478.75400000000002</v>
      </c>
      <c r="Z253" s="161">
        <f>Z251+Z249+Z247+Z244+Z241+'P&amp;L'!Z117</f>
        <v>478.75400000000002</v>
      </c>
      <c r="AA253" s="161"/>
      <c r="AB253" s="161">
        <f>AB251+AB249+AB247+AB244+AB241+'P&amp;L'!AB117</f>
        <v>478.39800000000002</v>
      </c>
      <c r="AC253" s="161">
        <f>AD253</f>
        <v>854.49399999999991</v>
      </c>
      <c r="AD253" s="161">
        <f>AD251+AD249+AD247+AD244+AD241+'P&amp;L'!AD117</f>
        <v>854.49399999999991</v>
      </c>
      <c r="AE253" s="161"/>
      <c r="AF253" s="218">
        <f>AF251+AF249+AF247+AF244+AF241+'P&amp;L'!AF117</f>
        <v>1015.3290000000001</v>
      </c>
      <c r="AG253" s="161">
        <f>AH253</f>
        <v>1279.8530000000001</v>
      </c>
      <c r="AH253" s="161">
        <f>AH251+AH249+AH247+AH244+AH241+'P&amp;L'!AH117</f>
        <v>1279.8530000000001</v>
      </c>
      <c r="AI253" s="161"/>
      <c r="AJ253" s="218">
        <f>AJ251+AJ249+AJ247+AJ244+AJ241+'P&amp;L'!AJ117</f>
        <v>1252.6790000000001</v>
      </c>
      <c r="AK253" s="161">
        <f>AL253</f>
        <v>1512.3200000000002</v>
      </c>
      <c r="AL253" s="218">
        <f>AL251+AL249+AL247+AL244+AL241+'P&amp;L'!AL117</f>
        <v>1512.3200000000002</v>
      </c>
      <c r="AM253" s="161"/>
      <c r="AN253" s="161">
        <f>AN251+AN249+AN247+AN244+AN241+'P&amp;L'!AN117</f>
        <v>1529.8790000000001</v>
      </c>
      <c r="AO253" s="161">
        <f>AP253</f>
        <v>1691.769</v>
      </c>
      <c r="AP253" s="218">
        <f>AP251+AP249+AP247+AP244+AP241+'P&amp;L'!AP117</f>
        <v>1691.769</v>
      </c>
    </row>
    <row r="254" spans="1:78">
      <c r="B254" s="154" t="s">
        <v>245</v>
      </c>
      <c r="C254" s="155" t="s">
        <v>406</v>
      </c>
      <c r="D254" s="230">
        <v>58.182000000000002</v>
      </c>
      <c r="E254" s="155">
        <f>F254</f>
        <v>56.991999999999997</v>
      </c>
      <c r="F254" s="230">
        <v>56.991999999999997</v>
      </c>
      <c r="H254" s="230">
        <v>64.423000000000002</v>
      </c>
      <c r="I254" s="155">
        <f>J254</f>
        <v>68.867999999999995</v>
      </c>
      <c r="J254" s="230">
        <v>68.867999999999995</v>
      </c>
      <c r="L254" s="230">
        <v>66.018000000000001</v>
      </c>
      <c r="M254" s="155">
        <f>N254</f>
        <v>66.501000000000005</v>
      </c>
      <c r="N254" s="230">
        <v>66.501000000000005</v>
      </c>
      <c r="P254" s="230">
        <v>75.548000000000002</v>
      </c>
      <c r="Q254" s="155">
        <f>R254</f>
        <v>68.295000000000002</v>
      </c>
      <c r="R254" s="230">
        <v>68.295000000000002</v>
      </c>
      <c r="T254" s="230">
        <v>68.295000000000002</v>
      </c>
      <c r="U254" s="155">
        <f>V254</f>
        <v>61.14</v>
      </c>
      <c r="V254" s="230">
        <v>61.14</v>
      </c>
      <c r="X254" s="230">
        <v>123.69499999999999</v>
      </c>
      <c r="Y254" s="155">
        <f>Z254</f>
        <v>119.533</v>
      </c>
      <c r="Z254" s="230">
        <v>119.533</v>
      </c>
      <c r="AB254" s="230">
        <v>135.95500000000001</v>
      </c>
      <c r="AC254" s="155">
        <f>AD254</f>
        <v>143.18299999999999</v>
      </c>
      <c r="AD254" s="230">
        <v>143.18299999999999</v>
      </c>
      <c r="AF254" s="230">
        <v>186.4</v>
      </c>
      <c r="AG254" s="155">
        <f>AH254</f>
        <v>233.51499999999999</v>
      </c>
      <c r="AH254" s="230">
        <v>233.51499999999999</v>
      </c>
      <c r="AJ254" s="230">
        <v>233.16</v>
      </c>
      <c r="AK254" s="155">
        <f>AL254</f>
        <v>236.89099999999999</v>
      </c>
      <c r="AL254" s="230">
        <v>236.89099999999999</v>
      </c>
      <c r="AM254" s="161"/>
      <c r="AN254" s="181">
        <v>333.91399999999999</v>
      </c>
      <c r="AO254" s="155">
        <f>AP254</f>
        <v>382.07799999999997</v>
      </c>
      <c r="AP254" s="916">
        <v>382.07799999999997</v>
      </c>
      <c r="AQ254" s="161"/>
      <c r="AR254" s="185">
        <f t="shared" ref="AR254" si="933">+AP254</f>
        <v>382.07799999999997</v>
      </c>
      <c r="AS254" s="185">
        <f t="shared" ref="AS254" si="934">+AR254</f>
        <v>382.07799999999997</v>
      </c>
      <c r="AT254" s="161">
        <f t="shared" ref="AT254" si="935">AS254</f>
        <v>382.07799999999997</v>
      </c>
      <c r="AU254" s="161"/>
      <c r="AV254" s="185">
        <f t="shared" ref="AV254" si="936">+AT254</f>
        <v>382.07799999999997</v>
      </c>
      <c r="AW254" s="185">
        <f t="shared" ref="AW254" si="937">+AV254</f>
        <v>382.07799999999997</v>
      </c>
      <c r="AX254" s="161">
        <f t="shared" ref="AX254" si="938">AW254</f>
        <v>382.07799999999997</v>
      </c>
      <c r="AY254" s="161"/>
      <c r="AZ254" s="185">
        <f t="shared" ref="AZ254" si="939">+AX254</f>
        <v>382.07799999999997</v>
      </c>
      <c r="BA254" s="185">
        <f t="shared" ref="BA254" si="940">+AZ254</f>
        <v>382.07799999999997</v>
      </c>
      <c r="BB254" s="161">
        <f t="shared" ref="BB254" si="941">BA254</f>
        <v>382.07799999999997</v>
      </c>
      <c r="BC254" s="161"/>
      <c r="BD254" s="185">
        <f t="shared" ref="BD254" si="942">+BB254</f>
        <v>382.07799999999997</v>
      </c>
      <c r="BE254" s="185">
        <f t="shared" ref="BE254" si="943">+BD254</f>
        <v>382.07799999999997</v>
      </c>
      <c r="BF254" s="161">
        <f t="shared" ref="BF254" si="944">BE254</f>
        <v>382.07799999999997</v>
      </c>
      <c r="BG254" s="161"/>
      <c r="BH254" s="185">
        <f t="shared" ref="BH254" si="945">+BF254</f>
        <v>382.07799999999997</v>
      </c>
      <c r="BI254" s="185">
        <f t="shared" ref="BI254" si="946">+BH254</f>
        <v>382.07799999999997</v>
      </c>
      <c r="BJ254" s="161">
        <f t="shared" ref="BJ254" si="947">BI254</f>
        <v>382.07799999999997</v>
      </c>
      <c r="BK254" s="161"/>
      <c r="BL254" s="185">
        <f t="shared" ref="BL254" si="948">+BJ254</f>
        <v>382.07799999999997</v>
      </c>
      <c r="BM254" s="185">
        <f t="shared" ref="BM254" si="949">+BL254</f>
        <v>382.07799999999997</v>
      </c>
      <c r="BN254" s="161">
        <f t="shared" ref="BN254" si="950">BM254</f>
        <v>382.07799999999997</v>
      </c>
      <c r="BO254" s="161"/>
      <c r="BP254" s="185">
        <f t="shared" ref="BP254" si="951">+BN254</f>
        <v>382.07799999999997</v>
      </c>
      <c r="BQ254" s="185">
        <f t="shared" ref="BQ254" si="952">+BP254</f>
        <v>382.07799999999997</v>
      </c>
      <c r="BR254" s="161">
        <f t="shared" ref="BR254" si="953">BQ254</f>
        <v>382.07799999999997</v>
      </c>
      <c r="BS254" s="161"/>
      <c r="BT254" s="185">
        <f t="shared" ref="BT254" si="954">+BR254</f>
        <v>382.07799999999997</v>
      </c>
      <c r="BU254" s="185">
        <f t="shared" ref="BU254" si="955">+BT254</f>
        <v>382.07799999999997</v>
      </c>
      <c r="BV254" s="161">
        <f t="shared" ref="BV254" si="956">BU254</f>
        <v>382.07799999999997</v>
      </c>
      <c r="BW254" s="161"/>
      <c r="BX254" s="185">
        <f t="shared" ref="BX254" si="957">+BV254</f>
        <v>382.07799999999997</v>
      </c>
      <c r="BY254" s="185">
        <f t="shared" ref="BY254" si="958">+BX254</f>
        <v>382.07799999999997</v>
      </c>
      <c r="BZ254" s="161">
        <f t="shared" ref="BZ254" si="959">BY254</f>
        <v>382.07799999999997</v>
      </c>
    </row>
    <row r="255" spans="1:78" ht="12.75" customHeight="1">
      <c r="B255" s="154" t="s">
        <v>246</v>
      </c>
      <c r="C255" s="155" t="s">
        <v>406</v>
      </c>
      <c r="D255" s="155">
        <f>D254+D253</f>
        <v>337.46600000000001</v>
      </c>
      <c r="E255" s="155">
        <f>E254+E253</f>
        <v>350.86500000000001</v>
      </c>
      <c r="F255" s="155">
        <f>F254+F253</f>
        <v>350.86500000000001</v>
      </c>
      <c r="I255" s="155">
        <f>I254+I253</f>
        <v>345.58199999999999</v>
      </c>
      <c r="J255" s="155">
        <f>J254+J253</f>
        <v>345.58199999999999</v>
      </c>
      <c r="L255" s="155">
        <f>L254+L253</f>
        <v>372.68299999999999</v>
      </c>
      <c r="M255" s="155">
        <f>M254+M253</f>
        <v>357.23</v>
      </c>
      <c r="N255" s="155">
        <f>N254+N253</f>
        <v>357.23</v>
      </c>
      <c r="P255" s="155">
        <f>P254+P253</f>
        <v>474.45100000000002</v>
      </c>
      <c r="Q255" s="155">
        <f>Q254+Q253</f>
        <v>483.39800000000002</v>
      </c>
      <c r="R255" s="155">
        <f>R254+R253</f>
        <v>483.39800000000002</v>
      </c>
      <c r="T255" s="155">
        <f>T254+T253</f>
        <v>483.39800000000002</v>
      </c>
      <c r="U255" s="155">
        <f>U254+U253</f>
        <v>490.41800000000001</v>
      </c>
      <c r="V255" s="155">
        <f>V254+V253</f>
        <v>490.41800000000001</v>
      </c>
      <c r="X255" s="161">
        <f>X254+X253</f>
        <v>553.36699999999996</v>
      </c>
      <c r="Y255" s="161">
        <f>Y254+Y253</f>
        <v>598.28700000000003</v>
      </c>
      <c r="Z255" s="161">
        <f>Z254+Z253</f>
        <v>598.28700000000003</v>
      </c>
      <c r="AA255" s="161"/>
      <c r="AB255" s="161">
        <f>AB254+AB253</f>
        <v>614.35300000000007</v>
      </c>
      <c r="AC255" s="161">
        <f>AC254+AC253</f>
        <v>997.67699999999991</v>
      </c>
      <c r="AD255" s="161">
        <f>AD254+AD253</f>
        <v>997.67699999999991</v>
      </c>
      <c r="AE255" s="161"/>
      <c r="AF255" s="161">
        <f>AF254+AF253</f>
        <v>1201.729</v>
      </c>
      <c r="AG255" s="161">
        <f>AG254+AG253</f>
        <v>1513.3679999999999</v>
      </c>
      <c r="AH255" s="161">
        <f>AH254+AH253</f>
        <v>1513.3679999999999</v>
      </c>
      <c r="AI255" s="161"/>
      <c r="AJ255" s="161">
        <f>AJ254+AJ253</f>
        <v>1485.8390000000002</v>
      </c>
      <c r="AK255" s="161">
        <f>AK254+AK253</f>
        <v>1749.2110000000002</v>
      </c>
      <c r="AL255" s="218">
        <f>AL254+AL253</f>
        <v>1749.2110000000002</v>
      </c>
      <c r="AM255" s="161"/>
      <c r="AN255" s="161">
        <f>AN254+AN253</f>
        <v>1863.7930000000001</v>
      </c>
      <c r="AO255" s="161">
        <f>AO254+AO253</f>
        <v>2073.8469999999998</v>
      </c>
      <c r="AP255" s="218">
        <f>AP254+AP253</f>
        <v>2073.8469999999998</v>
      </c>
    </row>
    <row r="256" spans="1:78">
      <c r="AL256" s="241"/>
    </row>
    <row r="257" spans="38:38">
      <c r="AL257" s="241"/>
    </row>
    <row r="258" spans="38:38">
      <c r="AL258" s="241"/>
    </row>
    <row r="259" spans="38:38">
      <c r="AL259" s="241"/>
    </row>
  </sheetData>
  <phoneticPr fontId="6" type="noConversion"/>
  <pageMargins left="0.7" right="0.7" top="0.75" bottom="0.75" header="0.3" footer="0.3"/>
  <pageSetup paperSize="9" orientation="portrait" horizontalDpi="4294967293"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9BE69-D75C-45CF-AEE5-39E5C78C311D}">
  <sheetPr codeName="Sheet21">
    <tabColor rgb="FF33CCCC"/>
  </sheetPr>
  <dimension ref="B2:BS123"/>
  <sheetViews>
    <sheetView showGridLines="0" zoomScale="85" zoomScaleNormal="85" workbookViewId="0">
      <pane xSplit="3" ySplit="9" topLeftCell="AE35" activePane="bottomRight" state="frozen"/>
      <selection pane="topRight" activeCell="D1" sqref="D1"/>
      <selection pane="bottomLeft" activeCell="A10" sqref="A10"/>
      <selection pane="bottomRight" activeCell="B5" sqref="B5"/>
    </sheetView>
  </sheetViews>
  <sheetFormatPr defaultColWidth="9.109375" defaultRowHeight="13.8" outlineLevelCol="1"/>
  <cols>
    <col min="1" max="1" width="3.33203125" style="128" customWidth="1"/>
    <col min="2" max="2" width="35.5546875" style="128" customWidth="1"/>
    <col min="3" max="3" width="10" style="128" customWidth="1"/>
    <col min="4" max="5" width="6.109375" style="128" customWidth="1" outlineLevel="1"/>
    <col min="6" max="7" width="7.33203125" style="128" customWidth="1" outlineLevel="1"/>
    <col min="8" max="9" width="6.109375" style="128" customWidth="1" outlineLevel="1"/>
    <col min="10" max="11" width="7.33203125" style="128" customWidth="1" outlineLevel="1"/>
    <col min="12" max="13" width="6.109375" style="128" customWidth="1" outlineLevel="1"/>
    <col min="14" max="15" width="7.33203125" style="128" customWidth="1" outlineLevel="1"/>
    <col min="16" max="19" width="6.109375" style="128" customWidth="1" outlineLevel="1"/>
    <col min="20" max="24" width="6.5546875" style="128" customWidth="1"/>
    <col min="25" max="25" width="7.88671875" style="128" customWidth="1"/>
    <col min="26" max="70" width="6.5546875" style="128" customWidth="1"/>
    <col min="71" max="16384" width="9.109375" style="128"/>
  </cols>
  <sheetData>
    <row r="2" spans="2:70">
      <c r="B2" s="355" t="s">
        <v>286</v>
      </c>
      <c r="AF2" s="128" t="s">
        <v>64</v>
      </c>
      <c r="AG2" s="128">
        <v>1</v>
      </c>
    </row>
    <row r="3" spans="2:70" ht="14.4" thickBot="1">
      <c r="AF3" s="128" t="s">
        <v>287</v>
      </c>
      <c r="AG3" s="128">
        <v>2</v>
      </c>
    </row>
    <row r="4" spans="2:70" ht="14.4" thickBot="1">
      <c r="B4" s="358" t="s">
        <v>64</v>
      </c>
      <c r="AF4" s="128" t="s">
        <v>66</v>
      </c>
      <c r="AG4" s="128">
        <v>3</v>
      </c>
    </row>
    <row r="5" spans="2:70">
      <c r="B5" s="128">
        <f>_xlfn.XLOOKUP(B4,AF2:AF4,AG2:AG4)</f>
        <v>1</v>
      </c>
    </row>
    <row r="8" spans="2:70">
      <c r="B8" s="359"/>
      <c r="C8" s="359"/>
      <c r="D8" s="359"/>
      <c r="E8" s="359"/>
      <c r="F8" s="359"/>
      <c r="G8" s="359"/>
      <c r="H8" s="359"/>
      <c r="I8" s="359"/>
      <c r="J8" s="359"/>
      <c r="K8" s="359"/>
      <c r="L8" s="359"/>
      <c r="M8" s="359"/>
      <c r="N8" s="359"/>
      <c r="O8" s="359"/>
      <c r="P8" s="359"/>
      <c r="Q8" s="359"/>
      <c r="R8" s="359"/>
      <c r="S8" s="359"/>
      <c r="T8" s="359"/>
      <c r="U8" s="359"/>
      <c r="V8" s="359"/>
      <c r="W8" s="359"/>
      <c r="X8" s="359"/>
      <c r="Y8" s="359"/>
      <c r="Z8" s="359"/>
      <c r="AA8" s="359"/>
      <c r="AB8" s="359"/>
      <c r="AC8" s="359"/>
      <c r="AD8" s="359"/>
      <c r="AE8" s="359"/>
      <c r="AF8" s="359"/>
      <c r="AG8" s="359"/>
      <c r="AH8" s="359"/>
      <c r="AI8" s="359"/>
      <c r="AJ8" s="359"/>
      <c r="AK8" s="359"/>
      <c r="AL8" s="359"/>
      <c r="AM8" s="359"/>
      <c r="AN8" s="359"/>
      <c r="AO8" s="359"/>
      <c r="AP8" s="359"/>
      <c r="AQ8" s="359"/>
      <c r="AR8" s="359"/>
      <c r="AS8" s="359"/>
      <c r="AT8" s="359"/>
      <c r="AU8" s="359"/>
      <c r="AV8" s="359"/>
      <c r="AW8" s="359"/>
      <c r="AX8" s="359"/>
      <c r="AY8" s="359"/>
      <c r="AZ8" s="359"/>
      <c r="BA8" s="359"/>
      <c r="BB8" s="359"/>
      <c r="BC8" s="359"/>
      <c r="BD8" s="359"/>
      <c r="BE8" s="359"/>
      <c r="BF8" s="359"/>
      <c r="BG8" s="359"/>
      <c r="BH8" s="359"/>
      <c r="BI8" s="359"/>
      <c r="BJ8" s="359"/>
      <c r="BK8" s="359"/>
      <c r="BL8" s="359"/>
      <c r="BM8" s="359"/>
      <c r="BN8" s="359"/>
      <c r="BO8" s="359"/>
      <c r="BP8" s="359"/>
      <c r="BQ8" s="359"/>
      <c r="BR8" s="359"/>
    </row>
    <row r="9" spans="2:70">
      <c r="B9" s="360" t="s">
        <v>63</v>
      </c>
      <c r="C9" s="360"/>
      <c r="D9" s="361" t="str">
        <f>'P&amp;L'!P7</f>
        <v>1H19</v>
      </c>
      <c r="E9" s="361" t="str">
        <f>'P&amp;L'!Q7</f>
        <v>2H19</v>
      </c>
      <c r="F9" s="361" t="str">
        <f>'P&amp;L'!R7</f>
        <v>FY19</v>
      </c>
      <c r="G9" s="361"/>
      <c r="H9" s="361" t="str">
        <f>'P&amp;L'!T7</f>
        <v>1H20</v>
      </c>
      <c r="I9" s="361" t="str">
        <f>'P&amp;L'!U7</f>
        <v>2H20</v>
      </c>
      <c r="J9" s="361" t="str">
        <f>'P&amp;L'!V7</f>
        <v>FY20</v>
      </c>
      <c r="K9" s="361"/>
      <c r="L9" s="361" t="str">
        <f>'P&amp;L'!X7</f>
        <v>1H21</v>
      </c>
      <c r="M9" s="361" t="str">
        <f>'P&amp;L'!Y7</f>
        <v>2H21</v>
      </c>
      <c r="N9" s="361" t="str">
        <f>'P&amp;L'!Z7</f>
        <v>FY21</v>
      </c>
      <c r="O9" s="361"/>
      <c r="P9" s="361" t="str">
        <f>'P&amp;L'!AB7</f>
        <v>1H22</v>
      </c>
      <c r="Q9" s="361" t="str">
        <f>'P&amp;L'!AC7</f>
        <v>2H22</v>
      </c>
      <c r="R9" s="361" t="str">
        <f>'P&amp;L'!AD7</f>
        <v>FY22</v>
      </c>
      <c r="S9" s="360"/>
      <c r="T9" s="361" t="str">
        <f>'P&amp;L'!AF7</f>
        <v>1H23</v>
      </c>
      <c r="U9" s="361" t="str">
        <f>'P&amp;L'!AG7</f>
        <v>2H23</v>
      </c>
      <c r="V9" s="361" t="str">
        <f>'P&amp;L'!AH7</f>
        <v>FY23</v>
      </c>
      <c r="W9" s="360"/>
      <c r="X9" s="361" t="str">
        <f>'P&amp;L'!AJ7</f>
        <v>1H24</v>
      </c>
      <c r="Y9" s="361" t="str">
        <f>'P&amp;L'!AK7</f>
        <v>2H24</v>
      </c>
      <c r="Z9" s="361" t="str">
        <f>'P&amp;L'!AL7</f>
        <v>FY24</v>
      </c>
      <c r="AA9" s="360"/>
      <c r="AB9" s="361" t="str">
        <f>'P&amp;L'!AN7</f>
        <v>1H25</v>
      </c>
      <c r="AC9" s="361" t="str">
        <f>'P&amp;L'!AO7</f>
        <v>2H25</v>
      </c>
      <c r="AD9" s="361" t="str">
        <f>'P&amp;L'!AP7</f>
        <v>FY25</v>
      </c>
      <c r="AE9" s="360"/>
      <c r="AF9" s="361" t="str">
        <f>'P&amp;L'!AR7</f>
        <v>1H26E</v>
      </c>
      <c r="AG9" s="361" t="str">
        <f>'P&amp;L'!AS7</f>
        <v>2H26E</v>
      </c>
      <c r="AH9" s="361" t="str">
        <f>'P&amp;L'!AT7</f>
        <v>FY26E</v>
      </c>
      <c r="AI9" s="360"/>
      <c r="AJ9" s="361" t="str">
        <f>'P&amp;L'!AV7</f>
        <v>1H27E</v>
      </c>
      <c r="AK9" s="361" t="str">
        <f>'P&amp;L'!AW7</f>
        <v>2H27E</v>
      </c>
      <c r="AL9" s="361" t="str">
        <f>'P&amp;L'!AX7</f>
        <v>FY27E</v>
      </c>
      <c r="AM9" s="360"/>
      <c r="AN9" s="361" t="str">
        <f>'P&amp;L'!AZ7</f>
        <v>1H28E</v>
      </c>
      <c r="AO9" s="361" t="str">
        <f>'P&amp;L'!BA7</f>
        <v>2H28E</v>
      </c>
      <c r="AP9" s="361" t="str">
        <f>'P&amp;L'!BB7</f>
        <v>FY28E</v>
      </c>
      <c r="AQ9" s="360"/>
      <c r="AR9" s="361" t="str">
        <f>'P&amp;L'!BD7</f>
        <v>1H29E</v>
      </c>
      <c r="AS9" s="361" t="str">
        <f>'P&amp;L'!BE7</f>
        <v>2H29E</v>
      </c>
      <c r="AT9" s="361" t="str">
        <f>'P&amp;L'!BF7</f>
        <v>FY29E</v>
      </c>
      <c r="AU9" s="360"/>
      <c r="AV9" s="361" t="str">
        <f>'P&amp;L'!BH7</f>
        <v>1H30E</v>
      </c>
      <c r="AW9" s="361" t="str">
        <f>'P&amp;L'!BI7</f>
        <v>2H30E</v>
      </c>
      <c r="AX9" s="361" t="str">
        <f>'P&amp;L'!BJ7</f>
        <v>FY30E</v>
      </c>
      <c r="AY9" s="360"/>
      <c r="AZ9" s="361" t="str">
        <f>'P&amp;L'!BL7</f>
        <v>1H31E</v>
      </c>
      <c r="BA9" s="361" t="str">
        <f>'P&amp;L'!BM7</f>
        <v>2H31E</v>
      </c>
      <c r="BB9" s="361" t="str">
        <f>'P&amp;L'!BN7</f>
        <v>FY31E</v>
      </c>
      <c r="BC9" s="360"/>
      <c r="BD9" s="361" t="str">
        <f>'P&amp;L'!BP7</f>
        <v>1H32E</v>
      </c>
      <c r="BE9" s="361" t="str">
        <f>'P&amp;L'!BQ7</f>
        <v>2H32E</v>
      </c>
      <c r="BF9" s="361" t="str">
        <f>'P&amp;L'!BR7</f>
        <v>FY32E</v>
      </c>
      <c r="BG9" s="360"/>
      <c r="BH9" s="361" t="str">
        <f>'P&amp;L'!BT7</f>
        <v>1H33E</v>
      </c>
      <c r="BI9" s="361" t="str">
        <f>'P&amp;L'!BU7</f>
        <v>2H33E</v>
      </c>
      <c r="BJ9" s="361" t="str">
        <f>'P&amp;L'!BV7</f>
        <v>FY33E</v>
      </c>
      <c r="BK9" s="360"/>
      <c r="BL9" s="361" t="str">
        <f>'P&amp;L'!BX7</f>
        <v>1H34E</v>
      </c>
      <c r="BM9" s="361" t="str">
        <f>'P&amp;L'!BY7</f>
        <v>2H34E</v>
      </c>
      <c r="BN9" s="361" t="str">
        <f>'P&amp;L'!BZ7</f>
        <v>FY34E</v>
      </c>
      <c r="BO9" s="360"/>
      <c r="BP9" s="361">
        <f>'P&amp;L'!CB7</f>
        <v>0</v>
      </c>
      <c r="BQ9" s="361">
        <f>'P&amp;L'!CC7</f>
        <v>0</v>
      </c>
      <c r="BR9" s="361">
        <f>'P&amp;L'!CD7</f>
        <v>0</v>
      </c>
    </row>
    <row r="10" spans="2:70">
      <c r="B10" s="355" t="s">
        <v>284</v>
      </c>
      <c r="C10" s="356"/>
      <c r="D10" s="356"/>
      <c r="E10" s="356"/>
      <c r="F10" s="356"/>
      <c r="G10" s="356"/>
      <c r="H10" s="356"/>
      <c r="I10" s="356"/>
      <c r="J10" s="356"/>
      <c r="K10" s="356"/>
      <c r="L10" s="356"/>
      <c r="M10" s="356"/>
      <c r="N10" s="356"/>
      <c r="O10" s="356"/>
      <c r="P10" s="356"/>
      <c r="Q10" s="356"/>
      <c r="R10" s="356"/>
      <c r="S10" s="356"/>
    </row>
    <row r="11" spans="2:70">
      <c r="B11" s="150" t="s">
        <v>642</v>
      </c>
      <c r="C11" s="150"/>
      <c r="D11" s="147">
        <f>+'P&amp;L'!P212</f>
        <v>0.28978753652950018</v>
      </c>
      <c r="E11" s="147">
        <f>+'P&amp;L'!Q212</f>
        <v>8.494479545599587E-2</v>
      </c>
      <c r="F11" s="147">
        <f>+'P&amp;L'!R212</f>
        <v>0.17649135192375565</v>
      </c>
      <c r="G11" s="147"/>
      <c r="H11" s="147">
        <f>+'P&amp;L'!T212</f>
        <v>0</v>
      </c>
      <c r="I11" s="147">
        <f>+'P&amp;L'!U212</f>
        <v>5.7058823529411606E-2</v>
      </c>
      <c r="J11" s="147">
        <f>+'P&amp;L'!V212</f>
        <v>2.9102910291028961E-2</v>
      </c>
      <c r="K11" s="147"/>
      <c r="L11" s="147">
        <f>+'P&amp;L'!X212</f>
        <v>8.0220453153704741E-2</v>
      </c>
      <c r="M11" s="147">
        <f>+'P&amp;L'!Y212</f>
        <v>0.14079020589872004</v>
      </c>
      <c r="N11" s="147">
        <f>+'P&amp;L'!Z212</f>
        <v>0.11195335276967922</v>
      </c>
      <c r="O11" s="147"/>
      <c r="P11" s="147">
        <f>+'P&amp;L'!AB212</f>
        <v>0.10147392290249435</v>
      </c>
      <c r="Q11" s="147">
        <f>+'P&amp;L'!AC212</f>
        <v>6.8292682926829329E-2</v>
      </c>
      <c r="R11" s="147">
        <f>+'P&amp;L'!AD212</f>
        <v>8.3639223911903704E-2</v>
      </c>
      <c r="S11" s="150"/>
      <c r="T11" s="138">
        <f>+'P&amp;L'!AF212</f>
        <v>0.12609366958311896</v>
      </c>
      <c r="U11" s="147">
        <f>+'P&amp;L'!AG212</f>
        <v>8.4018264840182599E-2</v>
      </c>
      <c r="V11" s="147">
        <f>+'P&amp;L'!AH212</f>
        <v>0.10379869344301951</v>
      </c>
      <c r="X11" s="138">
        <f>+'P&amp;L'!AJ212</f>
        <v>7.0840950639853739E-2</v>
      </c>
      <c r="Y11" s="147">
        <f>+'P&amp;L'!AK212</f>
        <v>7.7796967144060591E-2</v>
      </c>
      <c r="Z11" s="147">
        <f>+'P&amp;L'!AL212</f>
        <v>7.4460762823323146E-2</v>
      </c>
      <c r="AB11" s="138">
        <f>+'P&amp;L'!AN212</f>
        <v>0.10072556551429779</v>
      </c>
      <c r="AC11" s="147">
        <f>+'P&amp;L'!AO212</f>
        <v>6.1480679566497054E-2</v>
      </c>
      <c r="AD11" s="147">
        <f>+'P&amp;L'!AP212</f>
        <v>8.0239672439505583E-2</v>
      </c>
      <c r="AF11" s="147">
        <f>CHOOSE($B$5,AF39,AF40,AF41)</f>
        <v>0.06</v>
      </c>
      <c r="AG11" s="147">
        <f>CHOOSE($B$5,AG39,AG40,AG41)</f>
        <v>0.05</v>
      </c>
      <c r="AH11" s="147">
        <f>+'P&amp;L'!AT212</f>
        <v>5.4870632672332498E-2</v>
      </c>
      <c r="AJ11" s="147">
        <f>CHOOSE($B$5,AJ39,AJ40,AJ41)</f>
        <v>0.05</v>
      </c>
      <c r="AK11" s="147">
        <f>CHOOSE($B$5,AK39,AK40,AK41)</f>
        <v>0.05</v>
      </c>
      <c r="AL11" s="147">
        <f>+'P&amp;L'!AX212</f>
        <v>5.0000000000000044E-2</v>
      </c>
      <c r="AN11" s="147">
        <f>CHOOSE($B$5,AN39,AN40,AN41)</f>
        <v>0.05</v>
      </c>
      <c r="AO11" s="147">
        <f>CHOOSE($B$5,AO39,AO40,AO41)</f>
        <v>0.05</v>
      </c>
      <c r="AP11" s="147">
        <f>+'P&amp;L'!BB212</f>
        <v>5.0000000000000266E-2</v>
      </c>
      <c r="AR11" s="147">
        <f>CHOOSE($B$5,AR39,AR40,AR41)</f>
        <v>0.05</v>
      </c>
      <c r="AS11" s="147">
        <f>CHOOSE($B$5,AS39,AS40,AS41)</f>
        <v>0.05</v>
      </c>
      <c r="AT11" s="147">
        <f>+'P&amp;L'!BF212</f>
        <v>5.0000000000000044E-2</v>
      </c>
      <c r="AV11" s="147">
        <f>CHOOSE($B$5,AV39,AV40,AV41)</f>
        <v>0.05</v>
      </c>
      <c r="AW11" s="147">
        <f>CHOOSE($B$5,AW39,AW40,AW41)</f>
        <v>0.05</v>
      </c>
      <c r="AX11" s="147">
        <f>+'P&amp;L'!BJ212</f>
        <v>5.0000000000000044E-2</v>
      </c>
      <c r="AZ11" s="147">
        <f>CHOOSE($B$5,AZ39,AZ40,AZ41)</f>
        <v>0.05</v>
      </c>
      <c r="BA11" s="147">
        <f>CHOOSE($B$5,BA39,BA40,BA41)</f>
        <v>0.05</v>
      </c>
      <c r="BB11" s="147">
        <f>+'P&amp;L'!BN212</f>
        <v>5.0000000000000044E-2</v>
      </c>
      <c r="BD11" s="147">
        <f>CHOOSE($B$5,BD39,BD40,BD41)</f>
        <v>0.05</v>
      </c>
      <c r="BE11" s="147">
        <f>CHOOSE($B$5,BE39,BE40,BE41)</f>
        <v>0.05</v>
      </c>
      <c r="BF11" s="147">
        <f>+'P&amp;L'!BR212</f>
        <v>5.0000000000000044E-2</v>
      </c>
      <c r="BH11" s="147">
        <f>CHOOSE($B$5,BH39,BH40,BH41)</f>
        <v>0.05</v>
      </c>
      <c r="BI11" s="147">
        <f>CHOOSE($B$5,BI39,BI40,BI41)</f>
        <v>0.05</v>
      </c>
      <c r="BJ11" s="147">
        <f>+'P&amp;L'!BV212</f>
        <v>5.0000000000000044E-2</v>
      </c>
      <c r="BL11" s="147">
        <f>CHOOSE($B$5,BL39,BL40,BL41)</f>
        <v>0.05</v>
      </c>
      <c r="BM11" s="147">
        <f>CHOOSE($B$5,BM39,BM40,BM41)</f>
        <v>0.05</v>
      </c>
      <c r="BN11" s="147">
        <f>+'P&amp;L'!BZ212</f>
        <v>5.0000000000000044E-2</v>
      </c>
      <c r="BP11" s="147">
        <f>CHOOSE($B$5,BP39,BP40,BP41)</f>
        <v>0.05</v>
      </c>
      <c r="BQ11" s="147">
        <f>CHOOSE($B$5,BQ39,BQ40,BQ41)</f>
        <v>0.05</v>
      </c>
      <c r="BR11" s="147">
        <f>+'P&amp;L'!CD212</f>
        <v>0</v>
      </c>
    </row>
    <row r="12" spans="2:70">
      <c r="B12" s="150" t="s">
        <v>684</v>
      </c>
      <c r="C12" s="150"/>
      <c r="D12" s="147">
        <f>+'P&amp;L'!P229</f>
        <v>0.2553191489361703</v>
      </c>
      <c r="E12" s="147">
        <f>+'P&amp;L'!Q229</f>
        <v>0.30215449290593799</v>
      </c>
      <c r="F12" s="147">
        <f>+'P&amp;L'!R229</f>
        <v>0.27887919640496961</v>
      </c>
      <c r="G12" s="147"/>
      <c r="H12" s="147">
        <f>+'P&amp;L'!T229</f>
        <v>0.2553191489361703</v>
      </c>
      <c r="I12" s="147">
        <f>+'P&amp;L'!U229</f>
        <v>0.30884485258579014</v>
      </c>
      <c r="J12" s="147">
        <f>+'P&amp;L'!V229</f>
        <v>0.28336287667763987</v>
      </c>
      <c r="K12" s="147"/>
      <c r="L12" s="147">
        <f>+'P&amp;L'!X229</f>
        <v>0.32112408759124095</v>
      </c>
      <c r="M12" s="147">
        <f>+'P&amp;L'!Y229</f>
        <v>0.31671434957532396</v>
      </c>
      <c r="N12" s="147">
        <f>+'P&amp;L'!Z229</f>
        <v>0.31882572227399808</v>
      </c>
      <c r="O12" s="147"/>
      <c r="P12" s="147">
        <f>+'P&amp;L'!AB229</f>
        <v>0.31141552511415521</v>
      </c>
      <c r="Q12" s="147">
        <f>+'P&amp;L'!AC229</f>
        <v>0.36104114189756509</v>
      </c>
      <c r="R12" s="147">
        <f>+'P&amp;L'!AD229</f>
        <v>0.33727034120734906</v>
      </c>
      <c r="S12" s="150"/>
      <c r="T12" s="138">
        <f>+'P&amp;L'!AF229</f>
        <v>0.35162194633560273</v>
      </c>
      <c r="U12" s="147">
        <f>+'P&amp;L'!AG229</f>
        <v>0.34996296021927548</v>
      </c>
      <c r="V12" s="147">
        <f>+'P&amp;L'!AH229</f>
        <v>0.35076008312807894</v>
      </c>
      <c r="X12" s="138">
        <f>+'P&amp;L'!AJ229</f>
        <v>0.36935953420669576</v>
      </c>
      <c r="Y12" s="147">
        <f>+'P&amp;L'!AK229</f>
        <v>0.36670601552953075</v>
      </c>
      <c r="Z12" s="147">
        <f>+'P&amp;L'!AL229</f>
        <v>0.36799965937456203</v>
      </c>
      <c r="AB12" s="138">
        <f>+'P&amp;L'!AN229</f>
        <v>0.37640449438202256</v>
      </c>
      <c r="AC12" s="147">
        <f>+'P&amp;L'!AO229</f>
        <v>0.37957860615883304</v>
      </c>
      <c r="AD12" s="147">
        <f>+'P&amp;L'!AP229</f>
        <v>0.37800687285223367</v>
      </c>
      <c r="AF12" s="147">
        <f>CHOOSE($B$5,AF45,AF46,AF47)</f>
        <v>0.375</v>
      </c>
      <c r="AG12" s="147">
        <f>CHOOSE($B$5,AG45,AG46,AG47)</f>
        <v>0.38750000000000001</v>
      </c>
      <c r="AH12" s="147">
        <f>+'P&amp;L'!AT229</f>
        <v>0.38129093395301228</v>
      </c>
      <c r="AJ12" s="147">
        <f>CHOOSE($B$5,AJ45,AJ46,AJ47)</f>
        <v>0.38</v>
      </c>
      <c r="AK12" s="147">
        <f>CHOOSE($B$5,AK45,AK46,AK47)</f>
        <v>0.39250000000000002</v>
      </c>
      <c r="AL12" s="147">
        <f>+'P&amp;L'!AX229</f>
        <v>0.38629646375820403</v>
      </c>
      <c r="AN12" s="147">
        <f>CHOOSE($B$5,AN45,AN46,AN47)</f>
        <v>0.38500000000000001</v>
      </c>
      <c r="AO12" s="147">
        <f>CHOOSE($B$5,AO45,AO46,AO47)</f>
        <v>0.39800000000000002</v>
      </c>
      <c r="AP12" s="147">
        <f>+'P&amp;L'!BB229</f>
        <v>0.3915540251452343</v>
      </c>
      <c r="AR12" s="147">
        <f>CHOOSE($B$5,AR45,AR46,AR47)</f>
        <v>0.38500000000000001</v>
      </c>
      <c r="AS12" s="147">
        <f>CHOOSE($B$5,AS45,AS46,AS47)</f>
        <v>0.39800000000000002</v>
      </c>
      <c r="AT12" s="147">
        <f>+'P&amp;L'!BF229</f>
        <v>0.39155967004683495</v>
      </c>
      <c r="AV12" s="147">
        <f>CHOOSE($B$5,AV45,AV46,AV47)</f>
        <v>0.38500000000000001</v>
      </c>
      <c r="AW12" s="147">
        <f>CHOOSE($B$5,AW45,AW46,AW47)</f>
        <v>0.39800000000000002</v>
      </c>
      <c r="AX12" s="147">
        <f>+'P&amp;L'!BJ229</f>
        <v>0.39156525507111195</v>
      </c>
      <c r="AZ12" s="147">
        <f>CHOOSE($B$5,AZ45,AZ46,AZ47)</f>
        <v>0.38500000000000001</v>
      </c>
      <c r="BA12" s="147">
        <f>CHOOSE($B$5,BA45,BA46,BA47)</f>
        <v>0.39800000000000002</v>
      </c>
      <c r="BB12" s="147">
        <f>+'P&amp;L'!BN229</f>
        <v>0.39157077836787596</v>
      </c>
      <c r="BD12" s="147">
        <f>CHOOSE($B$5,BD45,BD46,BD47)</f>
        <v>0.38500000000000001</v>
      </c>
      <c r="BE12" s="147">
        <f>CHOOSE($B$5,BE45,BE46,BE47)</f>
        <v>0.39800000000000002</v>
      </c>
      <c r="BF12" s="147">
        <f>+'P&amp;L'!BR229</f>
        <v>0.39157623818138182</v>
      </c>
      <c r="BH12" s="147">
        <f>CHOOSE($B$5,BH45,BH46,BH47)</f>
        <v>0.38500000000000001</v>
      </c>
      <c r="BI12" s="147">
        <f>CHOOSE($B$5,BI45,BI46,BI47)</f>
        <v>0.39800000000000002</v>
      </c>
      <c r="BJ12" s="147">
        <f>+'P&amp;L'!BV229</f>
        <v>0.39158163285238873</v>
      </c>
      <c r="BL12" s="147">
        <f>CHOOSE($B$5,BL45,BL46,BL47)</f>
        <v>0.38500000000000001</v>
      </c>
      <c r="BM12" s="147">
        <f>CHOOSE($B$5,BM45,BM46,BM47)</f>
        <v>0.39800000000000002</v>
      </c>
      <c r="BN12" s="147">
        <f>+'P&amp;L'!BZ229</f>
        <v>0.39158696081987099</v>
      </c>
      <c r="BP12" s="147">
        <f>CHOOSE($B$5,BP45,BP46,BP47)</f>
        <v>0.38500000000000001</v>
      </c>
      <c r="BQ12" s="147">
        <f>CHOOSE($B$5,BQ45,BQ46,BQ47)</f>
        <v>0.39800000000000002</v>
      </c>
      <c r="BR12" s="147">
        <f>+'P&amp;L'!CD229</f>
        <v>0</v>
      </c>
    </row>
    <row r="13" spans="2:70">
      <c r="B13" s="150" t="s">
        <v>289</v>
      </c>
      <c r="C13" s="150"/>
      <c r="D13" s="147">
        <f>+'P&amp;L'!P241</f>
        <v>0.54788418708240538</v>
      </c>
      <c r="E13" s="147">
        <f>+'P&amp;L'!Q241</f>
        <v>0.52857142857142858</v>
      </c>
      <c r="F13" s="147">
        <f>+'P&amp;L'!R241</f>
        <v>0.53716551040634286</v>
      </c>
      <c r="G13" s="147"/>
      <c r="H13" s="147">
        <f>+'P&amp;L'!T241</f>
        <v>0.54788418708240538</v>
      </c>
      <c r="I13" s="147">
        <f>+'P&amp;L'!U241</f>
        <v>0.54848966613672501</v>
      </c>
      <c r="J13" s="147">
        <f>+'P&amp;L'!V241</f>
        <v>0.54823747680890544</v>
      </c>
      <c r="K13" s="147"/>
      <c r="L13" s="147">
        <f>+'P&amp;L'!X241</f>
        <v>0.54347826086956519</v>
      </c>
      <c r="M13" s="147">
        <f>+'P&amp;L'!Y241</f>
        <v>0.53237410071942448</v>
      </c>
      <c r="N13" s="147">
        <f>+'P&amp;L'!Z241</f>
        <v>0.53771471247199398</v>
      </c>
      <c r="O13" s="147"/>
      <c r="P13" s="147">
        <f>+'P&amp;L'!AB241</f>
        <v>0.57164179104477608</v>
      </c>
      <c r="Q13" s="147">
        <f>+'P&amp;L'!AC241</f>
        <v>0.56434474616292807</v>
      </c>
      <c r="R13" s="147">
        <f>+'P&amp;L'!AD241</f>
        <v>0.56756756756756754</v>
      </c>
      <c r="S13" s="150"/>
      <c r="T13" s="138">
        <f>+'P&amp;L'!AF241</f>
        <v>0.58023255813953489</v>
      </c>
      <c r="U13" s="147">
        <f>+'P&amp;L'!AG241</f>
        <v>0.5993449781659389</v>
      </c>
      <c r="V13" s="147">
        <f>+'P&amp;L'!AH241</f>
        <v>0.59009009009009006</v>
      </c>
      <c r="X13" s="138">
        <f>+'P&amp;L'!AJ241</f>
        <v>0.60183299389002032</v>
      </c>
      <c r="Y13" s="147">
        <f>+'P&amp;L'!AK241</f>
        <v>0.59941081160701126</v>
      </c>
      <c r="Z13" s="147">
        <f>+'P&amp;L'!AL241</f>
        <v>0.60059989501837174</v>
      </c>
      <c r="AB13" s="138">
        <f>+'P&amp;L'!AN241</f>
        <v>0.60237659963436929</v>
      </c>
      <c r="AC13" s="147">
        <f>+'P&amp;L'!AO241</f>
        <v>0.61681415929203531</v>
      </c>
      <c r="AD13" s="147">
        <f>+'P&amp;L'!AP241</f>
        <v>0.60971223021582732</v>
      </c>
      <c r="AF13" s="147">
        <f>CHOOSE($B$5,AF49,AF50,AF51)</f>
        <v>0.6</v>
      </c>
      <c r="AG13" s="147">
        <f>CHOOSE($B$5,AG49,AG50,AG51)</f>
        <v>0.6</v>
      </c>
      <c r="AH13" s="147">
        <f>+'P&amp;L'!AT241</f>
        <v>0.59999999999999987</v>
      </c>
      <c r="AJ13" s="147">
        <f>CHOOSE($B$5,AJ49,AJ50,AJ51)</f>
        <v>0.6</v>
      </c>
      <c r="AK13" s="147">
        <f>CHOOSE($B$5,AK49,AK50,AK51)</f>
        <v>0.6</v>
      </c>
      <c r="AL13" s="147">
        <f>+'P&amp;L'!AX241</f>
        <v>0.6</v>
      </c>
      <c r="AN13" s="147">
        <f>CHOOSE($B$5,AN49,AN50,AN51)</f>
        <v>0.6</v>
      </c>
      <c r="AO13" s="147">
        <f>CHOOSE($B$5,AO49,AO50,AO51)</f>
        <v>0.6</v>
      </c>
      <c r="AP13" s="147">
        <f>+'P&amp;L'!BB241</f>
        <v>0.6</v>
      </c>
      <c r="AR13" s="147">
        <f>CHOOSE($B$5,AR49,AR50,AR51)</f>
        <v>0.6</v>
      </c>
      <c r="AS13" s="147">
        <f>CHOOSE($B$5,AS49,AS50,AS51)</f>
        <v>0.6</v>
      </c>
      <c r="AT13" s="147">
        <f>+'P&amp;L'!BF241</f>
        <v>0.6</v>
      </c>
      <c r="AV13" s="147">
        <f>CHOOSE($B$5,AV49,AV50,AV51)</f>
        <v>0.6</v>
      </c>
      <c r="AW13" s="147">
        <f>CHOOSE($B$5,AW49,AW50,AW51)</f>
        <v>0.6</v>
      </c>
      <c r="AX13" s="147">
        <f>+'P&amp;L'!BJ241</f>
        <v>0.6</v>
      </c>
      <c r="AZ13" s="147">
        <f>CHOOSE($B$5,AZ49,AZ50,AZ51)</f>
        <v>0.6</v>
      </c>
      <c r="BA13" s="147">
        <f>CHOOSE($B$5,BA49,BA50,BA51)</f>
        <v>0.6</v>
      </c>
      <c r="BB13" s="147">
        <f>+'P&amp;L'!BN241</f>
        <v>0.60000000000000009</v>
      </c>
      <c r="BD13" s="147">
        <f>CHOOSE($B$5,BD49,BD50,BD51)</f>
        <v>0.6</v>
      </c>
      <c r="BE13" s="147">
        <f>CHOOSE($B$5,BE49,BE50,BE51)</f>
        <v>0.6</v>
      </c>
      <c r="BF13" s="147">
        <f>+'P&amp;L'!BR241</f>
        <v>0.6</v>
      </c>
      <c r="BH13" s="147">
        <f>CHOOSE($B$5,BH49,BH50,BH51)</f>
        <v>0.6</v>
      </c>
      <c r="BI13" s="147">
        <f>CHOOSE($B$5,BI49,BI50,BI51)</f>
        <v>0.6</v>
      </c>
      <c r="BJ13" s="147">
        <f>+'P&amp;L'!BV241</f>
        <v>0.59999999999999987</v>
      </c>
      <c r="BL13" s="147">
        <f>CHOOSE($B$5,BL49,BL50,BL51)</f>
        <v>0.6</v>
      </c>
      <c r="BM13" s="147">
        <f>CHOOSE($B$5,BM49,BM50,BM51)</f>
        <v>0.6</v>
      </c>
      <c r="BN13" s="147">
        <f>+'P&amp;L'!BZ241</f>
        <v>0.6</v>
      </c>
      <c r="BP13" s="147">
        <f>CHOOSE($B$5,BP49,BP50,BP51)</f>
        <v>0.6</v>
      </c>
      <c r="BQ13" s="147">
        <f>CHOOSE($B$5,BQ49,BQ50,BQ51)</f>
        <v>0.6</v>
      </c>
      <c r="BR13" s="147">
        <f>+'P&amp;L'!CD241</f>
        <v>0</v>
      </c>
    </row>
    <row r="14" spans="2:70">
      <c r="B14" s="150"/>
      <c r="C14" s="150"/>
      <c r="D14" s="150"/>
      <c r="E14" s="150"/>
      <c r="F14" s="150"/>
      <c r="G14" s="150"/>
      <c r="H14" s="150"/>
      <c r="I14" s="150"/>
      <c r="J14" s="150"/>
      <c r="K14" s="150"/>
      <c r="L14" s="150"/>
      <c r="M14" s="150"/>
      <c r="N14" s="150"/>
      <c r="O14" s="150"/>
      <c r="P14" s="150"/>
      <c r="Q14" s="150"/>
      <c r="R14" s="150"/>
      <c r="S14" s="150"/>
      <c r="T14" s="138"/>
      <c r="U14" s="150"/>
      <c r="V14" s="150"/>
      <c r="X14" s="138"/>
      <c r="Y14" s="150"/>
      <c r="Z14" s="150"/>
      <c r="AB14" s="138"/>
      <c r="AC14" s="150"/>
      <c r="AD14" s="150"/>
      <c r="AH14" s="147"/>
      <c r="AL14" s="147"/>
      <c r="AP14" s="147"/>
      <c r="AT14" s="147"/>
      <c r="AX14" s="147"/>
      <c r="BB14" s="147"/>
      <c r="BF14" s="147"/>
      <c r="BJ14" s="147"/>
      <c r="BN14" s="147"/>
      <c r="BR14" s="147"/>
    </row>
    <row r="15" spans="2:70">
      <c r="B15" s="355" t="s">
        <v>183</v>
      </c>
      <c r="C15" s="356"/>
      <c r="D15" s="356"/>
      <c r="E15" s="356"/>
      <c r="F15" s="356"/>
      <c r="G15" s="356"/>
      <c r="H15" s="356"/>
      <c r="I15" s="356"/>
      <c r="J15" s="356"/>
      <c r="K15" s="356"/>
      <c r="L15" s="356"/>
      <c r="M15" s="356"/>
      <c r="N15" s="356"/>
      <c r="O15" s="356"/>
      <c r="P15" s="356"/>
      <c r="Q15" s="356"/>
      <c r="R15" s="356"/>
      <c r="S15" s="356"/>
      <c r="T15" s="138"/>
      <c r="U15" s="356"/>
      <c r="V15" s="356"/>
      <c r="X15" s="138"/>
      <c r="Y15" s="356"/>
      <c r="Z15" s="356"/>
      <c r="AB15" s="138"/>
      <c r="AC15" s="356"/>
      <c r="AD15" s="356"/>
      <c r="AH15" s="147"/>
      <c r="AL15" s="147"/>
      <c r="AP15" s="147"/>
      <c r="AT15" s="147"/>
      <c r="AX15" s="147"/>
      <c r="BB15" s="147"/>
      <c r="BF15" s="147"/>
      <c r="BJ15" s="147"/>
      <c r="BN15" s="147"/>
      <c r="BR15" s="147"/>
    </row>
    <row r="16" spans="2:70">
      <c r="B16" s="150" t="s">
        <v>288</v>
      </c>
      <c r="C16" s="150"/>
      <c r="D16" s="147">
        <f>+'P&amp;L'!P268</f>
        <v>0</v>
      </c>
      <c r="E16" s="147">
        <f>+'P&amp;L'!Q268</f>
        <v>0</v>
      </c>
      <c r="F16" s="147">
        <f>+'P&amp;L'!R268</f>
        <v>0</v>
      </c>
      <c r="G16" s="147"/>
      <c r="H16" s="147">
        <f>+'P&amp;L'!T268</f>
        <v>0</v>
      </c>
      <c r="I16" s="147">
        <f>+'P&amp;L'!U268</f>
        <v>0</v>
      </c>
      <c r="J16" s="147">
        <f>+'P&amp;L'!V268</f>
        <v>0</v>
      </c>
      <c r="K16" s="147"/>
      <c r="L16" s="147">
        <f>+'P&amp;L'!X268</f>
        <v>0</v>
      </c>
      <c r="M16" s="147">
        <f>+'P&amp;L'!Y268</f>
        <v>0.57142857142857162</v>
      </c>
      <c r="N16" s="147">
        <f>+'P&amp;L'!Z268</f>
        <v>1.9948979591836733</v>
      </c>
      <c r="O16" s="147"/>
      <c r="P16" s="147">
        <f>+'P&amp;L'!AB268</f>
        <v>0.19354838709677424</v>
      </c>
      <c r="Q16" s="147">
        <f>+'P&amp;L'!AC268</f>
        <v>0.18279220779220795</v>
      </c>
      <c r="R16" s="147">
        <f>+'P&amp;L'!AD268</f>
        <v>0.18790459965928452</v>
      </c>
      <c r="S16" s="150"/>
      <c r="T16" s="138">
        <f>+'P&amp;L'!AF268</f>
        <v>0.12912912912912922</v>
      </c>
      <c r="U16" s="147">
        <f>+'P&amp;L'!AG268</f>
        <v>0.16522097172659889</v>
      </c>
      <c r="V16" s="147">
        <f>+'P&amp;L'!AH268</f>
        <v>0.14798508532912669</v>
      </c>
      <c r="X16" s="138">
        <f>+'P&amp;L'!AJ268</f>
        <v>0.14627659574468077</v>
      </c>
      <c r="Y16" s="147">
        <f>+'P&amp;L'!AK268</f>
        <v>0.1524417536337721</v>
      </c>
      <c r="Z16" s="147">
        <f>+'P&amp;L'!AL268</f>
        <v>0.14954590313433003</v>
      </c>
      <c r="AB16" s="138">
        <f>+'P&amp;L'!AN268</f>
        <v>0.16473317865429227</v>
      </c>
      <c r="AC16" s="147">
        <f>+'P&amp;L'!AO268</f>
        <v>0.1365494685200328</v>
      </c>
      <c r="AD16" s="147">
        <f>+'P&amp;L'!AP268</f>
        <v>0.14975005433601396</v>
      </c>
      <c r="AF16" s="147">
        <f>CHOOSE($B$5,AF54,AF55,AF56)</f>
        <v>0.1</v>
      </c>
      <c r="AG16" s="147">
        <f>CHOOSE($B$5,AG54,AG55,AG56)</f>
        <v>0.1</v>
      </c>
      <c r="AH16" s="147">
        <f>+'P&amp;L'!AT268</f>
        <v>0.10000000000000009</v>
      </c>
      <c r="AJ16" s="147">
        <f>CHOOSE($B$5,AJ54,AJ55,AJ56)</f>
        <v>0.1</v>
      </c>
      <c r="AK16" s="147">
        <f>CHOOSE($B$5,AK54,AK55,AK56)</f>
        <v>0.1</v>
      </c>
      <c r="AL16" s="147">
        <f>+'P&amp;L'!AX268</f>
        <v>0.10000000000000009</v>
      </c>
      <c r="AN16" s="147">
        <f>CHOOSE($B$5,AN54,AN55,AN56)</f>
        <v>0.1</v>
      </c>
      <c r="AO16" s="147">
        <f>CHOOSE($B$5,AO54,AO55,AO56)</f>
        <v>0.1</v>
      </c>
      <c r="AP16" s="147">
        <f>+'P&amp;L'!BB268</f>
        <v>0.10000000000000031</v>
      </c>
      <c r="AR16" s="147">
        <f>CHOOSE($B$5,AR54,AR55,AR56)</f>
        <v>0.06</v>
      </c>
      <c r="AS16" s="147">
        <f>CHOOSE($B$5,AS54,AS55,AS56)</f>
        <v>0.06</v>
      </c>
      <c r="AT16" s="147">
        <f>+'P&amp;L'!BF268</f>
        <v>5.9999999999999831E-2</v>
      </c>
      <c r="AV16" s="147">
        <f>CHOOSE($B$5,AV54,AV55,AV56)</f>
        <v>0.06</v>
      </c>
      <c r="AW16" s="147">
        <f>CHOOSE($B$5,AW54,AW55,AW56)</f>
        <v>0.06</v>
      </c>
      <c r="AX16" s="147">
        <f>+'P&amp;L'!BJ268</f>
        <v>6.0000000000000053E-2</v>
      </c>
      <c r="AZ16" s="147">
        <f>CHOOSE($B$5,AZ54,AZ55,AZ56)</f>
        <v>0.06</v>
      </c>
      <c r="BA16" s="147">
        <f>CHOOSE($B$5,BA54,BA55,BA56)</f>
        <v>0.06</v>
      </c>
      <c r="BB16" s="147">
        <f>+'P&amp;L'!BN268</f>
        <v>6.0000000000000053E-2</v>
      </c>
      <c r="BD16" s="147">
        <f>CHOOSE($B$5,BD54,BD55,BD56)</f>
        <v>0.06</v>
      </c>
      <c r="BE16" s="147">
        <f>CHOOSE($B$5,BE54,BE55,BE56)</f>
        <v>0.06</v>
      </c>
      <c r="BF16" s="147">
        <f>+'P&amp;L'!BR268</f>
        <v>6.0000000000000053E-2</v>
      </c>
      <c r="BH16" s="147">
        <f>CHOOSE($B$5,BH54,BH55,BH56)</f>
        <v>0.06</v>
      </c>
      <c r="BI16" s="147">
        <f>CHOOSE($B$5,BI54,BI55,BI56)</f>
        <v>0.06</v>
      </c>
      <c r="BJ16" s="147">
        <f>+'P&amp;L'!BV268</f>
        <v>6.0000000000000053E-2</v>
      </c>
      <c r="BL16" s="147">
        <f>CHOOSE($B$5,BL54,BL55,BL56)</f>
        <v>0.06</v>
      </c>
      <c r="BM16" s="147">
        <f>CHOOSE($B$5,BM54,BM55,BM56)</f>
        <v>0.06</v>
      </c>
      <c r="BN16" s="147">
        <f>+'P&amp;L'!BZ268</f>
        <v>6.0000000000000053E-2</v>
      </c>
      <c r="BP16" s="147">
        <f>CHOOSE($B$5,BP54,BP55,BP56)</f>
        <v>0.06</v>
      </c>
      <c r="BQ16" s="147">
        <f>CHOOSE($B$5,BQ54,BQ55,BQ56)</f>
        <v>0.06</v>
      </c>
      <c r="BR16" s="147">
        <f>+'P&amp;L'!CD268</f>
        <v>0</v>
      </c>
    </row>
    <row r="17" spans="2:70">
      <c r="B17" s="150" t="str">
        <f>B12</f>
        <v>Underlying EBITA margin %</v>
      </c>
      <c r="C17" s="150"/>
      <c r="D17" s="147">
        <f>+'P&amp;L'!P274</f>
        <v>0</v>
      </c>
      <c r="E17" s="147">
        <f>+'P&amp;L'!Q274</f>
        <v>0</v>
      </c>
      <c r="F17" s="147">
        <f>+'P&amp;L'!R274</f>
        <v>0</v>
      </c>
      <c r="G17" s="147"/>
      <c r="H17" s="147">
        <f>+'P&amp;L'!T274</f>
        <v>0</v>
      </c>
      <c r="I17" s="147">
        <f>+'P&amp;L'!U274</f>
        <v>0.3928571428571429</v>
      </c>
      <c r="J17" s="147">
        <f>+'P&amp;L'!V274</f>
        <v>0.3928571428571429</v>
      </c>
      <c r="K17" s="147"/>
      <c r="L17" s="147">
        <f>+'P&amp;L'!X274</f>
        <v>0.38351254480286739</v>
      </c>
      <c r="M17" s="147">
        <f>+'P&amp;L'!Y274</f>
        <v>0.36688311688311687</v>
      </c>
      <c r="N17" s="147">
        <f>+'P&amp;L'!Z274</f>
        <v>0.37478705281090285</v>
      </c>
      <c r="O17" s="147"/>
      <c r="P17" s="147">
        <f>+'P&amp;L'!AB274</f>
        <v>0.36936936936936932</v>
      </c>
      <c r="Q17" s="147">
        <f>+'P&amp;L'!AC274</f>
        <v>0.38512215207246792</v>
      </c>
      <c r="R17" s="147">
        <f>+'P&amp;L'!AD274</f>
        <v>0.37759931163057514</v>
      </c>
      <c r="S17" s="150"/>
      <c r="T17" s="138">
        <f>+'P&amp;L'!AF274</f>
        <v>0.38563829787234039</v>
      </c>
      <c r="U17" s="147">
        <f>+'P&amp;L'!AG274</f>
        <v>0.41402624325661386</v>
      </c>
      <c r="V17" s="147">
        <f>+'P&amp;L'!AH274</f>
        <v>0.4006920761033867</v>
      </c>
      <c r="X17" s="138">
        <f>+'P&amp;L'!AJ274</f>
        <v>0.39675174013921116</v>
      </c>
      <c r="Y17" s="147">
        <f>+'P&amp;L'!AK274</f>
        <v>0.44031071136549471</v>
      </c>
      <c r="Z17" s="147">
        <f>+'P&amp;L'!AL274</f>
        <v>0.41990871549663117</v>
      </c>
      <c r="AB17" s="138">
        <f>+'P&amp;L'!AN274</f>
        <v>0.43227091633466136</v>
      </c>
      <c r="AC17" s="147">
        <f>+'P&amp;L'!AO274</f>
        <v>0.48021582733812945</v>
      </c>
      <c r="AD17" s="147">
        <f>+'P&amp;L'!AP274</f>
        <v>0.45746691871455575</v>
      </c>
      <c r="AF17" s="147">
        <f>CHOOSE($B$5,AF58,AF59,AF60)</f>
        <v>0.438</v>
      </c>
      <c r="AG17" s="147">
        <f>CHOOSE($B$5,AG58,AG59,AG60)</f>
        <v>0.48</v>
      </c>
      <c r="AH17" s="147">
        <f>+'P&amp;L'!AT274</f>
        <v>0.46007183364839321</v>
      </c>
      <c r="AJ17" s="147">
        <f>CHOOSE($B$5,AJ58,AJ59,AJ60)</f>
        <v>0.443</v>
      </c>
      <c r="AK17" s="147">
        <f>CHOOSE($B$5,AK58,AK59,AK60)</f>
        <v>0.48499999999999999</v>
      </c>
      <c r="AL17" s="147">
        <f>+'P&amp;L'!AX274</f>
        <v>0.46507183364839316</v>
      </c>
      <c r="AN17" s="147">
        <f>CHOOSE($B$5,AN58,AN59,AN60)</f>
        <v>0.44800000000000001</v>
      </c>
      <c r="AO17" s="147">
        <f>CHOOSE($B$5,AO58,AO59,AO60)</f>
        <v>0.49</v>
      </c>
      <c r="AP17" s="147">
        <f>+'P&amp;L'!BB274</f>
        <v>0.47007183364839306</v>
      </c>
      <c r="AR17" s="147">
        <f>CHOOSE($B$5,AR58,AR59,AR60)</f>
        <v>0.44800000000000001</v>
      </c>
      <c r="AS17" s="147">
        <f>CHOOSE($B$5,AS58,AS59,AS60)</f>
        <v>0.49</v>
      </c>
      <c r="AT17" s="147">
        <f>+'P&amp;L'!BF274</f>
        <v>0.47007183364839322</v>
      </c>
      <c r="AV17" s="147">
        <f>CHOOSE($B$5,AV58,AV59,AV60)</f>
        <v>0.44800000000000001</v>
      </c>
      <c r="AW17" s="147">
        <f>CHOOSE($B$5,AW58,AW59,AW60)</f>
        <v>0.49</v>
      </c>
      <c r="AX17" s="147">
        <f>+'P&amp;L'!BJ274</f>
        <v>0.47007183364839322</v>
      </c>
      <c r="AZ17" s="147">
        <f>CHOOSE($B$5,AZ58,AZ59,AZ60)</f>
        <v>0.44800000000000001</v>
      </c>
      <c r="BA17" s="147">
        <f>CHOOSE($B$5,BA58,BA59,BA60)</f>
        <v>0.49</v>
      </c>
      <c r="BB17" s="147">
        <f>+'P&amp;L'!BN274</f>
        <v>0.47007183364839317</v>
      </c>
      <c r="BD17" s="147">
        <f>CHOOSE($B$5,BD58,BD59,BD60)</f>
        <v>0.44800000000000001</v>
      </c>
      <c r="BE17" s="147">
        <f>CHOOSE($B$5,BE58,BE59,BE60)</f>
        <v>0.49</v>
      </c>
      <c r="BF17" s="147">
        <f>+'P&amp;L'!BR274</f>
        <v>0.47007183364839322</v>
      </c>
      <c r="BH17" s="147">
        <f>CHOOSE($B$5,BH58,BH59,BH60)</f>
        <v>0.44800000000000001</v>
      </c>
      <c r="BI17" s="147">
        <f>CHOOSE($B$5,BI58,BI59,BI60)</f>
        <v>0.49</v>
      </c>
      <c r="BJ17" s="147">
        <f>+'P&amp;L'!BV274</f>
        <v>0.47007183364839317</v>
      </c>
      <c r="BL17" s="147">
        <f>CHOOSE($B$5,BL58,BL59,BL60)</f>
        <v>0.44800000000000001</v>
      </c>
      <c r="BM17" s="147">
        <f>CHOOSE($B$5,BM58,BM59,BM60)</f>
        <v>0.49</v>
      </c>
      <c r="BN17" s="147">
        <f>+'P&amp;L'!BZ274</f>
        <v>0.47007183364839317</v>
      </c>
      <c r="BP17" s="147">
        <f>CHOOSE($B$5,BP58,BP59,BP60)</f>
        <v>0.44800000000000001</v>
      </c>
      <c r="BQ17" s="147">
        <f>CHOOSE($B$5,BQ58,BQ59,BQ60)</f>
        <v>0.49</v>
      </c>
      <c r="BR17" s="147">
        <f>+'P&amp;L'!CD274</f>
        <v>0</v>
      </c>
    </row>
    <row r="18" spans="2:70">
      <c r="B18" s="150" t="str">
        <f>B13</f>
        <v>Profit share %</v>
      </c>
      <c r="C18" s="150"/>
      <c r="D18" s="147">
        <f>+'P&amp;L'!P282</f>
        <v>0</v>
      </c>
      <c r="E18" s="147">
        <f>+'P&amp;L'!Q282</f>
        <v>0</v>
      </c>
      <c r="F18" s="147">
        <f>+'P&amp;L'!R282</f>
        <v>0</v>
      </c>
      <c r="G18" s="147"/>
      <c r="H18" s="147">
        <f>+'P&amp;L'!T282</f>
        <v>0</v>
      </c>
      <c r="I18" s="147">
        <f>+'P&amp;L'!U282</f>
        <v>0.40789473684210531</v>
      </c>
      <c r="J18" s="147">
        <f>+'P&amp;L'!V282</f>
        <v>0.40789473684210531</v>
      </c>
      <c r="K18" s="147"/>
      <c r="L18" s="147">
        <f>+'P&amp;L'!X282</f>
        <v>0.39814814814814808</v>
      </c>
      <c r="M18" s="147">
        <f>+'P&amp;L'!Y282</f>
        <v>0.41071428571428581</v>
      </c>
      <c r="N18" s="147">
        <f>+'P&amp;L'!Z282</f>
        <v>0.40454545454545454</v>
      </c>
      <c r="O18" s="147"/>
      <c r="P18" s="147">
        <f>+'P&amp;L'!AB282</f>
        <v>0.40495867768595045</v>
      </c>
      <c r="Q18" s="147">
        <f>+'P&amp;L'!AC282</f>
        <v>0.40579710144927539</v>
      </c>
      <c r="R18" s="147">
        <f>+'P&amp;L'!AD282</f>
        <v>0.40540540540540543</v>
      </c>
      <c r="S18" s="150"/>
      <c r="T18" s="138">
        <f>+'P&amp;L'!AF282</f>
        <v>0.40714285714285714</v>
      </c>
      <c r="U18" s="147">
        <f>+'P&amp;L'!AG282</f>
        <v>0.40598802395209582</v>
      </c>
      <c r="V18" s="147">
        <f>+'P&amp;L'!AH282</f>
        <v>0.40651465798045605</v>
      </c>
      <c r="X18" s="138">
        <f>+'P&amp;L'!AJ282</f>
        <v>0.40853658536585369</v>
      </c>
      <c r="Y18" s="147">
        <f>+'P&amp;L'!AK282</f>
        <v>0.40528655648980377</v>
      </c>
      <c r="Z18" s="147">
        <f>+'P&amp;L'!AL282</f>
        <v>0.40672345931956649</v>
      </c>
      <c r="AB18" s="138">
        <f>+'P&amp;L'!AN282</f>
        <v>0.40952380952380951</v>
      </c>
      <c r="AC18" s="147">
        <f>+'P&amp;L'!AO282</f>
        <v>0.40384615384615391</v>
      </c>
      <c r="AD18" s="147">
        <f>+'P&amp;L'!AP282</f>
        <v>0.40638297872340429</v>
      </c>
      <c r="AF18" s="147">
        <f>CHOOSE($B$5,AF62,AF63,AF64)</f>
        <v>0.41</v>
      </c>
      <c r="AG18" s="147">
        <f>CHOOSE($B$5,AG62,AG63,AG64)</f>
        <v>0.41</v>
      </c>
      <c r="AH18" s="147">
        <f>+'P&amp;L'!AT282</f>
        <v>0.40999999999999992</v>
      </c>
      <c r="AJ18" s="147">
        <f>CHOOSE($B$5,AJ62,AJ63,AJ64)</f>
        <v>0.41</v>
      </c>
      <c r="AK18" s="147">
        <f>CHOOSE($B$5,AK62,AK63,AK64)</f>
        <v>0.41</v>
      </c>
      <c r="AL18" s="147">
        <f>+'P&amp;L'!AX282</f>
        <v>0.41000000000000003</v>
      </c>
      <c r="AN18" s="147">
        <f>CHOOSE($B$5,AN62,AN63,AN64)</f>
        <v>0.41</v>
      </c>
      <c r="AO18" s="147">
        <f>CHOOSE($B$5,AO62,AO63,AO64)</f>
        <v>0.41</v>
      </c>
      <c r="AP18" s="147">
        <f>+'P&amp;L'!BB282</f>
        <v>0.41000000000000003</v>
      </c>
      <c r="AR18" s="147">
        <f>CHOOSE($B$5,AR62,AR63,AR64)</f>
        <v>0.41</v>
      </c>
      <c r="AS18" s="147">
        <f>CHOOSE($B$5,AS62,AS63,AS64)</f>
        <v>0.41</v>
      </c>
      <c r="AT18" s="147">
        <f>+'P&amp;L'!BF282</f>
        <v>0.40999999999999992</v>
      </c>
      <c r="AV18" s="147">
        <f>CHOOSE($B$5,AV62,AV63,AV64)</f>
        <v>0.41</v>
      </c>
      <c r="AW18" s="147">
        <f>CHOOSE($B$5,AW62,AW63,AW64)</f>
        <v>0.41</v>
      </c>
      <c r="AX18" s="147">
        <f>+'P&amp;L'!BJ282</f>
        <v>0.40999999999999986</v>
      </c>
      <c r="AZ18" s="147">
        <f>CHOOSE($B$5,AZ62,AZ63,AZ64)</f>
        <v>0.41</v>
      </c>
      <c r="BA18" s="147">
        <f>CHOOSE($B$5,BA62,BA63,BA64)</f>
        <v>0.41</v>
      </c>
      <c r="BB18" s="147">
        <f>+'P&amp;L'!BN282</f>
        <v>0.40999999999999992</v>
      </c>
      <c r="BD18" s="147">
        <f>CHOOSE($B$5,BD62,BD63,BD64)</f>
        <v>0.41</v>
      </c>
      <c r="BE18" s="147">
        <f>CHOOSE($B$5,BE62,BE63,BE64)</f>
        <v>0.41</v>
      </c>
      <c r="BF18" s="147">
        <f>+'P&amp;L'!BR282</f>
        <v>0.41</v>
      </c>
      <c r="BH18" s="147">
        <f>CHOOSE($B$5,BH62,BH63,BH64)</f>
        <v>0.41</v>
      </c>
      <c r="BI18" s="147">
        <f>CHOOSE($B$5,BI62,BI63,BI64)</f>
        <v>0.41</v>
      </c>
      <c r="BJ18" s="147">
        <f>+'P&amp;L'!BV282</f>
        <v>0.41</v>
      </c>
      <c r="BL18" s="147">
        <f>CHOOSE($B$5,BL62,BL63,BL64)</f>
        <v>0.41</v>
      </c>
      <c r="BM18" s="147">
        <f>CHOOSE($B$5,BM62,BM63,BM64)</f>
        <v>0.41</v>
      </c>
      <c r="BN18" s="147">
        <f>+'P&amp;L'!BZ282</f>
        <v>0.41</v>
      </c>
      <c r="BP18" s="147">
        <f>CHOOSE($B$5,BP62,BP63,BP64)</f>
        <v>0.41</v>
      </c>
      <c r="BQ18" s="147">
        <f>CHOOSE($B$5,BQ62,BQ63,BQ64)</f>
        <v>0.41</v>
      </c>
      <c r="BR18" s="147">
        <f>+'P&amp;L'!CD282</f>
        <v>0</v>
      </c>
    </row>
    <row r="19" spans="2:70">
      <c r="T19" s="138"/>
      <c r="X19" s="138"/>
      <c r="AB19" s="138"/>
      <c r="AH19" s="147"/>
      <c r="AL19" s="147"/>
      <c r="AP19" s="147"/>
      <c r="AT19" s="147"/>
      <c r="AX19" s="147"/>
      <c r="BB19" s="147"/>
      <c r="BF19" s="147"/>
      <c r="BJ19" s="147"/>
      <c r="BN19" s="147"/>
      <c r="BR19" s="147"/>
    </row>
    <row r="20" spans="2:70">
      <c r="B20" s="355" t="s">
        <v>285</v>
      </c>
      <c r="C20" s="356"/>
      <c r="D20" s="356"/>
      <c r="E20" s="356"/>
      <c r="F20" s="356"/>
      <c r="G20" s="356"/>
      <c r="H20" s="356"/>
      <c r="I20" s="356"/>
      <c r="J20" s="356"/>
      <c r="K20" s="356"/>
      <c r="L20" s="356"/>
      <c r="M20" s="356"/>
      <c r="N20" s="356"/>
      <c r="O20" s="356"/>
      <c r="P20" s="356"/>
      <c r="Q20" s="356"/>
      <c r="R20" s="356"/>
      <c r="S20" s="356"/>
      <c r="T20" s="138"/>
      <c r="U20" s="356"/>
      <c r="V20" s="356"/>
      <c r="X20" s="138"/>
      <c r="Y20" s="356"/>
      <c r="Z20" s="356"/>
      <c r="AB20" s="138"/>
      <c r="AC20" s="356"/>
      <c r="AD20" s="356"/>
      <c r="AH20" s="147"/>
      <c r="AL20" s="147"/>
      <c r="AP20" s="147"/>
      <c r="AT20" s="147"/>
      <c r="AX20" s="147"/>
      <c r="BB20" s="147"/>
      <c r="BF20" s="147"/>
      <c r="BJ20" s="147"/>
      <c r="BN20" s="147"/>
      <c r="BR20" s="147"/>
    </row>
    <row r="21" spans="2:70">
      <c r="B21" s="150" t="s">
        <v>642</v>
      </c>
      <c r="C21" s="150"/>
      <c r="D21" s="147">
        <f>+'P&amp;L'!P294</f>
        <v>0</v>
      </c>
      <c r="E21" s="147">
        <f>+'P&amp;L'!Q294</f>
        <v>0</v>
      </c>
      <c r="F21" s="147">
        <f>+'P&amp;L'!R294</f>
        <v>0</v>
      </c>
      <c r="G21" s="147"/>
      <c r="H21" s="147">
        <f>+'P&amp;L'!T294</f>
        <v>0</v>
      </c>
      <c r="I21" s="147">
        <f>+'P&amp;L'!U294</f>
        <v>0</v>
      </c>
      <c r="J21" s="147">
        <f>+'P&amp;L'!V294</f>
        <v>0</v>
      </c>
      <c r="K21" s="147"/>
      <c r="L21" s="147">
        <f>+'P&amp;L'!X294</f>
        <v>-1.0563380281690016E-2</v>
      </c>
      <c r="M21" s="147">
        <f>+'P&amp;L'!Y294</f>
        <v>0.48175182481751833</v>
      </c>
      <c r="N21" s="147">
        <f>+'P&amp;L'!Z294</f>
        <v>0.23118279569892475</v>
      </c>
      <c r="O21" s="147"/>
      <c r="P21" s="147">
        <f>+'P&amp;L'!AB294</f>
        <v>0.46975088967971512</v>
      </c>
      <c r="Q21" s="147">
        <f>+'P&amp;L'!AC294</f>
        <v>0.28448275862068972</v>
      </c>
      <c r="R21" s="147">
        <f>+'P&amp;L'!AD294</f>
        <v>0.36026200873362435</v>
      </c>
      <c r="S21" s="150"/>
      <c r="T21" s="138">
        <f>+'P&amp;L'!AF294</f>
        <v>0.32687651331719136</v>
      </c>
      <c r="U21" s="147">
        <f>+'P&amp;L'!AG294</f>
        <v>0.44391179290508131</v>
      </c>
      <c r="V21" s="147">
        <f>+'P&amp;L'!AH294</f>
        <v>0.39218833600856073</v>
      </c>
      <c r="X21" s="138">
        <f>+'P&amp;L'!AJ294</f>
        <v>0.31021897810218979</v>
      </c>
      <c r="Y21" s="147">
        <f>+'P&amp;L'!AK294</f>
        <v>0.12350597609561764</v>
      </c>
      <c r="Z21" s="147">
        <f>+'P&amp;L'!AL294</f>
        <v>0.20215219062259804</v>
      </c>
      <c r="AB21" s="138">
        <f>+'P&amp;L'!AN294</f>
        <v>0.27158774373259065</v>
      </c>
      <c r="AC21" s="147">
        <f>+'P&amp;L'!AO294</f>
        <v>0.20921985815602828</v>
      </c>
      <c r="AD21" s="147">
        <f>+'P&amp;L'!AP294</f>
        <v>0.23785166240409206</v>
      </c>
      <c r="AF21" s="147">
        <f>CHOOSE($B$5,AF67,AF68,AF69)</f>
        <v>0.1</v>
      </c>
      <c r="AG21" s="147">
        <f>CHOOSE($B$5,AG67,AG68,AG69)</f>
        <v>0.09</v>
      </c>
      <c r="AH21" s="147">
        <f>+'P&amp;L'!AT294</f>
        <v>9.4715909090909101E-2</v>
      </c>
      <c r="AJ21" s="147">
        <f>CHOOSE($B$5,AJ67,AJ68,AJ69)</f>
        <v>0.08</v>
      </c>
      <c r="AK21" s="147">
        <f>CHOOSE($B$5,AK67,AK68,AK69)</f>
        <v>0.08</v>
      </c>
      <c r="AL21" s="147">
        <f>+'P&amp;L'!AX294</f>
        <v>8.0000000000000071E-2</v>
      </c>
      <c r="AN21" s="147">
        <f>CHOOSE($B$5,AN67,AN68,AN69)</f>
        <v>0.06</v>
      </c>
      <c r="AO21" s="147">
        <f>CHOOSE($B$5,AO67,AO68,AO69)</f>
        <v>0.06</v>
      </c>
      <c r="AP21" s="147">
        <f>+'P&amp;L'!BB294</f>
        <v>6.0000000000000275E-2</v>
      </c>
      <c r="AR21" s="147">
        <f>CHOOSE($B$5,AR67,AR68,AR69)</f>
        <v>0.04</v>
      </c>
      <c r="AS21" s="147">
        <f>CHOOSE($B$5,AS67,AS68,AS69)</f>
        <v>0.04</v>
      </c>
      <c r="AT21" s="147">
        <f>+'P&amp;L'!BF294</f>
        <v>3.9999999999999813E-2</v>
      </c>
      <c r="AV21" s="147">
        <f>CHOOSE($B$5,AV67,AV68,AV69)</f>
        <v>0.04</v>
      </c>
      <c r="AW21" s="147">
        <f>CHOOSE($B$5,AW67,AW68,AW69)</f>
        <v>0.04</v>
      </c>
      <c r="AX21" s="147">
        <f>+'P&amp;L'!BJ294</f>
        <v>4.0000000000000258E-2</v>
      </c>
      <c r="AZ21" s="147">
        <f>CHOOSE($B$5,AZ67,AZ68,AZ69)</f>
        <v>0.04</v>
      </c>
      <c r="BA21" s="147">
        <f>CHOOSE($B$5,BA67,BA68,BA69)</f>
        <v>0.04</v>
      </c>
      <c r="BB21" s="147">
        <f>+'P&amp;L'!BN294</f>
        <v>4.0000000000000036E-2</v>
      </c>
      <c r="BD21" s="147">
        <f>CHOOSE($B$5,BD67,BD68,BD69)</f>
        <v>0.04</v>
      </c>
      <c r="BE21" s="147">
        <f>CHOOSE($B$5,BE67,BE68,BE69)</f>
        <v>0.04</v>
      </c>
      <c r="BF21" s="147">
        <f>+'P&amp;L'!BR294</f>
        <v>3.9999999999999813E-2</v>
      </c>
      <c r="BH21" s="147">
        <f>CHOOSE($B$5,BH67,BH68,BH69)</f>
        <v>0.04</v>
      </c>
      <c r="BI21" s="147">
        <f>CHOOSE($B$5,BI67,BI68,BI69)</f>
        <v>0.04</v>
      </c>
      <c r="BJ21" s="147">
        <f>+'P&amp;L'!BV294</f>
        <v>4.0000000000000258E-2</v>
      </c>
      <c r="BL21" s="147">
        <f>CHOOSE($B$5,BL67,BL68,BL69)</f>
        <v>0.04</v>
      </c>
      <c r="BM21" s="147">
        <f>CHOOSE($B$5,BM67,BM68,BM69)</f>
        <v>0.04</v>
      </c>
      <c r="BN21" s="147">
        <f>+'P&amp;L'!BZ294</f>
        <v>4.0000000000000036E-2</v>
      </c>
      <c r="BP21" s="147">
        <f>CHOOSE($B$5,BP67,BP68,BP69)</f>
        <v>0.04</v>
      </c>
      <c r="BQ21" s="147">
        <f>CHOOSE($B$5,BQ67,BQ68,BQ69)</f>
        <v>0.04</v>
      </c>
      <c r="BR21" s="147">
        <f>+'P&amp;L'!CD294</f>
        <v>0</v>
      </c>
    </row>
    <row r="22" spans="2:70" s="354" customFormat="1">
      <c r="B22" s="151" t="str">
        <f>B17</f>
        <v>Underlying EBITA margin %</v>
      </c>
      <c r="C22" s="151"/>
      <c r="D22" s="695">
        <f>+'P&amp;L'!P311</f>
        <v>0.28222996515679427</v>
      </c>
      <c r="E22" s="695">
        <f>+'P&amp;L'!Q311</f>
        <v>0.38532110091743121</v>
      </c>
      <c r="F22" s="695">
        <f>+'P&amp;L'!R311</f>
        <v>0.33713355048859928</v>
      </c>
      <c r="G22" s="695"/>
      <c r="H22" s="695">
        <f>+'P&amp;L'!T311</f>
        <v>0.27739726027397243</v>
      </c>
      <c r="I22" s="695">
        <f>+'P&amp;L'!U311</f>
        <v>0.33887043189368776</v>
      </c>
      <c r="J22" s="695">
        <f>+'P&amp;L'!V311</f>
        <v>0.30860033726812813</v>
      </c>
      <c r="K22" s="695"/>
      <c r="L22" s="695">
        <f>+'P&amp;L'!X311</f>
        <v>0.27303754266211605</v>
      </c>
      <c r="M22" s="695">
        <f>+'P&amp;L'!Y311</f>
        <v>0.34841628959276022</v>
      </c>
      <c r="N22" s="695">
        <f>+'P&amp;L'!Z311</f>
        <v>0.3183673469387755</v>
      </c>
      <c r="O22" s="695"/>
      <c r="P22" s="695">
        <f>+'P&amp;L'!AB311</f>
        <v>0.326133909287257</v>
      </c>
      <c r="Q22" s="695">
        <f>+'P&amp;L'!AC311</f>
        <v>0.40540540540540554</v>
      </c>
      <c r="R22" s="695">
        <f>+'P&amp;L'!AD311</f>
        <v>0.36999517607332377</v>
      </c>
      <c r="S22" s="151"/>
      <c r="T22" s="220">
        <f>+'P&amp;L'!AF311</f>
        <v>0.31615120274914088</v>
      </c>
      <c r="U22" s="695">
        <f>+'P&amp;L'!AG311</f>
        <v>0.43279901356350192</v>
      </c>
      <c r="V22" s="695">
        <f>+'P&amp;L'!AH311</f>
        <v>0.38406317300789655</v>
      </c>
      <c r="X22" s="220">
        <f>+'P&amp;L'!AJ311</f>
        <v>0.40307328605200954</v>
      </c>
      <c r="Y22" s="695">
        <f>+'P&amp;L'!AK311</f>
        <v>0.44796385029306157</v>
      </c>
      <c r="Z22" s="695">
        <f>+'P&amp;L'!AL311</f>
        <v>0.42641258888088124</v>
      </c>
      <c r="AB22" s="220">
        <f>+'P&amp;L'!AN311</f>
        <v>0.40431519699812379</v>
      </c>
      <c r="AC22" s="695">
        <f>+'P&amp;L'!AO311</f>
        <v>0.47761194029850751</v>
      </c>
      <c r="AD22" s="695">
        <f>+'P&amp;L'!AP311</f>
        <v>0.44217687074829931</v>
      </c>
      <c r="AF22" s="695">
        <f>CHOOSE($B$5,AF73,AF74,AF75)</f>
        <v>0.41199999999999998</v>
      </c>
      <c r="AG22" s="695">
        <f>CHOOSE($B$5,AG73,AG74,AG75)</f>
        <v>0.47499999999999998</v>
      </c>
      <c r="AH22" s="695">
        <f>+'P&amp;L'!AT311</f>
        <v>0.44451263581774647</v>
      </c>
      <c r="AJ22" s="695">
        <f>CHOOSE($B$5,AJ73,AJ74,AJ75)</f>
        <v>0.41499999999999998</v>
      </c>
      <c r="AK22" s="695">
        <f>CHOOSE($B$5,AK73,AK74,AK75)</f>
        <v>0.47499999999999998</v>
      </c>
      <c r="AL22" s="695">
        <f>+'P&amp;L'!AX311</f>
        <v>0.44604242759934165</v>
      </c>
      <c r="AN22" s="695">
        <f>CHOOSE($B$5,AN73,AN74,AN75)</f>
        <v>0.42</v>
      </c>
      <c r="AO22" s="695">
        <f>CHOOSE($B$5,AO73,AO74,AO75)</f>
        <v>0.48</v>
      </c>
      <c r="AP22" s="695">
        <f>+'P&amp;L'!BB311</f>
        <v>0.45110815620043987</v>
      </c>
      <c r="AR22" s="695">
        <f>CHOOSE($B$5,AR73,AR74,AR75)</f>
        <v>0.42</v>
      </c>
      <c r="AS22" s="695">
        <f>CHOOSE($B$5,AS73,AS74,AS75)</f>
        <v>0.48</v>
      </c>
      <c r="AT22" s="695">
        <f>+'P&amp;L'!BF311</f>
        <v>0.45116353191349823</v>
      </c>
      <c r="AV22" s="695">
        <f>CHOOSE($B$5,AV73,AV74,AV75)</f>
        <v>0.42</v>
      </c>
      <c r="AW22" s="695">
        <f>CHOOSE($B$5,AW73,AW74,AW75)</f>
        <v>0.48</v>
      </c>
      <c r="AX22" s="695">
        <f>+'P&amp;L'!BJ311</f>
        <v>0.45121906593964806</v>
      </c>
      <c r="AZ22" s="695">
        <f>CHOOSE($B$5,AZ73,AZ74,AZ75)</f>
        <v>0.42</v>
      </c>
      <c r="BA22" s="695">
        <f>CHOOSE($B$5,BA73,BA74,BA75)</f>
        <v>0.48</v>
      </c>
      <c r="BB22" s="695">
        <f>+'P&amp;L'!BN311</f>
        <v>0.45127474941149454</v>
      </c>
      <c r="BD22" s="695">
        <f>CHOOSE($B$5,BD73,BD74,BD75)</f>
        <v>0.42</v>
      </c>
      <c r="BE22" s="695">
        <f>CHOOSE($B$5,BE73,BE74,BE75)</f>
        <v>0.48</v>
      </c>
      <c r="BF22" s="695">
        <f>+'P&amp;L'!BR311</f>
        <v>0.45133057334202181</v>
      </c>
      <c r="BH22" s="695">
        <f>CHOOSE($B$5,BH73,BH74,BH75)</f>
        <v>0.42</v>
      </c>
      <c r="BI22" s="695">
        <f>CHOOSE($B$5,BI73,BI74,BI75)</f>
        <v>0.48</v>
      </c>
      <c r="BJ22" s="695">
        <f>+'P&amp;L'!BV311</f>
        <v>0.45138652863015105</v>
      </c>
      <c r="BL22" s="695">
        <f>CHOOSE($B$5,BL73,BL74,BL75)</f>
        <v>0.42</v>
      </c>
      <c r="BM22" s="695">
        <f>CHOOSE($B$5,BM73,BM74,BM75)</f>
        <v>0.48</v>
      </c>
      <c r="BN22" s="695">
        <f>+'P&amp;L'!BZ311</f>
        <v>0.45144260606648756</v>
      </c>
      <c r="BP22" s="695">
        <f>CHOOSE($B$5,BP73,BP74,BP75)</f>
        <v>0.42</v>
      </c>
      <c r="BQ22" s="695">
        <f>CHOOSE($B$5,BQ73,BQ74,BQ75)</f>
        <v>0.48</v>
      </c>
      <c r="BR22" s="695">
        <f>+'P&amp;L'!CD311</f>
        <v>0</v>
      </c>
    </row>
    <row r="23" spans="2:70">
      <c r="B23" s="150" t="str">
        <f>B18</f>
        <v>Profit share %</v>
      </c>
      <c r="C23" s="150"/>
      <c r="D23" s="147">
        <f>+'P&amp;L'!P323</f>
        <v>0.70833333333333326</v>
      </c>
      <c r="E23" s="147">
        <f>+'P&amp;L'!Q323</f>
        <v>0.88888888888888895</v>
      </c>
      <c r="F23" s="147">
        <f>+'P&amp;L'!R323</f>
        <v>0.82010582010582012</v>
      </c>
      <c r="G23" s="147"/>
      <c r="H23" s="147">
        <f>+'P&amp;L'!T323</f>
        <v>0.77464788732394374</v>
      </c>
      <c r="I23" s="147">
        <f>+'P&amp;L'!U323</f>
        <v>0.7978723404255319</v>
      </c>
      <c r="J23" s="147">
        <f>+'P&amp;L'!V323</f>
        <v>0.78787878787878785</v>
      </c>
      <c r="K23" s="147"/>
      <c r="L23" s="147">
        <f>+'P&amp;L'!X323</f>
        <v>0.69014084507042261</v>
      </c>
      <c r="M23" s="147">
        <f>+'P&amp;L'!Y323</f>
        <v>0.65999999999999992</v>
      </c>
      <c r="N23" s="147">
        <f>+'P&amp;L'!Z323</f>
        <v>0.66968325791855199</v>
      </c>
      <c r="O23" s="147"/>
      <c r="P23" s="147">
        <f>+'P&amp;L'!AB323</f>
        <v>0.58940397350993379</v>
      </c>
      <c r="Q23" s="147">
        <f>+'P&amp;L'!AC323</f>
        <v>0.59656652360515028</v>
      </c>
      <c r="R23" s="147">
        <f>+'P&amp;L'!AD323</f>
        <v>0.59375</v>
      </c>
      <c r="S23" s="150"/>
      <c r="T23" s="138">
        <f>+'P&amp;L'!AF323</f>
        <v>0.6684782608695653</v>
      </c>
      <c r="U23" s="147">
        <f>+'P&amp;L'!AG323</f>
        <v>0.6495726495726496</v>
      </c>
      <c r="V23" s="147">
        <f>+'P&amp;L'!AH323</f>
        <v>0.65607476635514017</v>
      </c>
      <c r="X23" s="138">
        <f>+'P&amp;L'!AJ323</f>
        <v>0.73235294117647054</v>
      </c>
      <c r="Y23" s="147">
        <f>+'P&amp;L'!AK323</f>
        <v>0.74189304421975877</v>
      </c>
      <c r="Z23" s="147">
        <f>+'P&amp;L'!AL323</f>
        <v>0.73757079085881805</v>
      </c>
      <c r="AB23" s="138">
        <f>+'P&amp;L'!AN323</f>
        <v>0.76511627906976742</v>
      </c>
      <c r="AC23" s="147">
        <f>+'P&amp;L'!AO323</f>
        <v>0.72007366482504609</v>
      </c>
      <c r="AD23" s="147">
        <f>+'P&amp;L'!AP323</f>
        <v>0.73997944501541624</v>
      </c>
      <c r="AF23" s="147">
        <f>CHOOSE($B$5,AF77,AF78,AF79)</f>
        <v>0.76500000000000001</v>
      </c>
      <c r="AG23" s="147">
        <f>CHOOSE($B$5,AG77,AG78,AG79)</f>
        <v>0.76500000000000001</v>
      </c>
      <c r="AH23" s="147">
        <f>+'P&amp;L'!AT323</f>
        <v>0.76500000000000012</v>
      </c>
      <c r="AJ23" s="147">
        <f>CHOOSE($B$5,AJ77,AJ78,AJ79)</f>
        <v>0.76500000000000001</v>
      </c>
      <c r="AK23" s="147">
        <f>CHOOSE($B$5,AK77,AK78,AK79)</f>
        <v>0.76500000000000001</v>
      </c>
      <c r="AL23" s="147">
        <f>+'P&amp;L'!AX323</f>
        <v>0.7649999999999999</v>
      </c>
      <c r="AN23" s="147">
        <f>CHOOSE($B$5,AN77,AN78,AN79)</f>
        <v>0.76500000000000001</v>
      </c>
      <c r="AO23" s="147">
        <f>CHOOSE($B$5,AO77,AO78,AO79)</f>
        <v>0.76500000000000001</v>
      </c>
      <c r="AP23" s="147">
        <f>+'P&amp;L'!BB323</f>
        <v>0.76500000000000001</v>
      </c>
      <c r="AR23" s="147">
        <f>CHOOSE($B$5,AR77,AR78,AR79)</f>
        <v>0.76500000000000001</v>
      </c>
      <c r="AS23" s="147">
        <f>CHOOSE($B$5,AS77,AS78,AS79)</f>
        <v>0.76500000000000001</v>
      </c>
      <c r="AT23" s="147">
        <f>+'P&amp;L'!BF323</f>
        <v>0.76500000000000012</v>
      </c>
      <c r="AV23" s="147">
        <f>CHOOSE($B$5,AV77,AV78,AV79)</f>
        <v>0.76500000000000001</v>
      </c>
      <c r="AW23" s="147">
        <f>CHOOSE($B$5,AW77,AW78,AW79)</f>
        <v>0.76500000000000001</v>
      </c>
      <c r="AX23" s="147">
        <f>+'P&amp;L'!BJ323</f>
        <v>0.76500000000000001</v>
      </c>
      <c r="AZ23" s="147">
        <f>CHOOSE($B$5,AZ77,AZ78,AZ79)</f>
        <v>0.76500000000000001</v>
      </c>
      <c r="BA23" s="147">
        <f>CHOOSE($B$5,BA77,BA78,BA79)</f>
        <v>0.76500000000000001</v>
      </c>
      <c r="BB23" s="147">
        <f>+'P&amp;L'!BN323</f>
        <v>0.76500000000000001</v>
      </c>
      <c r="BD23" s="147">
        <f>CHOOSE($B$5,BD77,BD78,BD79)</f>
        <v>0.76500000000000001</v>
      </c>
      <c r="BE23" s="147">
        <f>CHOOSE($B$5,BE77,BE78,BE79)</f>
        <v>0.76500000000000001</v>
      </c>
      <c r="BF23" s="147">
        <f>+'P&amp;L'!BR323</f>
        <v>0.7649999999999999</v>
      </c>
      <c r="BH23" s="147">
        <f>CHOOSE($B$5,BH77,BH78,BH79)</f>
        <v>0.76500000000000001</v>
      </c>
      <c r="BI23" s="147">
        <f>CHOOSE($B$5,BI77,BI78,BI79)</f>
        <v>0.76500000000000001</v>
      </c>
      <c r="BJ23" s="147">
        <f>+'P&amp;L'!BV323</f>
        <v>0.76500000000000001</v>
      </c>
      <c r="BL23" s="147">
        <f>CHOOSE($B$5,BL77,BL78,BL79)</f>
        <v>0.76500000000000001</v>
      </c>
      <c r="BM23" s="147">
        <f>CHOOSE($B$5,BM77,BM78,BM79)</f>
        <v>0.76500000000000001</v>
      </c>
      <c r="BN23" s="147">
        <f>+'P&amp;L'!BZ323</f>
        <v>0.76500000000000012</v>
      </c>
      <c r="BP23" s="147">
        <f>CHOOSE($B$5,BP77,BP78,BP79)</f>
        <v>0.76500000000000001</v>
      </c>
      <c r="BQ23" s="147">
        <f>CHOOSE($B$5,BQ77,BQ78,BQ79)</f>
        <v>0.76500000000000001</v>
      </c>
      <c r="BR23" s="147">
        <f>+'P&amp;L'!CD323</f>
        <v>0</v>
      </c>
    </row>
    <row r="24" spans="2:70">
      <c r="T24" s="138"/>
      <c r="X24" s="138"/>
      <c r="AB24" s="138"/>
      <c r="AH24" s="147"/>
      <c r="AL24" s="147"/>
      <c r="AP24" s="147"/>
      <c r="AT24" s="147"/>
      <c r="AX24" s="147"/>
      <c r="BB24" s="147"/>
      <c r="BF24" s="147"/>
      <c r="BJ24" s="147"/>
      <c r="BN24" s="147"/>
      <c r="BR24" s="147"/>
    </row>
    <row r="25" spans="2:70">
      <c r="B25" s="355" t="s">
        <v>114</v>
      </c>
      <c r="C25" s="356"/>
      <c r="D25" s="356"/>
      <c r="E25" s="356"/>
      <c r="F25" s="356"/>
      <c r="G25" s="356"/>
      <c r="H25" s="356"/>
      <c r="I25" s="356"/>
      <c r="J25" s="356"/>
      <c r="K25" s="356"/>
      <c r="L25" s="356"/>
      <c r="M25" s="356"/>
      <c r="N25" s="356"/>
      <c r="O25" s="356"/>
      <c r="P25" s="356"/>
      <c r="Q25" s="356"/>
      <c r="R25" s="356"/>
      <c r="S25" s="356"/>
      <c r="T25" s="138"/>
      <c r="U25" s="356"/>
      <c r="V25" s="356"/>
      <c r="X25" s="138"/>
      <c r="Y25" s="356"/>
      <c r="Z25" s="356"/>
      <c r="AB25" s="138"/>
      <c r="AC25" s="356"/>
      <c r="AD25" s="356"/>
      <c r="AH25" s="147"/>
      <c r="AL25" s="147"/>
      <c r="AP25" s="147"/>
      <c r="AT25" s="147"/>
      <c r="AX25" s="147"/>
      <c r="BB25" s="147"/>
      <c r="BF25" s="147"/>
      <c r="BJ25" s="147"/>
      <c r="BN25" s="147"/>
      <c r="BR25" s="147"/>
    </row>
    <row r="26" spans="2:70">
      <c r="B26" s="150" t="s">
        <v>642</v>
      </c>
      <c r="C26" s="150"/>
      <c r="D26" s="147">
        <f>+'P&amp;L'!P347</f>
        <v>0</v>
      </c>
      <c r="E26" s="147">
        <f>+'P&amp;L'!Q347</f>
        <v>0</v>
      </c>
      <c r="F26" s="147">
        <f>+'P&amp;L'!R347</f>
        <v>0</v>
      </c>
      <c r="G26" s="147"/>
      <c r="H26" s="147">
        <f>+'P&amp;L'!T347</f>
        <v>0</v>
      </c>
      <c r="I26" s="147">
        <f>+'P&amp;L'!U347</f>
        <v>0</v>
      </c>
      <c r="J26" s="147">
        <f>+'P&amp;L'!V347</f>
        <v>0</v>
      </c>
      <c r="K26" s="147"/>
      <c r="L26" s="147">
        <f>+'P&amp;L'!X347</f>
        <v>1.2096774193548487E-2</v>
      </c>
      <c r="M26" s="147">
        <f>+'P&amp;L'!Y347</f>
        <v>3.4965034965033226E-3</v>
      </c>
      <c r="N26" s="147">
        <f>+'P&amp;L'!Z347</f>
        <v>7.4906367041198685E-3</v>
      </c>
      <c r="O26" s="147"/>
      <c r="P26" s="147">
        <f>+'P&amp;L'!AB347</f>
        <v>3.9840637450199168E-2</v>
      </c>
      <c r="Q26" s="147">
        <f>+'P&amp;L'!AC347</f>
        <v>-4.5296167247386721E-2</v>
      </c>
      <c r="R26" s="147">
        <f>+'P&amp;L'!AD347</f>
        <v>-5.5762081784386242E-3</v>
      </c>
      <c r="S26" s="150"/>
      <c r="T26" s="138">
        <f>+'P&amp;L'!AF347</f>
        <v>5.3639846743295028E-2</v>
      </c>
      <c r="U26" s="147">
        <f>+'P&amp;L'!AG347</f>
        <v>0.35036496350364965</v>
      </c>
      <c r="V26" s="147">
        <f>+'P&amp;L'!AH347</f>
        <v>0.20560747663551404</v>
      </c>
      <c r="X26" s="138">
        <f>+'P&amp;L'!AJ347</f>
        <v>0.34545454545454546</v>
      </c>
      <c r="Y26" s="147">
        <f>+'P&amp;L'!AK347</f>
        <v>0.19518918918918948</v>
      </c>
      <c r="Z26" s="147">
        <f>+'P&amp;L'!AL347</f>
        <v>0.2592558139534884</v>
      </c>
      <c r="AB26" s="138">
        <f>+'P&amp;L'!AN347</f>
        <v>0.16216216216216206</v>
      </c>
      <c r="AC26" s="147">
        <f>+'P&amp;L'!AO347</f>
        <v>3.5683596399981754E-2</v>
      </c>
      <c r="AD26" s="147">
        <f>+'P&amp;L'!AP347</f>
        <v>9.3299844869616511E-2</v>
      </c>
      <c r="AF26" s="147">
        <f>CHOOSE($B$5,AF82,AF83,AF84)</f>
        <v>0.11</v>
      </c>
      <c r="AG26" s="147">
        <f>CHOOSE($B$5,AG82,AG83,AG84)</f>
        <v>7.0000000000000007E-2</v>
      </c>
      <c r="AH26" s="147">
        <f>+'P&amp;L'!AT347</f>
        <v>8.9369369369369345E-2</v>
      </c>
      <c r="AJ26" s="147">
        <f>CHOOSE($B$5,AJ82,AJ83,AJ84)</f>
        <v>0.05</v>
      </c>
      <c r="AK26" s="147">
        <f>CHOOSE($B$5,AK82,AK83,AK84)</f>
        <v>0.05</v>
      </c>
      <c r="AL26" s="147">
        <f>+'P&amp;L'!AX347</f>
        <v>5.0000000000000044E-2</v>
      </c>
      <c r="AN26" s="147">
        <f>CHOOSE($B$5,AN82,AN83,AN84)</f>
        <v>0.05</v>
      </c>
      <c r="AO26" s="147">
        <f>CHOOSE($B$5,AO82,AO83,AO84)</f>
        <v>0.05</v>
      </c>
      <c r="AP26" s="147">
        <f>+'P&amp;L'!BB347</f>
        <v>5.0000000000000266E-2</v>
      </c>
      <c r="AR26" s="147">
        <f>CHOOSE($B$5,AR82,AR83,AR84)</f>
        <v>0.05</v>
      </c>
      <c r="AS26" s="147">
        <f>CHOOSE($B$5,AS82,AS83,AS84)</f>
        <v>0.05</v>
      </c>
      <c r="AT26" s="147">
        <f>+'P&amp;L'!BF347</f>
        <v>5.0000000000000044E-2</v>
      </c>
      <c r="AV26" s="147">
        <f>CHOOSE($B$5,AV82,AV83,AV84)</f>
        <v>0.05</v>
      </c>
      <c r="AW26" s="147">
        <f>CHOOSE($B$5,AW82,AW83,AW84)</f>
        <v>0.05</v>
      </c>
      <c r="AX26" s="147">
        <f>+'P&amp;L'!BJ347</f>
        <v>4.9999999999999822E-2</v>
      </c>
      <c r="AZ26" s="147">
        <f>CHOOSE($B$5,AZ82,AZ83,AZ84)</f>
        <v>0.05</v>
      </c>
      <c r="BA26" s="147">
        <f>CHOOSE($B$5,BA82,BA83,BA84)</f>
        <v>0.05</v>
      </c>
      <c r="BB26" s="147">
        <f>+'P&amp;L'!BN347</f>
        <v>5.0000000000000044E-2</v>
      </c>
      <c r="BD26" s="147">
        <f>CHOOSE($B$5,BD82,BD83,BD84)</f>
        <v>0.05</v>
      </c>
      <c r="BE26" s="147">
        <f>CHOOSE($B$5,BE82,BE83,BE84)</f>
        <v>0.05</v>
      </c>
      <c r="BF26" s="147">
        <f>+'P&amp;L'!BR347</f>
        <v>5.0000000000000044E-2</v>
      </c>
      <c r="BH26" s="147">
        <f>CHOOSE($B$5,BH82,BH83,BH84)</f>
        <v>0.05</v>
      </c>
      <c r="BI26" s="147">
        <f>CHOOSE($B$5,BI82,BI83,BI84)</f>
        <v>0.05</v>
      </c>
      <c r="BJ26" s="147">
        <f>+'P&amp;L'!BV347</f>
        <v>5.0000000000000044E-2</v>
      </c>
      <c r="BL26" s="147">
        <f>CHOOSE($B$5,BL82,BL83,BL84)</f>
        <v>0.05</v>
      </c>
      <c r="BM26" s="147">
        <f>CHOOSE($B$5,BM82,BM83,BM84)</f>
        <v>0.05</v>
      </c>
      <c r="BN26" s="147">
        <f>+'P&amp;L'!BZ347</f>
        <v>4.9999999999999822E-2</v>
      </c>
      <c r="BP26" s="147">
        <f>CHOOSE($B$5,BP82,BP83,BP84)</f>
        <v>0.05</v>
      </c>
      <c r="BQ26" s="147">
        <f>CHOOSE($B$5,BQ82,BQ83,BQ84)</f>
        <v>0.05</v>
      </c>
      <c r="BR26" s="147">
        <f>+'P&amp;L'!CD347</f>
        <v>0</v>
      </c>
    </row>
    <row r="27" spans="2:70">
      <c r="B27" s="150" t="str">
        <f>B22</f>
        <v>Underlying EBITA margin %</v>
      </c>
      <c r="C27" s="150"/>
      <c r="D27" s="147">
        <f>+'P&amp;L'!P364</f>
        <v>0.3273542600896861</v>
      </c>
      <c r="E27" s="147">
        <f>+'P&amp;L'!Q364</f>
        <v>0.34507042253521109</v>
      </c>
      <c r="F27" s="147">
        <f>+'P&amp;L'!R364</f>
        <v>0.33727810650887563</v>
      </c>
      <c r="G27" s="147"/>
      <c r="H27" s="147">
        <f>+'P&amp;L'!T364</f>
        <v>0.3029197080291971</v>
      </c>
      <c r="I27" s="147">
        <f>+'P&amp;L'!U364</f>
        <v>0.3504823151125403</v>
      </c>
      <c r="J27" s="147">
        <f>+'P&amp;L'!V364</f>
        <v>0.32820512820512815</v>
      </c>
      <c r="K27" s="147"/>
      <c r="L27" s="147">
        <f>+'P&amp;L'!X364</f>
        <v>0.26739926739926739</v>
      </c>
      <c r="M27" s="147">
        <f>+'P&amp;L'!Y364</f>
        <v>0.30670926517571867</v>
      </c>
      <c r="N27" s="147">
        <f>+'P&amp;L'!Z364</f>
        <v>0.28839590443686003</v>
      </c>
      <c r="O27" s="147"/>
      <c r="P27" s="147">
        <f>+'P&amp;L'!AB364</f>
        <v>0.23344947735191646</v>
      </c>
      <c r="Q27" s="147">
        <f>+'P&amp;L'!AC364</f>
        <v>0.28807947019867547</v>
      </c>
      <c r="R27" s="147">
        <f>+'P&amp;L'!AD364</f>
        <v>0.26146010186757213</v>
      </c>
      <c r="S27" s="150"/>
      <c r="T27" s="138">
        <f>+'P&amp;L'!AF364</f>
        <v>0.22818791946308728</v>
      </c>
      <c r="U27" s="147">
        <f>+'P&amp;L'!AG364</f>
        <v>0.33740831295843526</v>
      </c>
      <c r="V27" s="147">
        <f>+'P&amp;L'!AH364</f>
        <v>0.29137199434229122</v>
      </c>
      <c r="X27" s="138">
        <f>+'P&amp;L'!AJ364</f>
        <v>0.36519607843137253</v>
      </c>
      <c r="Y27" s="147">
        <f>+'P&amp;L'!AK364</f>
        <v>0.36457159550936946</v>
      </c>
      <c r="Z27" s="147">
        <f>+'P&amp;L'!AL364</f>
        <v>0.36476832236545587</v>
      </c>
      <c r="AB27" s="138">
        <f>+'P&amp;L'!AN364</f>
        <v>0.36288659793814437</v>
      </c>
      <c r="AC27" s="147">
        <f>+'P&amp;L'!AO364</f>
        <v>0.32591093117408898</v>
      </c>
      <c r="AD27" s="147">
        <f>+'P&amp;L'!AP364</f>
        <v>0.34415146749453635</v>
      </c>
      <c r="AF27" s="147">
        <f>CHOOSE($B$5,AF88,AF89,AF90)</f>
        <v>0.34</v>
      </c>
      <c r="AG27" s="147">
        <f>CHOOSE($B$5,AG88,AG89,AG90)</f>
        <v>0.35</v>
      </c>
      <c r="AH27" s="147">
        <f>+'P&amp;L'!AT364</f>
        <v>0.34498036653306202</v>
      </c>
      <c r="AJ27" s="147">
        <f>CHOOSE($B$5,AJ88,AJ89,AJ90)</f>
        <v>0.35</v>
      </c>
      <c r="AK27" s="147">
        <f>CHOOSE($B$5,AK88,AK89,AK90)</f>
        <v>0.36</v>
      </c>
      <c r="AL27" s="147">
        <f>+'P&amp;L'!AX364</f>
        <v>0.35498444404952634</v>
      </c>
      <c r="AN27" s="147">
        <f>CHOOSE($B$5,AN88,AN89,AN90)</f>
        <v>0.35499999999999998</v>
      </c>
      <c r="AO27" s="147">
        <f>CHOOSE($B$5,AO88,AO89,AO90)</f>
        <v>0.36499999999999999</v>
      </c>
      <c r="AP27" s="147">
        <f>+'P&amp;L'!BB364</f>
        <v>0.35998839743454242</v>
      </c>
      <c r="AR27" s="147">
        <f>CHOOSE($B$5,AR88,AR89,AR90)</f>
        <v>0.35499999999999998</v>
      </c>
      <c r="AS27" s="147">
        <f>CHOOSE($B$5,AS88,AS89,AS90)</f>
        <v>0.36499999999999999</v>
      </c>
      <c r="AT27" s="147">
        <f>+'P&amp;L'!BF364</f>
        <v>0.35999223738073588</v>
      </c>
      <c r="AV27" s="147">
        <f>CHOOSE($B$5,AV88,AV89,AV90)</f>
        <v>0.35499999999999998</v>
      </c>
      <c r="AW27" s="147">
        <f>CHOOSE($B$5,AW88,AW89,AW90)</f>
        <v>0.36499999999999999</v>
      </c>
      <c r="AX27" s="147">
        <f>+'P&amp;L'!BJ364</f>
        <v>0.35999596567433018</v>
      </c>
      <c r="AZ27" s="147">
        <f>CHOOSE($B$5,AZ88,AZ89,AZ90)</f>
        <v>0.35499999999999998</v>
      </c>
      <c r="BA27" s="147">
        <f>CHOOSE($B$5,BA88,BA89,BA90)</f>
        <v>0.36499999999999999</v>
      </c>
      <c r="BB27" s="147">
        <f>+'P&amp;L'!BN364</f>
        <v>0.35999958417581007</v>
      </c>
      <c r="BD27" s="147">
        <f>CHOOSE($B$5,BD88,BD89,BD90)</f>
        <v>0.35499999999999998</v>
      </c>
      <c r="BE27" s="147">
        <f>CHOOSE($B$5,BE88,BE89,BE90)</f>
        <v>0.36499999999999999</v>
      </c>
      <c r="BF27" s="147">
        <f>+'P&amp;L'!BR364</f>
        <v>0.36000309481188797</v>
      </c>
      <c r="BH27" s="147">
        <f>CHOOSE($B$5,BH88,BH89,BH90)</f>
        <v>0.35499999999999998</v>
      </c>
      <c r="BI27" s="147">
        <f>CHOOSE($B$5,BI88,BI89,BI90)</f>
        <v>0.36499999999999999</v>
      </c>
      <c r="BJ27" s="147">
        <f>+'P&amp;L'!BV364</f>
        <v>0.36000649956770825</v>
      </c>
      <c r="BL27" s="147">
        <f>CHOOSE($B$5,BL88,BL89,BL90)</f>
        <v>0.35499999999999998</v>
      </c>
      <c r="BM27" s="147">
        <f>CHOOSE($B$5,BM88,BM89,BM90)</f>
        <v>0.36499999999999999</v>
      </c>
      <c r="BN27" s="147">
        <f>+'P&amp;L'!BZ364</f>
        <v>0.36000980047931541</v>
      </c>
      <c r="BP27" s="147">
        <f>CHOOSE($B$5,BP88,BP89,BP90)</f>
        <v>0.35499999999999998</v>
      </c>
      <c r="BQ27" s="147">
        <f>CHOOSE($B$5,BQ88,BQ89,BQ90)</f>
        <v>0.36499999999999999</v>
      </c>
      <c r="BR27" s="147">
        <f>+'P&amp;L'!CD364</f>
        <v>0</v>
      </c>
    </row>
    <row r="28" spans="2:70">
      <c r="B28" s="150" t="str">
        <f>B23</f>
        <v>Profit share %</v>
      </c>
      <c r="C28" s="150"/>
      <c r="D28" s="147">
        <f>+'P&amp;L'!P377</f>
        <v>0.52459016393442626</v>
      </c>
      <c r="E28" s="147">
        <f>+'P&amp;L'!Q377</f>
        <v>0.75949367088607578</v>
      </c>
      <c r="F28" s="147">
        <f>+'P&amp;L'!R377</f>
        <v>0.65714285714285714</v>
      </c>
      <c r="G28" s="147"/>
      <c r="H28" s="147">
        <f>+'P&amp;L'!T377</f>
        <v>0.74242424242424254</v>
      </c>
      <c r="I28" s="147">
        <f>+'P&amp;L'!U377</f>
        <v>0.76041666666666663</v>
      </c>
      <c r="J28" s="147">
        <f>+'P&amp;L'!V377</f>
        <v>0.75308641975308643</v>
      </c>
      <c r="K28" s="147"/>
      <c r="L28" s="147">
        <f>+'P&amp;L'!X377</f>
        <v>0.72580645161290325</v>
      </c>
      <c r="M28" s="147">
        <f>+'P&amp;L'!Y377</f>
        <v>0.71764705882352942</v>
      </c>
      <c r="N28" s="147">
        <f>+'P&amp;L'!Z377</f>
        <v>0.72108843537414968</v>
      </c>
      <c r="O28" s="147"/>
      <c r="P28" s="147">
        <f>+'P&amp;L'!AB377</f>
        <v>0.64814814814814814</v>
      </c>
      <c r="Q28" s="147">
        <f>+'P&amp;L'!AC377</f>
        <v>0.72368421052631582</v>
      </c>
      <c r="R28" s="147">
        <f>+'P&amp;L'!AD377</f>
        <v>0.69230769230769229</v>
      </c>
      <c r="S28" s="150"/>
      <c r="T28" s="138">
        <f>+'P&amp;L'!AF377</f>
        <v>0.76190476190476186</v>
      </c>
      <c r="U28" s="147">
        <f>+'P&amp;L'!AG377</f>
        <v>0.73076923076923073</v>
      </c>
      <c r="V28" s="147">
        <f>+'P&amp;L'!AH377</f>
        <v>0.7409326424870466</v>
      </c>
      <c r="X28" s="138">
        <f>+'P&amp;L'!AJ377</f>
        <v>0.76760563380281699</v>
      </c>
      <c r="Y28" s="147">
        <f>+'P&amp;L'!AK377</f>
        <v>0.75184525324510054</v>
      </c>
      <c r="Z28" s="147">
        <f>+'P&amp;L'!AL377</f>
        <v>0.75932611311672682</v>
      </c>
      <c r="AB28" s="138">
        <f>+'P&amp;L'!AN377</f>
        <v>0.76249999999999996</v>
      </c>
      <c r="AC28" s="147">
        <f>+'P&amp;L'!AO377</f>
        <v>0.73825503355704702</v>
      </c>
      <c r="AD28" s="147">
        <f>+'P&amp;L'!AP377</f>
        <v>0.7508090614886731</v>
      </c>
      <c r="AF28" s="147">
        <f>CHOOSE($B$5,AF92,AF93,AF94)</f>
        <v>0.77</v>
      </c>
      <c r="AG28" s="147">
        <f>CHOOSE($B$5,AG92,AG93,AG94)</f>
        <v>0.77</v>
      </c>
      <c r="AH28" s="147">
        <f>+'P&amp;L'!AT377</f>
        <v>0.76999999999999991</v>
      </c>
      <c r="AJ28" s="147">
        <f>CHOOSE($B$5,AJ92,AJ93,AJ94)</f>
        <v>0.77</v>
      </c>
      <c r="AK28" s="147">
        <f>CHOOSE($B$5,AK92,AK93,AK94)</f>
        <v>0.77</v>
      </c>
      <c r="AL28" s="147">
        <f>+'P&amp;L'!AX377</f>
        <v>0.77</v>
      </c>
      <c r="AN28" s="147">
        <f>CHOOSE($B$5,AN92,AN93,AN94)</f>
        <v>0.77</v>
      </c>
      <c r="AO28" s="147">
        <f>CHOOSE($B$5,AO92,AO93,AO94)</f>
        <v>0.77</v>
      </c>
      <c r="AP28" s="147">
        <f>+'P&amp;L'!BB377</f>
        <v>0.76999999999999991</v>
      </c>
      <c r="AR28" s="147">
        <f>CHOOSE($B$5,AR92,AR93,AR94)</f>
        <v>0.77</v>
      </c>
      <c r="AS28" s="147">
        <f>CHOOSE($B$5,AS92,AS93,AS94)</f>
        <v>0.77</v>
      </c>
      <c r="AT28" s="147">
        <f>+'P&amp;L'!BF377</f>
        <v>0.77</v>
      </c>
      <c r="AV28" s="147">
        <f>CHOOSE($B$5,AV92,AV93,AV94)</f>
        <v>0.77</v>
      </c>
      <c r="AW28" s="147">
        <f>CHOOSE($B$5,AW92,AW93,AW94)</f>
        <v>0.77</v>
      </c>
      <c r="AX28" s="147">
        <f>+'P&amp;L'!BJ377</f>
        <v>0.77000000000000013</v>
      </c>
      <c r="AZ28" s="147">
        <f>CHOOSE($B$5,AZ92,AZ93,AZ94)</f>
        <v>0.77</v>
      </c>
      <c r="BA28" s="147">
        <f>CHOOSE($B$5,BA92,BA93,BA94)</f>
        <v>0.77</v>
      </c>
      <c r="BB28" s="147">
        <f>+'P&amp;L'!BN377</f>
        <v>0.77</v>
      </c>
      <c r="BD28" s="147">
        <f>CHOOSE($B$5,BD92,BD93,BD94)</f>
        <v>0.77</v>
      </c>
      <c r="BE28" s="147">
        <f>CHOOSE($B$5,BE92,BE93,BE94)</f>
        <v>0.77</v>
      </c>
      <c r="BF28" s="147">
        <f>+'P&amp;L'!BR377</f>
        <v>0.77000000000000013</v>
      </c>
      <c r="BH28" s="147">
        <f>CHOOSE($B$5,BH92,BH93,BH94)</f>
        <v>0.77</v>
      </c>
      <c r="BI28" s="147">
        <f>CHOOSE($B$5,BI92,BI93,BI94)</f>
        <v>0.77</v>
      </c>
      <c r="BJ28" s="147">
        <f>+'P&amp;L'!BV377</f>
        <v>0.77</v>
      </c>
      <c r="BL28" s="147">
        <f>CHOOSE($B$5,BL92,BL93,BL94)</f>
        <v>0.77</v>
      </c>
      <c r="BM28" s="147">
        <f>CHOOSE($B$5,BM92,BM93,BM94)</f>
        <v>0.77</v>
      </c>
      <c r="BN28" s="147">
        <f>+'P&amp;L'!BZ377</f>
        <v>0.77</v>
      </c>
      <c r="BP28" s="147">
        <f>CHOOSE($B$5,BP92,BP93,BP94)</f>
        <v>0.77</v>
      </c>
      <c r="BQ28" s="147">
        <f>CHOOSE($B$5,BQ92,BQ93,BQ94)</f>
        <v>0.77</v>
      </c>
      <c r="BR28" s="147">
        <f>+'P&amp;L'!CD377</f>
        <v>0</v>
      </c>
    </row>
    <row r="29" spans="2:70">
      <c r="T29" s="167"/>
      <c r="X29" s="167"/>
      <c r="AB29" s="167"/>
      <c r="AH29" s="147"/>
      <c r="AL29" s="147"/>
      <c r="AP29" s="147"/>
      <c r="AT29" s="147"/>
      <c r="AX29" s="147"/>
      <c r="BB29" s="147"/>
      <c r="BF29" s="147"/>
      <c r="BJ29" s="147"/>
      <c r="BN29" s="147"/>
      <c r="BR29" s="147"/>
    </row>
    <row r="30" spans="2:70">
      <c r="B30" s="355" t="s">
        <v>506</v>
      </c>
      <c r="C30" s="356"/>
      <c r="D30" s="356"/>
      <c r="E30" s="356"/>
      <c r="F30" s="356"/>
      <c r="G30" s="356"/>
      <c r="H30" s="356"/>
      <c r="I30" s="356"/>
      <c r="J30" s="356"/>
      <c r="K30" s="356"/>
      <c r="L30" s="356"/>
      <c r="M30" s="356"/>
      <c r="N30" s="356"/>
      <c r="O30" s="356"/>
      <c r="P30" s="356"/>
      <c r="Q30" s="356"/>
      <c r="R30" s="356"/>
      <c r="S30" s="356"/>
      <c r="T30" s="147"/>
      <c r="U30" s="356"/>
      <c r="V30" s="356"/>
      <c r="X30" s="147"/>
      <c r="Y30" s="356"/>
      <c r="Z30" s="356"/>
      <c r="AB30" s="147"/>
      <c r="AC30" s="356"/>
      <c r="AD30" s="356"/>
      <c r="AH30" s="147"/>
      <c r="AL30" s="147"/>
      <c r="AP30" s="147"/>
      <c r="AT30" s="147"/>
      <c r="AX30" s="147"/>
      <c r="BB30" s="147"/>
      <c r="BF30" s="147"/>
      <c r="BJ30" s="147"/>
      <c r="BN30" s="147"/>
      <c r="BR30" s="147"/>
    </row>
    <row r="31" spans="2:70">
      <c r="B31" s="150" t="s">
        <v>288</v>
      </c>
      <c r="C31" s="150"/>
      <c r="D31" s="147"/>
      <c r="E31" s="147"/>
      <c r="F31" s="147"/>
      <c r="G31" s="147"/>
      <c r="H31" s="147"/>
      <c r="I31" s="147"/>
      <c r="J31" s="147"/>
      <c r="K31" s="147"/>
      <c r="L31" s="147"/>
      <c r="M31" s="147"/>
      <c r="N31" s="147"/>
      <c r="O31" s="147"/>
      <c r="P31" s="147"/>
      <c r="Q31" s="147"/>
      <c r="R31" s="147"/>
      <c r="S31" s="150"/>
      <c r="T31" s="147"/>
      <c r="U31" s="147"/>
      <c r="V31" s="147"/>
      <c r="X31" s="852">
        <f>'P&amp;L'!AJ417</f>
        <v>1.0794780545670228</v>
      </c>
      <c r="Y31" s="147">
        <f>'P&amp;L'!AK417</f>
        <v>1.2914661939731564E-2</v>
      </c>
      <c r="Z31" s="147">
        <f>'P&amp;L'!AL417</f>
        <v>0.33203194321206753</v>
      </c>
      <c r="AB31" s="852">
        <f>'P&amp;L'!AN417</f>
        <v>5.9897318881916739E-2</v>
      </c>
      <c r="AC31" s="147">
        <f>'P&amp;L'!AO417</f>
        <v>0.19350000000000001</v>
      </c>
      <c r="AD31" s="147">
        <f>'P&amp;L'!AP417</f>
        <v>0.1310951239008793</v>
      </c>
      <c r="AF31" s="147">
        <f t="shared" ref="AF31:AG31" si="0">CHOOSE($B$5,AF97,AF98,AF99)</f>
        <v>0.12</v>
      </c>
      <c r="AG31" s="147">
        <f t="shared" si="0"/>
        <v>0.05</v>
      </c>
      <c r="AH31" s="147">
        <f>+'P&amp;L'!AT422</f>
        <v>6.5316591543249647E-2</v>
      </c>
      <c r="AJ31" s="147">
        <f t="shared" ref="AJ31:AK31" si="1">CHOOSE($B$5,AJ97,AJ98,AJ99)</f>
        <v>0.05</v>
      </c>
      <c r="AK31" s="147">
        <f t="shared" si="1"/>
        <v>0.05</v>
      </c>
      <c r="AL31" s="147">
        <f>+'P&amp;L'!AX422</f>
        <v>4.621220516147484E-2</v>
      </c>
      <c r="AN31" s="147">
        <f t="shared" ref="AN31:AO31" si="2">CHOOSE($B$5,AN97,AN98,AN99)</f>
        <v>0.05</v>
      </c>
      <c r="AO31" s="147">
        <f t="shared" si="2"/>
        <v>0.05</v>
      </c>
      <c r="AP31" s="147">
        <f>+'P&amp;L'!BB422</f>
        <v>4.6379515723638187E-2</v>
      </c>
      <c r="AR31" s="147">
        <f t="shared" ref="AR31:AS31" si="3">CHOOSE($B$5,AR97,AR98,AR99)</f>
        <v>0.05</v>
      </c>
      <c r="AS31" s="147">
        <f t="shared" si="3"/>
        <v>0.05</v>
      </c>
      <c r="AT31" s="147">
        <f>+'P&amp;L'!BF422</f>
        <v>4.653998934233905E-2</v>
      </c>
      <c r="AV31" s="147">
        <f t="shared" ref="AV31:AW31" si="4">CHOOSE($B$5,AV97,AV98,AV99)</f>
        <v>0.05</v>
      </c>
      <c r="AW31" s="147">
        <f t="shared" si="4"/>
        <v>0.05</v>
      </c>
      <c r="AX31" s="147">
        <f>+'P&amp;L'!BJ422</f>
        <v>4.6693857193325972E-2</v>
      </c>
      <c r="AZ31" s="147">
        <f t="shared" ref="AZ31:BA31" si="5">CHOOSE($B$5,AZ97,AZ98,AZ99)</f>
        <v>0.05</v>
      </c>
      <c r="BA31" s="147">
        <f t="shared" si="5"/>
        <v>0.05</v>
      </c>
      <c r="BB31" s="147">
        <f>+'P&amp;L'!BN422</f>
        <v>4.6841346890541979E-2</v>
      </c>
      <c r="BD31" s="147">
        <f t="shared" ref="BD31:BE31" si="6">CHOOSE($B$5,BD97,BD98,BD99)</f>
        <v>0.05</v>
      </c>
      <c r="BE31" s="147">
        <f t="shared" si="6"/>
        <v>0.05</v>
      </c>
      <c r="BF31" s="147">
        <f>+'P&amp;L'!BR422</f>
        <v>4.6982682123857478E-2</v>
      </c>
      <c r="BH31" s="147">
        <f t="shared" ref="BH31:BI31" si="7">CHOOSE($B$5,BH97,BH98,BH99)</f>
        <v>0.05</v>
      </c>
      <c r="BI31" s="147">
        <f t="shared" si="7"/>
        <v>0.05</v>
      </c>
      <c r="BJ31" s="147">
        <f>+'P&amp;L'!BV422</f>
        <v>4.7118082344951739E-2</v>
      </c>
      <c r="BL31" s="147">
        <f t="shared" ref="BL31:BM31" si="8">CHOOSE($B$5,BL97,BL98,BL99)</f>
        <v>0.05</v>
      </c>
      <c r="BM31" s="147">
        <f t="shared" si="8"/>
        <v>0.05</v>
      </c>
      <c r="BN31" s="147">
        <f>+'P&amp;L'!BZ422</f>
        <v>4.7247762498194845E-2</v>
      </c>
      <c r="BP31" s="147">
        <f t="shared" ref="BP31:BQ31" si="9">CHOOSE($B$5,BP97,BP98,BP99)</f>
        <v>0.05</v>
      </c>
      <c r="BQ31" s="147">
        <f t="shared" si="9"/>
        <v>0.05</v>
      </c>
      <c r="BR31" s="147">
        <f>+'P&amp;L'!CD422</f>
        <v>0</v>
      </c>
    </row>
    <row r="32" spans="2:70">
      <c r="B32" s="150" t="str">
        <f>B27</f>
        <v>Underlying EBITA margin %</v>
      </c>
      <c r="C32" s="150"/>
      <c r="D32" s="147"/>
      <c r="E32" s="147"/>
      <c r="F32" s="147"/>
      <c r="G32" s="147"/>
      <c r="H32" s="147"/>
      <c r="I32" s="147"/>
      <c r="J32" s="147"/>
      <c r="K32" s="147"/>
      <c r="L32" s="147"/>
      <c r="M32" s="147"/>
      <c r="N32" s="147"/>
      <c r="O32" s="147"/>
      <c r="P32" s="147"/>
      <c r="Q32" s="147"/>
      <c r="R32" s="147"/>
      <c r="S32" s="150"/>
      <c r="T32" s="147">
        <f>'P&amp;L'!AF427</f>
        <v>0.20170704845814977</v>
      </c>
      <c r="U32" s="147">
        <f>'P&amp;L'!AG427</f>
        <v>0.28643585487313261</v>
      </c>
      <c r="V32" s="147">
        <f>'P&amp;L'!AH427</f>
        <v>0.26093154317918127</v>
      </c>
      <c r="X32" s="147">
        <f>'P&amp;L'!AJ427</f>
        <v>0.20374220374220384</v>
      </c>
      <c r="Y32" s="147">
        <f>'P&amp;L'!AK427</f>
        <v>0.27541037591302631</v>
      </c>
      <c r="Z32" s="147">
        <f>'P&amp;L'!AL427</f>
        <v>0.2418639503115261</v>
      </c>
      <c r="AB32" s="147">
        <f>'P&amp;L'!AN427</f>
        <v>0.15591397849462379</v>
      </c>
      <c r="AC32" s="147">
        <f>'P&amp;L'!AO427</f>
        <v>0.29735935706084937</v>
      </c>
      <c r="AD32" s="147">
        <f>'P&amp;L'!AP427</f>
        <v>0.23524361450955134</v>
      </c>
      <c r="AF32" s="147">
        <f t="shared" ref="AF32:AG32" si="10">CHOOSE($B$5,AF101,AF102,AF103)</f>
        <v>0.2</v>
      </c>
      <c r="AG32" s="147">
        <f t="shared" si="10"/>
        <v>0.30499999999999999</v>
      </c>
      <c r="AH32" s="147">
        <f>+'P&amp;L'!AT427</f>
        <v>0.25699961316137815</v>
      </c>
      <c r="AJ32" s="147">
        <f t="shared" ref="AJ32:AK32" si="11">CHOOSE($B$5,AJ101,AJ102,AJ103)</f>
        <v>0.20499999999999999</v>
      </c>
      <c r="AK32" s="147">
        <f t="shared" si="11"/>
        <v>0.32</v>
      </c>
      <c r="AL32" s="147">
        <f>+'P&amp;L'!AX427</f>
        <v>0.26744599002960989</v>
      </c>
      <c r="AN32" s="147">
        <f t="shared" ref="AN32:AO32" si="12">CHOOSE($B$5,AN101,AN102,AN103)</f>
        <v>0.215</v>
      </c>
      <c r="AO32" s="147">
        <f t="shared" si="12"/>
        <v>0.33</v>
      </c>
      <c r="AP32" s="147">
        <f>+'P&amp;L'!BB427</f>
        <v>0.27746310320782513</v>
      </c>
      <c r="AR32" s="147">
        <f t="shared" ref="AR32:AS32" si="13">CHOOSE($B$5,AR101,AR102,AR103)</f>
        <v>0.215</v>
      </c>
      <c r="AS32" s="147">
        <f t="shared" si="13"/>
        <v>0.33</v>
      </c>
      <c r="AT32" s="147">
        <f>+'P&amp;L'!BF427</f>
        <v>0.27747951193579445</v>
      </c>
      <c r="AV32" s="147">
        <f t="shared" ref="AV32:AW32" si="14">CHOOSE($B$5,AV101,AV102,AV103)</f>
        <v>0.215</v>
      </c>
      <c r="AW32" s="147">
        <f t="shared" si="14"/>
        <v>0.33</v>
      </c>
      <c r="AX32" s="147">
        <f>+'P&amp;L'!BJ427</f>
        <v>0.27749524048665403</v>
      </c>
      <c r="AZ32" s="147">
        <f t="shared" ref="AZ32:BA32" si="15">CHOOSE($B$5,AZ101,AZ102,AZ103)</f>
        <v>0.215</v>
      </c>
      <c r="BA32" s="147">
        <f t="shared" si="15"/>
        <v>0.33</v>
      </c>
      <c r="BB32" s="147">
        <f>+'P&amp;L'!BN427</f>
        <v>0.27751031271507004</v>
      </c>
      <c r="BD32" s="147">
        <f t="shared" ref="BD32:BE32" si="16">CHOOSE($B$5,BD101,BD102,BD103)</f>
        <v>0.215</v>
      </c>
      <c r="BE32" s="147">
        <f t="shared" si="16"/>
        <v>0.33</v>
      </c>
      <c r="BF32" s="147">
        <f>+'P&amp;L'!BR427</f>
        <v>0.27752475202374088</v>
      </c>
      <c r="BH32" s="147">
        <f t="shared" ref="BH32:BI32" si="17">CHOOSE($B$5,BH101,BH102,BH103)</f>
        <v>0.215</v>
      </c>
      <c r="BI32" s="147">
        <f t="shared" si="17"/>
        <v>0.33</v>
      </c>
      <c r="BJ32" s="147">
        <f>+'P&amp;L'!BV427</f>
        <v>0.27753858133469789</v>
      </c>
      <c r="BL32" s="147">
        <f t="shared" ref="BL32:BM32" si="18">CHOOSE($B$5,BL101,BL102,BL103)</f>
        <v>0.215</v>
      </c>
      <c r="BM32" s="147">
        <f t="shared" si="18"/>
        <v>0.33</v>
      </c>
      <c r="BN32" s="147">
        <f>+'P&amp;L'!BZ427</f>
        <v>0.27755182306507142</v>
      </c>
      <c r="BP32" s="147">
        <f t="shared" ref="BP32:BQ32" si="19">CHOOSE($B$5,BP101,BP102,BP103)</f>
        <v>0.215</v>
      </c>
      <c r="BQ32" s="147">
        <f t="shared" si="19"/>
        <v>0.33</v>
      </c>
      <c r="BR32" s="147">
        <f>+'P&amp;L'!CD427</f>
        <v>0</v>
      </c>
    </row>
    <row r="33" spans="2:71">
      <c r="B33" s="150" t="str">
        <f>B28</f>
        <v>Profit share %</v>
      </c>
      <c r="C33" s="150"/>
      <c r="D33" s="147"/>
      <c r="E33" s="147"/>
      <c r="F33" s="147"/>
      <c r="G33" s="147"/>
      <c r="H33" s="147"/>
      <c r="I33" s="147"/>
      <c r="J33" s="147"/>
      <c r="K33" s="147"/>
      <c r="L33" s="147"/>
      <c r="M33" s="147"/>
      <c r="N33" s="147"/>
      <c r="O33" s="147"/>
      <c r="P33" s="147"/>
      <c r="Q33" s="147"/>
      <c r="R33" s="147"/>
      <c r="S33" s="150"/>
      <c r="T33" s="147">
        <f>'P&amp;L'!AF436</f>
        <v>0.98143598143598165</v>
      </c>
      <c r="U33" s="147">
        <f>'P&amp;L'!AG436</f>
        <v>0.97906455096784917</v>
      </c>
      <c r="V33" s="147">
        <f>'P&amp;L'!AH436</f>
        <v>0.97961783439490457</v>
      </c>
      <c r="X33" s="147">
        <f>'P&amp;L'!AJ436</f>
        <v>0.97448979591836737</v>
      </c>
      <c r="Y33" s="147">
        <f>'P&amp;L'!AK436</f>
        <v>0.97253221735087025</v>
      </c>
      <c r="Z33" s="147">
        <f>'P&amp;L'!AL436</f>
        <v>0.97330409592017386</v>
      </c>
      <c r="AB33" s="147">
        <f>'P&amp;L'!AN436</f>
        <v>0.953125</v>
      </c>
      <c r="AC33" s="147">
        <f>'P&amp;L'!AO436</f>
        <v>0.94845360824742264</v>
      </c>
      <c r="AD33" s="147">
        <f>'P&amp;L'!AP436</f>
        <v>0.94981751824817517</v>
      </c>
      <c r="AF33" s="147">
        <f t="shared" ref="AF33:AG33" si="20">CHOOSE($B$5,AF105,AF106,AF107)</f>
        <v>0.95299999999999996</v>
      </c>
      <c r="AG33" s="147">
        <f t="shared" si="20"/>
        <v>0.95299999999999996</v>
      </c>
      <c r="AH33" s="147">
        <f>+'P&amp;L'!AT436</f>
        <v>0.95300000000000018</v>
      </c>
      <c r="AJ33" s="147">
        <f t="shared" ref="AJ33:AK33" si="21">CHOOSE($B$5,AJ105,AJ106,AJ107)</f>
        <v>0.95299999999999996</v>
      </c>
      <c r="AK33" s="147">
        <f t="shared" si="21"/>
        <v>0.95299999999999996</v>
      </c>
      <c r="AL33" s="147">
        <f>+'P&amp;L'!AX436</f>
        <v>0.95300000000000007</v>
      </c>
      <c r="AN33" s="147">
        <f t="shared" ref="AN33:AO33" si="22">CHOOSE($B$5,AN105,AN106,AN107)</f>
        <v>0.95299999999999996</v>
      </c>
      <c r="AO33" s="147">
        <f t="shared" si="22"/>
        <v>0.95299999999999996</v>
      </c>
      <c r="AP33" s="147">
        <f>+'P&amp;L'!BB436</f>
        <v>0.95299999999999985</v>
      </c>
      <c r="AR33" s="147">
        <f t="shared" ref="AR33:AS33" si="23">CHOOSE($B$5,AR105,AR106,AR107)</f>
        <v>0.95299999999999996</v>
      </c>
      <c r="AS33" s="147">
        <f t="shared" si="23"/>
        <v>0.95299999999999996</v>
      </c>
      <c r="AT33" s="147">
        <f>+'P&amp;L'!BF436</f>
        <v>0.95299999999999985</v>
      </c>
      <c r="AV33" s="147">
        <f t="shared" ref="AV33:AW33" si="24">CHOOSE($B$5,AV105,AV106,AV107)</f>
        <v>0.95299999999999996</v>
      </c>
      <c r="AW33" s="147">
        <f t="shared" si="24"/>
        <v>0.95299999999999996</v>
      </c>
      <c r="AX33" s="147">
        <f>+'P&amp;L'!BJ436</f>
        <v>0.95299999999999985</v>
      </c>
      <c r="AZ33" s="147">
        <f t="shared" ref="AZ33:BA33" si="25">CHOOSE($B$5,AZ105,AZ106,AZ107)</f>
        <v>0.95299999999999996</v>
      </c>
      <c r="BA33" s="147">
        <f t="shared" si="25"/>
        <v>0.95299999999999996</v>
      </c>
      <c r="BB33" s="147">
        <f>+'P&amp;L'!BN436</f>
        <v>0.95299999999999996</v>
      </c>
      <c r="BD33" s="147">
        <f t="shared" ref="BD33:BE33" si="26">CHOOSE($B$5,BD105,BD106,BD107)</f>
        <v>0.95299999999999996</v>
      </c>
      <c r="BE33" s="147">
        <f t="shared" si="26"/>
        <v>0.95299999999999996</v>
      </c>
      <c r="BF33" s="147">
        <f>+'P&amp;L'!BR436</f>
        <v>0.95300000000000007</v>
      </c>
      <c r="BH33" s="147">
        <f t="shared" ref="BH33:BI33" si="27">CHOOSE($B$5,BH105,BH106,BH107)</f>
        <v>0.95299999999999996</v>
      </c>
      <c r="BI33" s="147">
        <f t="shared" si="27"/>
        <v>0.95299999999999996</v>
      </c>
      <c r="BJ33" s="147">
        <f>+'P&amp;L'!BV436</f>
        <v>0.95300000000000018</v>
      </c>
      <c r="BL33" s="147">
        <f t="shared" ref="BL33:BM33" si="28">CHOOSE($B$5,BL105,BL106,BL107)</f>
        <v>0.95299999999999996</v>
      </c>
      <c r="BM33" s="147">
        <f t="shared" si="28"/>
        <v>0.95299999999999996</v>
      </c>
      <c r="BN33" s="147">
        <f>+'P&amp;L'!BZ436</f>
        <v>0.95299999999999996</v>
      </c>
      <c r="BP33" s="147">
        <f t="shared" ref="BP33:BQ33" si="29">CHOOSE($B$5,BP105,BP106,BP107)</f>
        <v>0.95299999999999996</v>
      </c>
      <c r="BQ33" s="147">
        <f t="shared" si="29"/>
        <v>0.95299999999999996</v>
      </c>
      <c r="BR33" s="147">
        <f>+'P&amp;L'!CD436</f>
        <v>0</v>
      </c>
    </row>
    <row r="36" spans="2:71">
      <c r="B36" s="362"/>
      <c r="C36" s="362"/>
      <c r="D36" s="362"/>
      <c r="E36" s="362"/>
      <c r="F36" s="362"/>
      <c r="G36" s="362"/>
      <c r="H36" s="362"/>
      <c r="I36" s="362"/>
      <c r="J36" s="362"/>
      <c r="K36" s="362"/>
      <c r="L36" s="362"/>
      <c r="M36" s="362"/>
      <c r="N36" s="362"/>
      <c r="O36" s="362"/>
      <c r="P36" s="362"/>
      <c r="Q36" s="362"/>
      <c r="R36" s="362"/>
      <c r="S36" s="362"/>
      <c r="T36" s="362"/>
      <c r="U36" s="362"/>
      <c r="V36" s="362"/>
      <c r="W36" s="362"/>
      <c r="X36" s="362"/>
      <c r="Y36" s="362"/>
      <c r="Z36" s="362"/>
      <c r="AA36" s="362"/>
      <c r="AB36" s="362"/>
      <c r="AC36" s="362"/>
      <c r="AD36" s="362"/>
      <c r="AE36" s="362"/>
      <c r="AF36" s="362"/>
      <c r="AG36" s="362"/>
      <c r="AH36" s="362"/>
      <c r="AI36" s="362"/>
      <c r="AJ36" s="362"/>
      <c r="AK36" s="362"/>
      <c r="AL36" s="362"/>
      <c r="AM36" s="362"/>
      <c r="AN36" s="362"/>
      <c r="AO36" s="362"/>
      <c r="AP36" s="362"/>
      <c r="AQ36" s="362"/>
      <c r="AR36" s="362"/>
      <c r="AS36" s="362"/>
      <c r="AT36" s="362"/>
      <c r="AU36" s="362"/>
      <c r="AV36" s="362"/>
      <c r="AW36" s="362"/>
      <c r="AX36" s="362"/>
      <c r="AY36" s="362"/>
      <c r="AZ36" s="362"/>
      <c r="BA36" s="362"/>
      <c r="BB36" s="362"/>
      <c r="BC36" s="362"/>
      <c r="BD36" s="362"/>
      <c r="BE36" s="362"/>
      <c r="BF36" s="362"/>
      <c r="BG36" s="362"/>
      <c r="BH36" s="362"/>
      <c r="BI36" s="362"/>
      <c r="BJ36" s="362"/>
      <c r="BK36" s="362"/>
      <c r="BL36" s="362"/>
      <c r="BM36" s="362"/>
      <c r="BN36" s="362"/>
      <c r="BO36" s="362"/>
      <c r="BP36" s="362"/>
      <c r="BQ36" s="362"/>
      <c r="BR36" s="362"/>
    </row>
    <row r="37" spans="2:71">
      <c r="B37" s="363" t="s">
        <v>290</v>
      </c>
      <c r="C37" s="363"/>
      <c r="D37" s="364" t="str">
        <f t="shared" ref="D37:R37" si="30">+D9</f>
        <v>1H19</v>
      </c>
      <c r="E37" s="364" t="str">
        <f t="shared" si="30"/>
        <v>2H19</v>
      </c>
      <c r="F37" s="364" t="str">
        <f t="shared" si="30"/>
        <v>FY19</v>
      </c>
      <c r="G37" s="364"/>
      <c r="H37" s="364" t="str">
        <f t="shared" ref="H37" si="31">+H9</f>
        <v>1H20</v>
      </c>
      <c r="I37" s="364" t="str">
        <f t="shared" si="30"/>
        <v>2H20</v>
      </c>
      <c r="J37" s="364" t="str">
        <f t="shared" si="30"/>
        <v>FY20</v>
      </c>
      <c r="K37" s="364"/>
      <c r="L37" s="364" t="str">
        <f t="shared" ref="L37" si="32">+L9</f>
        <v>1H21</v>
      </c>
      <c r="M37" s="364" t="str">
        <f t="shared" si="30"/>
        <v>2H21</v>
      </c>
      <c r="N37" s="364" t="str">
        <f t="shared" si="30"/>
        <v>FY21</v>
      </c>
      <c r="O37" s="364"/>
      <c r="P37" s="364" t="str">
        <f t="shared" ref="P37" si="33">+P9</f>
        <v>1H22</v>
      </c>
      <c r="Q37" s="364" t="str">
        <f t="shared" si="30"/>
        <v>2H22</v>
      </c>
      <c r="R37" s="364" t="str">
        <f t="shared" si="30"/>
        <v>FY22</v>
      </c>
      <c r="S37" s="364"/>
      <c r="T37" s="364" t="str">
        <f>+T9</f>
        <v>1H23</v>
      </c>
      <c r="U37" s="364" t="str">
        <f t="shared" ref="U37:V37" si="34">+U9</f>
        <v>2H23</v>
      </c>
      <c r="V37" s="364" t="str">
        <f t="shared" si="34"/>
        <v>FY23</v>
      </c>
      <c r="W37" s="364"/>
      <c r="X37" s="364" t="str">
        <f t="shared" ref="X37:BF37" si="35">+X9</f>
        <v>1H24</v>
      </c>
      <c r="Y37" s="364" t="str">
        <f t="shared" si="35"/>
        <v>2H24</v>
      </c>
      <c r="Z37" s="364" t="str">
        <f t="shared" si="35"/>
        <v>FY24</v>
      </c>
      <c r="AA37" s="364"/>
      <c r="AB37" s="364" t="str">
        <f t="shared" ref="AB37" si="36">+AB9</f>
        <v>1H25</v>
      </c>
      <c r="AC37" s="364" t="str">
        <f t="shared" si="35"/>
        <v>2H25</v>
      </c>
      <c r="AD37" s="364" t="str">
        <f t="shared" si="35"/>
        <v>FY25</v>
      </c>
      <c r="AE37" s="364"/>
      <c r="AF37" s="364" t="str">
        <f t="shared" ref="AF37" si="37">+AF9</f>
        <v>1H26E</v>
      </c>
      <c r="AG37" s="364" t="str">
        <f t="shared" si="35"/>
        <v>2H26E</v>
      </c>
      <c r="AH37" s="364" t="str">
        <f t="shared" si="35"/>
        <v>FY26E</v>
      </c>
      <c r="AI37" s="364"/>
      <c r="AJ37" s="364" t="str">
        <f t="shared" ref="AJ37" si="38">+AJ9</f>
        <v>1H27E</v>
      </c>
      <c r="AK37" s="364" t="str">
        <f t="shared" si="35"/>
        <v>2H27E</v>
      </c>
      <c r="AL37" s="364" t="str">
        <f t="shared" si="35"/>
        <v>FY27E</v>
      </c>
      <c r="AM37" s="364"/>
      <c r="AN37" s="364" t="str">
        <f t="shared" ref="AN37" si="39">+AN9</f>
        <v>1H28E</v>
      </c>
      <c r="AO37" s="364" t="str">
        <f t="shared" si="35"/>
        <v>2H28E</v>
      </c>
      <c r="AP37" s="364" t="str">
        <f t="shared" si="35"/>
        <v>FY28E</v>
      </c>
      <c r="AQ37" s="364"/>
      <c r="AR37" s="364" t="str">
        <f t="shared" ref="AR37" si="40">+AR9</f>
        <v>1H29E</v>
      </c>
      <c r="AS37" s="364" t="str">
        <f t="shared" si="35"/>
        <v>2H29E</v>
      </c>
      <c r="AT37" s="364" t="str">
        <f t="shared" si="35"/>
        <v>FY29E</v>
      </c>
      <c r="AU37" s="364"/>
      <c r="AV37" s="364" t="str">
        <f t="shared" ref="AV37" si="41">+AV9</f>
        <v>1H30E</v>
      </c>
      <c r="AW37" s="364" t="str">
        <f t="shared" si="35"/>
        <v>2H30E</v>
      </c>
      <c r="AX37" s="364" t="str">
        <f t="shared" si="35"/>
        <v>FY30E</v>
      </c>
      <c r="AY37" s="364"/>
      <c r="AZ37" s="364" t="str">
        <f t="shared" ref="AZ37" si="42">+AZ9</f>
        <v>1H31E</v>
      </c>
      <c r="BA37" s="364" t="str">
        <f t="shared" si="35"/>
        <v>2H31E</v>
      </c>
      <c r="BB37" s="364" t="str">
        <f t="shared" si="35"/>
        <v>FY31E</v>
      </c>
      <c r="BC37" s="364"/>
      <c r="BD37" s="364" t="str">
        <f t="shared" ref="BD37" si="43">+BD9</f>
        <v>1H32E</v>
      </c>
      <c r="BE37" s="364" t="str">
        <f t="shared" si="35"/>
        <v>2H32E</v>
      </c>
      <c r="BF37" s="364" t="str">
        <f t="shared" si="35"/>
        <v>FY32E</v>
      </c>
      <c r="BG37" s="364"/>
      <c r="BH37" s="364" t="str">
        <f t="shared" ref="BH37:BJ37" si="44">+BH9</f>
        <v>1H33E</v>
      </c>
      <c r="BI37" s="364" t="str">
        <f t="shared" si="44"/>
        <v>2H33E</v>
      </c>
      <c r="BJ37" s="364" t="str">
        <f t="shared" si="44"/>
        <v>FY33E</v>
      </c>
      <c r="BK37" s="364"/>
      <c r="BL37" s="364" t="str">
        <f t="shared" ref="BL37:BN37" si="45">+BL9</f>
        <v>1H34E</v>
      </c>
      <c r="BM37" s="364" t="str">
        <f t="shared" si="45"/>
        <v>2H34E</v>
      </c>
      <c r="BN37" s="364" t="str">
        <f t="shared" si="45"/>
        <v>FY34E</v>
      </c>
      <c r="BO37" s="364"/>
      <c r="BP37" s="364">
        <f t="shared" ref="BP37:BR37" si="46">+BP9</f>
        <v>0</v>
      </c>
      <c r="BQ37" s="364">
        <f t="shared" si="46"/>
        <v>0</v>
      </c>
      <c r="BR37" s="364">
        <f t="shared" si="46"/>
        <v>0</v>
      </c>
    </row>
    <row r="38" spans="2:71">
      <c r="B38" s="588" t="s">
        <v>284</v>
      </c>
      <c r="C38" s="588"/>
      <c r="D38" s="590"/>
      <c r="E38" s="590"/>
      <c r="F38" s="590"/>
      <c r="G38" s="590"/>
      <c r="H38" s="590"/>
      <c r="I38" s="590"/>
      <c r="J38" s="590"/>
      <c r="K38" s="590"/>
      <c r="L38" s="590"/>
      <c r="M38" s="590"/>
      <c r="N38" s="590"/>
      <c r="O38" s="590"/>
      <c r="P38" s="590"/>
      <c r="Q38" s="590"/>
      <c r="R38" s="590"/>
      <c r="S38" s="590"/>
      <c r="T38" s="590"/>
      <c r="U38" s="590"/>
      <c r="V38" s="590"/>
      <c r="W38" s="590"/>
      <c r="X38" s="590"/>
      <c r="Y38" s="590"/>
      <c r="Z38" s="590"/>
      <c r="AA38" s="590"/>
      <c r="AB38" s="590"/>
      <c r="AC38" s="590"/>
      <c r="AD38" s="590"/>
      <c r="AE38" s="590"/>
      <c r="AF38" s="590"/>
      <c r="AG38" s="590"/>
      <c r="AH38" s="590"/>
      <c r="AI38" s="590"/>
      <c r="AJ38" s="590"/>
      <c r="AK38" s="590"/>
      <c r="AL38" s="590"/>
      <c r="AM38" s="590"/>
      <c r="AN38" s="590"/>
      <c r="AO38" s="590"/>
      <c r="AP38" s="590"/>
      <c r="AQ38" s="590"/>
      <c r="AR38" s="590"/>
      <c r="AS38" s="590"/>
      <c r="AT38" s="590"/>
      <c r="AU38" s="590"/>
      <c r="AV38" s="590"/>
      <c r="AW38" s="590"/>
      <c r="AX38" s="590"/>
      <c r="AY38" s="590"/>
      <c r="AZ38" s="590"/>
      <c r="BA38" s="590"/>
      <c r="BB38" s="590"/>
      <c r="BC38" s="590"/>
      <c r="BD38" s="590"/>
      <c r="BE38" s="590"/>
      <c r="BF38" s="590"/>
      <c r="BG38" s="590"/>
      <c r="BH38" s="590"/>
      <c r="BI38" s="590"/>
      <c r="BJ38" s="590"/>
      <c r="BK38" s="590"/>
      <c r="BL38" s="590"/>
      <c r="BM38" s="590"/>
      <c r="BN38" s="590"/>
      <c r="BO38" s="590"/>
      <c r="BP38" s="590"/>
      <c r="BQ38" s="590"/>
      <c r="BR38" s="590"/>
    </row>
    <row r="39" spans="2:71" s="354" customFormat="1">
      <c r="B39" s="664" t="str">
        <f>+$B$11</f>
        <v>ORGANIC Forecast Commission and fee income growth %</v>
      </c>
      <c r="C39" s="151" t="s">
        <v>64</v>
      </c>
      <c r="D39" s="663">
        <f t="shared" ref="D39:F39" si="47">+D11</f>
        <v>0.28978753652950018</v>
      </c>
      <c r="E39" s="663">
        <f t="shared" si="47"/>
        <v>8.494479545599587E-2</v>
      </c>
      <c r="F39" s="663">
        <f t="shared" si="47"/>
        <v>0.17649135192375565</v>
      </c>
      <c r="G39" s="151"/>
      <c r="H39" s="663">
        <f t="shared" ref="H39:J39" si="48">+H11</f>
        <v>0</v>
      </c>
      <c r="I39" s="663">
        <f t="shared" si="48"/>
        <v>5.7058823529411606E-2</v>
      </c>
      <c r="J39" s="663">
        <f t="shared" si="48"/>
        <v>2.9102910291028961E-2</v>
      </c>
      <c r="K39" s="151"/>
      <c r="L39" s="663">
        <f t="shared" ref="L39:N39" si="49">+L11</f>
        <v>8.0220453153704741E-2</v>
      </c>
      <c r="M39" s="663">
        <f t="shared" si="49"/>
        <v>0.14079020589872004</v>
      </c>
      <c r="N39" s="663">
        <f t="shared" si="49"/>
        <v>0.11195335276967922</v>
      </c>
      <c r="O39" s="151"/>
      <c r="P39" s="663">
        <f t="shared" ref="P39:R39" si="50">+P11</f>
        <v>0.10147392290249435</v>
      </c>
      <c r="Q39" s="663">
        <f t="shared" si="50"/>
        <v>6.8292682926829329E-2</v>
      </c>
      <c r="R39" s="663">
        <f t="shared" si="50"/>
        <v>8.3639223911903704E-2</v>
      </c>
      <c r="S39" s="151"/>
      <c r="T39" s="663">
        <f>+T11</f>
        <v>0.12609366958311896</v>
      </c>
      <c r="U39" s="663">
        <f t="shared" ref="U39:V39" si="51">+U11</f>
        <v>8.4018264840182599E-2</v>
      </c>
      <c r="V39" s="663">
        <f t="shared" si="51"/>
        <v>0.10379869344301951</v>
      </c>
      <c r="W39" s="135"/>
      <c r="X39" s="663">
        <f>+X11</f>
        <v>7.0840950639853739E-2</v>
      </c>
      <c r="Y39" s="663">
        <f t="shared" ref="Y39:Z39" si="52">+Y11</f>
        <v>7.7796967144060591E-2</v>
      </c>
      <c r="Z39" s="663">
        <f t="shared" si="52"/>
        <v>7.4460762823323146E-2</v>
      </c>
      <c r="AA39" s="135"/>
      <c r="AB39" s="663">
        <f>+AB11</f>
        <v>0.10072556551429779</v>
      </c>
      <c r="AC39" s="663">
        <f t="shared" ref="AC39:AD39" si="53">+AC11</f>
        <v>6.1480679566497054E-2</v>
      </c>
      <c r="AD39" s="663">
        <f t="shared" si="53"/>
        <v>8.0239672439505583E-2</v>
      </c>
      <c r="AE39" s="135"/>
      <c r="AF39" s="587">
        <v>0.06</v>
      </c>
      <c r="AG39" s="587">
        <v>0.05</v>
      </c>
      <c r="AH39" s="663">
        <f>+AH11</f>
        <v>5.4870632672332498E-2</v>
      </c>
      <c r="AI39" s="135"/>
      <c r="AJ39" s="587">
        <v>0.05</v>
      </c>
      <c r="AK39" s="587">
        <v>0.05</v>
      </c>
      <c r="AL39" s="663">
        <f t="shared" ref="AL39" si="54">+AL11</f>
        <v>5.0000000000000044E-2</v>
      </c>
      <c r="AM39" s="135"/>
      <c r="AN39" s="587">
        <v>0.05</v>
      </c>
      <c r="AO39" s="587">
        <v>0.05</v>
      </c>
      <c r="AP39" s="663">
        <f t="shared" ref="AP39:BR39" si="55">+AP11</f>
        <v>5.0000000000000266E-2</v>
      </c>
      <c r="AQ39" s="135"/>
      <c r="AR39" s="587">
        <v>0.05</v>
      </c>
      <c r="AS39" s="587">
        <v>0.05</v>
      </c>
      <c r="AT39" s="663">
        <f t="shared" si="55"/>
        <v>5.0000000000000044E-2</v>
      </c>
      <c r="AU39" s="135"/>
      <c r="AV39" s="587">
        <v>0.05</v>
      </c>
      <c r="AW39" s="587">
        <v>0.05</v>
      </c>
      <c r="AX39" s="663">
        <f t="shared" si="55"/>
        <v>5.0000000000000044E-2</v>
      </c>
      <c r="AY39" s="135"/>
      <c r="AZ39" s="587">
        <v>0.05</v>
      </c>
      <c r="BA39" s="587">
        <v>0.05</v>
      </c>
      <c r="BB39" s="663">
        <f t="shared" si="55"/>
        <v>5.0000000000000044E-2</v>
      </c>
      <c r="BC39" s="135"/>
      <c r="BD39" s="587">
        <v>0.05</v>
      </c>
      <c r="BE39" s="587">
        <v>0.05</v>
      </c>
      <c r="BF39" s="663">
        <f t="shared" si="55"/>
        <v>5.0000000000000044E-2</v>
      </c>
      <c r="BG39" s="135"/>
      <c r="BH39" s="587">
        <v>0.05</v>
      </c>
      <c r="BI39" s="587">
        <v>0.05</v>
      </c>
      <c r="BJ39" s="663">
        <f t="shared" si="55"/>
        <v>5.0000000000000044E-2</v>
      </c>
      <c r="BK39" s="135"/>
      <c r="BL39" s="587">
        <v>0.05</v>
      </c>
      <c r="BM39" s="587">
        <v>0.05</v>
      </c>
      <c r="BN39" s="663">
        <f t="shared" si="55"/>
        <v>5.0000000000000044E-2</v>
      </c>
      <c r="BO39" s="135"/>
      <c r="BP39" s="587">
        <v>0.05</v>
      </c>
      <c r="BQ39" s="587">
        <v>0.05</v>
      </c>
      <c r="BR39" s="663">
        <f t="shared" si="55"/>
        <v>0</v>
      </c>
      <c r="BS39" s="135"/>
    </row>
    <row r="40" spans="2:71">
      <c r="C40" s="128" t="s">
        <v>65</v>
      </c>
      <c r="T40" s="357"/>
      <c r="X40" s="357"/>
      <c r="AB40" s="357"/>
      <c r="AF40" s="357">
        <f>+AF39+2%</f>
        <v>0.08</v>
      </c>
      <c r="AG40" s="357">
        <f>+AG39+2%</f>
        <v>7.0000000000000007E-2</v>
      </c>
      <c r="AJ40" s="357">
        <f>+AJ39+2%</f>
        <v>7.0000000000000007E-2</v>
      </c>
      <c r="AK40" s="357">
        <f>+AK39+2%</f>
        <v>7.0000000000000007E-2</v>
      </c>
      <c r="AN40" s="357">
        <f>+AN39+2%</f>
        <v>7.0000000000000007E-2</v>
      </c>
      <c r="AO40" s="357">
        <f>+AO39+2%</f>
        <v>7.0000000000000007E-2</v>
      </c>
      <c r="AR40" s="357">
        <f>+AR39+2%</f>
        <v>7.0000000000000007E-2</v>
      </c>
      <c r="AS40" s="357">
        <f>+AS39+2%</f>
        <v>7.0000000000000007E-2</v>
      </c>
      <c r="AV40" s="357">
        <f>+AV39+2%</f>
        <v>7.0000000000000007E-2</v>
      </c>
      <c r="AW40" s="357">
        <f>+AW39+2%</f>
        <v>7.0000000000000007E-2</v>
      </c>
      <c r="AZ40" s="357">
        <f>+AZ39+2%</f>
        <v>7.0000000000000007E-2</v>
      </c>
      <c r="BA40" s="357">
        <f>+BA39+2%</f>
        <v>7.0000000000000007E-2</v>
      </c>
      <c r="BD40" s="357">
        <f>+BD39+2%</f>
        <v>7.0000000000000007E-2</v>
      </c>
      <c r="BE40" s="357">
        <f>+BE39+2%</f>
        <v>7.0000000000000007E-2</v>
      </c>
      <c r="BH40" s="357">
        <f>+BH39+2%</f>
        <v>7.0000000000000007E-2</v>
      </c>
      <c r="BI40" s="357">
        <f>+BI39+2%</f>
        <v>7.0000000000000007E-2</v>
      </c>
      <c r="BL40" s="357">
        <f>+BL39+2%</f>
        <v>7.0000000000000007E-2</v>
      </c>
      <c r="BM40" s="357">
        <f>+BM39+2%</f>
        <v>7.0000000000000007E-2</v>
      </c>
      <c r="BP40" s="357">
        <f>+BP39+2%</f>
        <v>7.0000000000000007E-2</v>
      </c>
      <c r="BQ40" s="357">
        <f>+BQ39+2%</f>
        <v>7.0000000000000007E-2</v>
      </c>
    </row>
    <row r="41" spans="2:71">
      <c r="C41" s="128" t="s">
        <v>66</v>
      </c>
      <c r="T41" s="357"/>
      <c r="X41" s="357"/>
      <c r="AB41" s="357"/>
      <c r="AF41" s="357">
        <f>+AF39-2%</f>
        <v>3.9999999999999994E-2</v>
      </c>
      <c r="AG41" s="357">
        <f>+AG39-2%</f>
        <v>3.0000000000000002E-2</v>
      </c>
      <c r="AJ41" s="357">
        <f>+AJ39-2%</f>
        <v>3.0000000000000002E-2</v>
      </c>
      <c r="AK41" s="357">
        <f>+AK39-2%</f>
        <v>3.0000000000000002E-2</v>
      </c>
      <c r="AN41" s="357">
        <f>+AN39-2%</f>
        <v>3.0000000000000002E-2</v>
      </c>
      <c r="AO41" s="357">
        <f>+AO39-2%</f>
        <v>3.0000000000000002E-2</v>
      </c>
      <c r="AR41" s="357">
        <f>+AR39-2%</f>
        <v>3.0000000000000002E-2</v>
      </c>
      <c r="AS41" s="357">
        <f>+AS39-2%</f>
        <v>3.0000000000000002E-2</v>
      </c>
      <c r="AV41" s="357">
        <f>+AV39-2%</f>
        <v>3.0000000000000002E-2</v>
      </c>
      <c r="AW41" s="357">
        <f>+AW39-2%</f>
        <v>3.0000000000000002E-2</v>
      </c>
      <c r="AZ41" s="357">
        <f>+AZ39-2%</f>
        <v>3.0000000000000002E-2</v>
      </c>
      <c r="BA41" s="357">
        <f>+BA39-2%</f>
        <v>3.0000000000000002E-2</v>
      </c>
      <c r="BD41" s="357">
        <f>+BD39-2%</f>
        <v>3.0000000000000002E-2</v>
      </c>
      <c r="BE41" s="357">
        <f>+BE39-2%</f>
        <v>3.0000000000000002E-2</v>
      </c>
      <c r="BH41" s="357">
        <f>+BH39-2%</f>
        <v>3.0000000000000002E-2</v>
      </c>
      <c r="BI41" s="357">
        <f>+BI39-2%</f>
        <v>3.0000000000000002E-2</v>
      </c>
      <c r="BL41" s="357">
        <f>+BL39-2%</f>
        <v>3.0000000000000002E-2</v>
      </c>
      <c r="BM41" s="357">
        <f>+BM39-2%</f>
        <v>3.0000000000000002E-2</v>
      </c>
      <c r="BP41" s="357">
        <f>+BP39-2%</f>
        <v>3.0000000000000002E-2</v>
      </c>
      <c r="BQ41" s="357">
        <f>+BQ39-2%</f>
        <v>3.0000000000000002E-2</v>
      </c>
    </row>
    <row r="42" spans="2:71">
      <c r="T42" s="357"/>
      <c r="X42" s="357"/>
      <c r="AB42" s="357"/>
      <c r="AF42" s="357"/>
      <c r="AG42" s="357"/>
      <c r="AJ42" s="357"/>
      <c r="AK42" s="357"/>
      <c r="AN42" s="357"/>
      <c r="AO42" s="357"/>
      <c r="AR42" s="357"/>
      <c r="AS42" s="357"/>
      <c r="AV42" s="357"/>
      <c r="AW42" s="357"/>
      <c r="AZ42" s="357"/>
      <c r="BA42" s="357"/>
      <c r="BD42" s="357"/>
      <c r="BE42" s="357"/>
      <c r="BH42" s="357"/>
      <c r="BI42" s="357"/>
      <c r="BL42" s="357"/>
      <c r="BM42" s="357"/>
      <c r="BP42" s="357"/>
      <c r="BQ42" s="357"/>
    </row>
    <row r="43" spans="2:71">
      <c r="B43" s="354" t="s">
        <v>603</v>
      </c>
      <c r="C43" s="354" t="s">
        <v>605</v>
      </c>
      <c r="P43" s="663">
        <f>'P&amp;L'!AB222</f>
        <v>6.5693430656934337E-2</v>
      </c>
      <c r="Q43" s="663">
        <f>'P&amp;L'!AC222</f>
        <v>6.4818953956191416E-2</v>
      </c>
      <c r="R43" s="663">
        <f>'P&amp;L'!AD222</f>
        <v>6.5237651444548073E-2</v>
      </c>
      <c r="T43" s="663">
        <f>'P&amp;L'!AF222</f>
        <v>0.14018264840182648</v>
      </c>
      <c r="U43" s="663">
        <f>'P&amp;L'!AG222</f>
        <v>0.13341729638958855</v>
      </c>
      <c r="V43" s="663">
        <f>'P&amp;L'!AH222</f>
        <v>0.13665791776028002</v>
      </c>
      <c r="W43" s="663"/>
      <c r="X43" s="663">
        <f>'P&amp;L'!AJ222</f>
        <v>0.10052062474969969</v>
      </c>
      <c r="Y43" s="663">
        <f>'P&amp;L'!AK222</f>
        <v>6.9964441810504541E-2</v>
      </c>
      <c r="Z43" s="663">
        <f>'P&amp;L'!AL222</f>
        <v>8.4646320812807652E-2</v>
      </c>
      <c r="AA43" s="663"/>
      <c r="AB43" s="663">
        <f>'P&amp;L'!AN222</f>
        <v>0.10116448326055316</v>
      </c>
      <c r="AC43" s="663">
        <f>'P&amp;L'!AO222</f>
        <v>6.7958140195036876E-2</v>
      </c>
      <c r="AD43" s="663">
        <f>'P&amp;L'!AP222</f>
        <v>8.4146901816491759E-2</v>
      </c>
      <c r="AE43" s="663"/>
      <c r="AF43" s="663">
        <f>'P&amp;L'!AR222</f>
        <v>3.9203063450099052E-2</v>
      </c>
      <c r="AG43" s="663">
        <f>'P&amp;L'!AS222</f>
        <v>3.276858681445094E-2</v>
      </c>
      <c r="AH43" s="663">
        <f>'P&amp;L'!AT222</f>
        <v>3.595476359394234E-2</v>
      </c>
      <c r="AI43" s="663"/>
      <c r="AJ43" s="663">
        <f>'P&amp;L'!AV222</f>
        <v>3.1412165671095726E-2</v>
      </c>
      <c r="AK43" s="663">
        <f>'P&amp;L'!AW222</f>
        <v>3.3238993610941625E-2</v>
      </c>
      <c r="AL43" s="663">
        <f>'P&amp;L'!AX222</f>
        <v>3.2331561984142665E-2</v>
      </c>
      <c r="AM43" s="663"/>
      <c r="AN43" s="663">
        <f>'P&amp;L'!AZ222</f>
        <v>3.1903098062716628E-2</v>
      </c>
      <c r="AO43" s="663">
        <f>'P&amp;L'!BA222</f>
        <v>3.3715500136002774E-2</v>
      </c>
      <c r="AP43" s="663">
        <f>'P&amp;L'!BB222</f>
        <v>3.281603598029581E-2</v>
      </c>
      <c r="AQ43" s="663"/>
      <c r="AR43" s="663">
        <f>'P&amp;L'!BD222</f>
        <v>3.2245404617789353E-2</v>
      </c>
      <c r="AS43" s="663">
        <f>'P&amp;L'!BE222</f>
        <v>3.4039999666637621E-2</v>
      </c>
      <c r="AT43" s="663">
        <f>'P&amp;L'!BF222</f>
        <v>3.3150160085148261E-2</v>
      </c>
      <c r="AU43" s="663"/>
      <c r="AV43" s="663">
        <f>'P&amp;L'!BH222</f>
        <v>3.2585410311578356E-2</v>
      </c>
      <c r="AW43" s="663">
        <f>'P&amp;L'!BI222</f>
        <v>3.4361566163092938E-2</v>
      </c>
      <c r="AX43" s="663">
        <f>'P&amp;L'!BJ222</f>
        <v>3.3481640799093215E-2</v>
      </c>
      <c r="AY43" s="663"/>
      <c r="AZ43" s="663">
        <f>'P&amp;L'!BL222</f>
        <v>3.2922965724368369E-2</v>
      </c>
      <c r="BA43" s="663">
        <f>'P&amp;L'!BM222</f>
        <v>3.4680078607501441E-2</v>
      </c>
      <c r="BB43" s="663">
        <f>'P&amp;L'!BN222</f>
        <v>3.3810342206407329E-2</v>
      </c>
      <c r="BC43" s="663"/>
      <c r="BD43" s="663">
        <f>'P&amp;L'!BP222</f>
        <v>3.3257925794136778E-2</v>
      </c>
      <c r="BE43" s="663">
        <f>'P&amp;L'!BQ222</f>
        <v>3.4995421170960439E-2</v>
      </c>
      <c r="BF43" s="663">
        <f>'P&amp;L'!BR222</f>
        <v>3.413613325846887E-2</v>
      </c>
      <c r="BG43" s="663"/>
      <c r="BH43" s="663">
        <f>'P&amp;L'!BT222</f>
        <v>3.3590150075613723E-2</v>
      </c>
      <c r="BI43" s="663">
        <f>'P&amp;L'!BU222</f>
        <v>3.5307483363386627E-2</v>
      </c>
      <c r="BJ43" s="663">
        <f>'P&amp;L'!BV222</f>
        <v>3.4458887978475961E-2</v>
      </c>
      <c r="BK43" s="663"/>
      <c r="BL43" s="663">
        <f>'P&amp;L'!BX222</f>
        <v>3.3919502979807614E-2</v>
      </c>
      <c r="BM43" s="663">
        <f>'P&amp;L'!BY222</f>
        <v>3.5616160162995181E-2</v>
      </c>
      <c r="BN43" s="663">
        <f>'P&amp;L'!BZ222</f>
        <v>3.4778485645661883E-2</v>
      </c>
      <c r="BO43" s="663"/>
      <c r="BP43" s="663">
        <f>'P&amp;L'!CB222</f>
        <v>0</v>
      </c>
      <c r="BQ43" s="663">
        <f>'P&amp;L'!CC222</f>
        <v>0</v>
      </c>
      <c r="BR43" s="663">
        <f>'P&amp;L'!CD222</f>
        <v>0</v>
      </c>
    </row>
    <row r="44" spans="2:71">
      <c r="B44" s="354"/>
      <c r="C44" s="354"/>
      <c r="T44" s="663"/>
      <c r="W44" s="663"/>
      <c r="X44" s="663"/>
      <c r="AA44" s="663"/>
      <c r="AB44" s="663"/>
      <c r="AE44" s="663"/>
      <c r="AF44" s="663"/>
      <c r="AG44" s="663"/>
      <c r="AH44" s="663"/>
      <c r="AI44" s="663"/>
      <c r="AJ44" s="663"/>
      <c r="AK44" s="663"/>
      <c r="AL44" s="663"/>
      <c r="AM44" s="663"/>
      <c r="AN44" s="663"/>
      <c r="AO44" s="663"/>
      <c r="AP44" s="663"/>
      <c r="AQ44" s="663"/>
      <c r="AR44" s="663"/>
      <c r="AS44" s="663"/>
      <c r="AT44" s="663"/>
      <c r="AU44" s="663"/>
      <c r="AV44" s="663"/>
      <c r="AW44" s="663"/>
      <c r="AX44" s="663"/>
      <c r="AY44" s="663"/>
      <c r="AZ44" s="663"/>
      <c r="BA44" s="663"/>
      <c r="BB44" s="663"/>
      <c r="BC44" s="663"/>
      <c r="BD44" s="663"/>
      <c r="BE44" s="663"/>
      <c r="BF44" s="663"/>
      <c r="BG44" s="663"/>
      <c r="BH44" s="663"/>
      <c r="BI44" s="663"/>
      <c r="BJ44" s="663"/>
      <c r="BK44" s="663"/>
      <c r="BL44" s="663"/>
      <c r="BM44" s="663"/>
      <c r="BN44" s="663"/>
      <c r="BO44" s="663"/>
      <c r="BP44" s="663"/>
      <c r="BQ44" s="663"/>
      <c r="BR44" s="663"/>
    </row>
    <row r="45" spans="2:71" s="354" customFormat="1">
      <c r="B45" s="151" t="str">
        <f>+$B$12</f>
        <v>Underlying EBITA margin %</v>
      </c>
      <c r="C45" s="151" t="s">
        <v>64</v>
      </c>
      <c r="D45" s="663">
        <f t="shared" ref="D45:F45" si="56">+D12</f>
        <v>0.2553191489361703</v>
      </c>
      <c r="E45" s="663">
        <f t="shared" si="56"/>
        <v>0.30215449290593799</v>
      </c>
      <c r="F45" s="663">
        <f t="shared" si="56"/>
        <v>0.27887919640496961</v>
      </c>
      <c r="G45" s="151"/>
      <c r="H45" s="663">
        <f t="shared" ref="H45:J45" si="57">+H12</f>
        <v>0.2553191489361703</v>
      </c>
      <c r="I45" s="663">
        <f t="shared" si="57"/>
        <v>0.30884485258579014</v>
      </c>
      <c r="J45" s="663">
        <f t="shared" si="57"/>
        <v>0.28336287667763987</v>
      </c>
      <c r="K45" s="151"/>
      <c r="L45" s="663">
        <f t="shared" ref="L45:N45" si="58">+L12</f>
        <v>0.32112408759124095</v>
      </c>
      <c r="M45" s="663">
        <f t="shared" si="58"/>
        <v>0.31671434957532396</v>
      </c>
      <c r="N45" s="663">
        <f t="shared" si="58"/>
        <v>0.31882572227399808</v>
      </c>
      <c r="O45" s="151"/>
      <c r="P45" s="663">
        <f t="shared" ref="P45:R45" si="59">+P12</f>
        <v>0.31141552511415521</v>
      </c>
      <c r="Q45" s="663">
        <f t="shared" si="59"/>
        <v>0.36104114189756509</v>
      </c>
      <c r="R45" s="663">
        <f t="shared" si="59"/>
        <v>0.33727034120734906</v>
      </c>
      <c r="S45" s="151"/>
      <c r="T45" s="663">
        <f>+T12</f>
        <v>0.35162194633560273</v>
      </c>
      <c r="U45" s="663">
        <f t="shared" ref="U45:V45" si="60">+U12</f>
        <v>0.34996296021927548</v>
      </c>
      <c r="V45" s="663">
        <f t="shared" si="60"/>
        <v>0.35076008312807894</v>
      </c>
      <c r="W45" s="135"/>
      <c r="X45" s="663">
        <f>+X12</f>
        <v>0.36935953420669576</v>
      </c>
      <c r="Y45" s="663">
        <f t="shared" ref="Y45:Z45" si="61">+Y12</f>
        <v>0.36670601552953075</v>
      </c>
      <c r="Z45" s="663">
        <f t="shared" si="61"/>
        <v>0.36799965937456203</v>
      </c>
      <c r="AA45" s="135"/>
      <c r="AB45" s="663">
        <f>+AB12</f>
        <v>0.37640449438202256</v>
      </c>
      <c r="AC45" s="663">
        <f t="shared" ref="AC45:AD45" si="62">+AC12</f>
        <v>0.37957860615883304</v>
      </c>
      <c r="AD45" s="663">
        <f t="shared" si="62"/>
        <v>0.37800687285223367</v>
      </c>
      <c r="AE45" s="135"/>
      <c r="AF45" s="587">
        <v>0.375</v>
      </c>
      <c r="AG45" s="587">
        <v>0.38750000000000001</v>
      </c>
      <c r="AH45" s="663">
        <f t="shared" ref="AH45:BR45" si="63">+AH12</f>
        <v>0.38129093395301228</v>
      </c>
      <c r="AI45" s="135"/>
      <c r="AJ45" s="587">
        <v>0.38</v>
      </c>
      <c r="AK45" s="587">
        <v>0.39250000000000002</v>
      </c>
      <c r="AL45" s="663">
        <f t="shared" si="63"/>
        <v>0.38629646375820403</v>
      </c>
      <c r="AM45" s="135"/>
      <c r="AN45" s="587">
        <v>0.38500000000000001</v>
      </c>
      <c r="AO45" s="587">
        <v>0.39800000000000002</v>
      </c>
      <c r="AP45" s="663">
        <f t="shared" si="63"/>
        <v>0.3915540251452343</v>
      </c>
      <c r="AQ45" s="135"/>
      <c r="AR45" s="587">
        <v>0.38500000000000001</v>
      </c>
      <c r="AS45" s="587">
        <v>0.39800000000000002</v>
      </c>
      <c r="AT45" s="663">
        <f t="shared" si="63"/>
        <v>0.39155967004683495</v>
      </c>
      <c r="AU45" s="135"/>
      <c r="AV45" s="587">
        <v>0.38500000000000001</v>
      </c>
      <c r="AW45" s="587">
        <v>0.39800000000000002</v>
      </c>
      <c r="AX45" s="663">
        <f t="shared" si="63"/>
        <v>0.39156525507111195</v>
      </c>
      <c r="AY45" s="135"/>
      <c r="AZ45" s="587">
        <v>0.38500000000000001</v>
      </c>
      <c r="BA45" s="587">
        <v>0.39800000000000002</v>
      </c>
      <c r="BB45" s="663">
        <f t="shared" si="63"/>
        <v>0.39157077836787596</v>
      </c>
      <c r="BC45" s="135"/>
      <c r="BD45" s="587">
        <v>0.38500000000000001</v>
      </c>
      <c r="BE45" s="587">
        <v>0.39800000000000002</v>
      </c>
      <c r="BF45" s="663">
        <f t="shared" si="63"/>
        <v>0.39157623818138182</v>
      </c>
      <c r="BG45" s="135"/>
      <c r="BH45" s="587">
        <v>0.38500000000000001</v>
      </c>
      <c r="BI45" s="587">
        <v>0.39800000000000002</v>
      </c>
      <c r="BJ45" s="663">
        <f t="shared" si="63"/>
        <v>0.39158163285238873</v>
      </c>
      <c r="BK45" s="135"/>
      <c r="BL45" s="587">
        <v>0.38500000000000001</v>
      </c>
      <c r="BM45" s="587">
        <v>0.39800000000000002</v>
      </c>
      <c r="BN45" s="663">
        <f t="shared" si="63"/>
        <v>0.39158696081987099</v>
      </c>
      <c r="BO45" s="135"/>
      <c r="BP45" s="587">
        <v>0.38500000000000001</v>
      </c>
      <c r="BQ45" s="587">
        <v>0.39800000000000002</v>
      </c>
      <c r="BR45" s="663">
        <f t="shared" si="63"/>
        <v>0</v>
      </c>
      <c r="BS45" s="135"/>
    </row>
    <row r="46" spans="2:71">
      <c r="C46" s="128" t="s">
        <v>65</v>
      </c>
      <c r="T46" s="357"/>
      <c r="X46" s="357"/>
      <c r="AB46" s="357"/>
      <c r="AF46" s="357">
        <f t="shared" ref="AF46:AG46" si="64">+AF45+2%</f>
        <v>0.39500000000000002</v>
      </c>
      <c r="AG46" s="357">
        <f t="shared" si="64"/>
        <v>0.40750000000000003</v>
      </c>
      <c r="AJ46" s="357">
        <f t="shared" ref="AJ46:AK46" si="65">+AJ45+2%</f>
        <v>0.4</v>
      </c>
      <c r="AK46" s="357">
        <f t="shared" si="65"/>
        <v>0.41250000000000003</v>
      </c>
      <c r="AN46" s="357">
        <f t="shared" ref="AN46:AO46" si="66">+AN45+2%</f>
        <v>0.40500000000000003</v>
      </c>
      <c r="AO46" s="357">
        <f t="shared" si="66"/>
        <v>0.41800000000000004</v>
      </c>
      <c r="AR46" s="357">
        <f t="shared" ref="AR46:AS46" si="67">+AR45+2%</f>
        <v>0.40500000000000003</v>
      </c>
      <c r="AS46" s="357">
        <f t="shared" si="67"/>
        <v>0.41800000000000004</v>
      </c>
      <c r="AV46" s="357">
        <f t="shared" ref="AV46:AW46" si="68">+AV45+2%</f>
        <v>0.40500000000000003</v>
      </c>
      <c r="AW46" s="357">
        <f t="shared" si="68"/>
        <v>0.41800000000000004</v>
      </c>
      <c r="AZ46" s="357">
        <f t="shared" ref="AZ46:BA46" si="69">+AZ45+2%</f>
        <v>0.40500000000000003</v>
      </c>
      <c r="BA46" s="357">
        <f t="shared" si="69"/>
        <v>0.41800000000000004</v>
      </c>
      <c r="BD46" s="357">
        <f t="shared" ref="BD46:BE46" si="70">+BD45+2%</f>
        <v>0.40500000000000003</v>
      </c>
      <c r="BE46" s="357">
        <f t="shared" si="70"/>
        <v>0.41800000000000004</v>
      </c>
      <c r="BH46" s="357">
        <f t="shared" ref="BH46:BI46" si="71">+BH45+2%</f>
        <v>0.40500000000000003</v>
      </c>
      <c r="BI46" s="357">
        <f t="shared" si="71"/>
        <v>0.41800000000000004</v>
      </c>
      <c r="BL46" s="357">
        <f t="shared" ref="BL46:BM46" si="72">+BL45+2%</f>
        <v>0.40500000000000003</v>
      </c>
      <c r="BM46" s="357">
        <f t="shared" si="72"/>
        <v>0.41800000000000004</v>
      </c>
      <c r="BP46" s="357">
        <f t="shared" ref="BP46:BQ46" si="73">+BP45+2%</f>
        <v>0.40500000000000003</v>
      </c>
      <c r="BQ46" s="357">
        <f t="shared" si="73"/>
        <v>0.41800000000000004</v>
      </c>
    </row>
    <row r="47" spans="2:71">
      <c r="C47" s="128" t="s">
        <v>66</v>
      </c>
      <c r="T47" s="357"/>
      <c r="X47" s="357"/>
      <c r="AB47" s="357"/>
      <c r="AF47" s="357">
        <f>+AF45-2%</f>
        <v>0.35499999999999998</v>
      </c>
      <c r="AG47" s="357">
        <f>+AG45-2%</f>
        <v>0.36749999999999999</v>
      </c>
      <c r="AJ47" s="357">
        <f>+AJ45-2%</f>
        <v>0.36</v>
      </c>
      <c r="AK47" s="357">
        <f>+AK45-2%</f>
        <v>0.3725</v>
      </c>
      <c r="AN47" s="357">
        <f>+AN45-2%</f>
        <v>0.36499999999999999</v>
      </c>
      <c r="AO47" s="357">
        <f>+AO45-2%</f>
        <v>0.378</v>
      </c>
      <c r="AR47" s="357">
        <f>+AR45-2%</f>
        <v>0.36499999999999999</v>
      </c>
      <c r="AS47" s="357">
        <f>+AS45-2%</f>
        <v>0.378</v>
      </c>
      <c r="AV47" s="357">
        <f>+AV45-2%</f>
        <v>0.36499999999999999</v>
      </c>
      <c r="AW47" s="357">
        <f>+AW45-2%</f>
        <v>0.378</v>
      </c>
      <c r="AZ47" s="357">
        <f>+AZ45-2%</f>
        <v>0.36499999999999999</v>
      </c>
      <c r="BA47" s="357">
        <f>+BA45-2%</f>
        <v>0.378</v>
      </c>
      <c r="BD47" s="357">
        <f>+BD45-2%</f>
        <v>0.36499999999999999</v>
      </c>
      <c r="BE47" s="357">
        <f>+BE45-2%</f>
        <v>0.378</v>
      </c>
      <c r="BH47" s="357">
        <f>+BH45-2%</f>
        <v>0.36499999999999999</v>
      </c>
      <c r="BI47" s="357">
        <f>+BI45-2%</f>
        <v>0.378</v>
      </c>
      <c r="BL47" s="357">
        <f>+BL45-2%</f>
        <v>0.36499999999999999</v>
      </c>
      <c r="BM47" s="357">
        <f>+BM45-2%</f>
        <v>0.378</v>
      </c>
      <c r="BP47" s="357">
        <f>+BP45-2%</f>
        <v>0.36499999999999999</v>
      </c>
      <c r="BQ47" s="357">
        <f>+BQ45-2%</f>
        <v>0.378</v>
      </c>
    </row>
    <row r="48" spans="2:71">
      <c r="T48" s="357"/>
      <c r="X48" s="357"/>
      <c r="AB48" s="357"/>
      <c r="AF48" s="357"/>
      <c r="AG48" s="357"/>
      <c r="AJ48" s="357"/>
      <c r="AK48" s="357"/>
      <c r="AN48" s="357"/>
      <c r="AO48" s="357"/>
      <c r="AR48" s="357"/>
      <c r="AS48" s="357"/>
      <c r="AV48" s="357"/>
      <c r="AW48" s="357"/>
      <c r="AZ48" s="357"/>
      <c r="BA48" s="357"/>
      <c r="BD48" s="357"/>
      <c r="BE48" s="357"/>
      <c r="BH48" s="357"/>
      <c r="BI48" s="357"/>
      <c r="BL48" s="357"/>
      <c r="BM48" s="357"/>
      <c r="BP48" s="357"/>
      <c r="BQ48" s="357"/>
    </row>
    <row r="49" spans="2:71" s="354" customFormat="1">
      <c r="B49" s="151" t="str">
        <f>+$B$13</f>
        <v>Profit share %</v>
      </c>
      <c r="C49" s="151" t="s">
        <v>64</v>
      </c>
      <c r="D49" s="663">
        <f t="shared" ref="D49:F49" si="74">+D13</f>
        <v>0.54788418708240538</v>
      </c>
      <c r="E49" s="663">
        <f t="shared" si="74"/>
        <v>0.52857142857142858</v>
      </c>
      <c r="F49" s="663">
        <f t="shared" si="74"/>
        <v>0.53716551040634286</v>
      </c>
      <c r="G49" s="151"/>
      <c r="H49" s="663">
        <f t="shared" ref="H49:J49" si="75">+H13</f>
        <v>0.54788418708240538</v>
      </c>
      <c r="I49" s="663">
        <f t="shared" si="75"/>
        <v>0.54848966613672501</v>
      </c>
      <c r="J49" s="663">
        <f t="shared" si="75"/>
        <v>0.54823747680890544</v>
      </c>
      <c r="K49" s="151"/>
      <c r="L49" s="663">
        <f t="shared" ref="L49:N49" si="76">+L13</f>
        <v>0.54347826086956519</v>
      </c>
      <c r="M49" s="663">
        <f t="shared" si="76"/>
        <v>0.53237410071942448</v>
      </c>
      <c r="N49" s="663">
        <f t="shared" si="76"/>
        <v>0.53771471247199398</v>
      </c>
      <c r="O49" s="151"/>
      <c r="P49" s="663">
        <f t="shared" ref="P49:R49" si="77">+P13</f>
        <v>0.57164179104477608</v>
      </c>
      <c r="Q49" s="663">
        <f t="shared" si="77"/>
        <v>0.56434474616292807</v>
      </c>
      <c r="R49" s="663">
        <f t="shared" si="77"/>
        <v>0.56756756756756754</v>
      </c>
      <c r="S49" s="151"/>
      <c r="T49" s="663">
        <f>+T13</f>
        <v>0.58023255813953489</v>
      </c>
      <c r="U49" s="663">
        <f t="shared" ref="U49:V49" si="78">+U13</f>
        <v>0.5993449781659389</v>
      </c>
      <c r="V49" s="663">
        <f t="shared" si="78"/>
        <v>0.59009009009009006</v>
      </c>
      <c r="W49" s="135"/>
      <c r="X49" s="663">
        <f>+X13</f>
        <v>0.60183299389002032</v>
      </c>
      <c r="Y49" s="663">
        <f t="shared" ref="Y49:Z49" si="79">+Y13</f>
        <v>0.59941081160701126</v>
      </c>
      <c r="Z49" s="663">
        <f t="shared" si="79"/>
        <v>0.60059989501837174</v>
      </c>
      <c r="AA49" s="135"/>
      <c r="AB49" s="663">
        <f>+AB13</f>
        <v>0.60237659963436929</v>
      </c>
      <c r="AC49" s="663">
        <f t="shared" ref="AC49:AD49" si="80">+AC13</f>
        <v>0.61681415929203531</v>
      </c>
      <c r="AD49" s="663">
        <f t="shared" si="80"/>
        <v>0.60971223021582732</v>
      </c>
      <c r="AE49" s="135"/>
      <c r="AF49" s="587">
        <v>0.6</v>
      </c>
      <c r="AG49" s="587">
        <v>0.6</v>
      </c>
      <c r="AH49" s="663">
        <f t="shared" ref="AH49" si="81">+AH13</f>
        <v>0.59999999999999987</v>
      </c>
      <c r="AI49" s="135"/>
      <c r="AJ49" s="587">
        <v>0.6</v>
      </c>
      <c r="AK49" s="587">
        <v>0.6</v>
      </c>
      <c r="AL49" s="663">
        <f t="shared" ref="AL49" si="82">+AL13</f>
        <v>0.6</v>
      </c>
      <c r="AM49" s="135"/>
      <c r="AN49" s="587">
        <v>0.6</v>
      </c>
      <c r="AO49" s="587">
        <v>0.6</v>
      </c>
      <c r="AP49" s="663">
        <f t="shared" ref="AP49" si="83">+AP13</f>
        <v>0.6</v>
      </c>
      <c r="AQ49" s="135"/>
      <c r="AR49" s="587">
        <v>0.6</v>
      </c>
      <c r="AS49" s="587">
        <v>0.6</v>
      </c>
      <c r="AT49" s="663">
        <f t="shared" ref="AT49" si="84">+AT13</f>
        <v>0.6</v>
      </c>
      <c r="AU49" s="135"/>
      <c r="AV49" s="587">
        <v>0.6</v>
      </c>
      <c r="AW49" s="587">
        <v>0.6</v>
      </c>
      <c r="AX49" s="663">
        <f t="shared" ref="AX49" si="85">+AX13</f>
        <v>0.6</v>
      </c>
      <c r="AY49" s="135"/>
      <c r="AZ49" s="587">
        <v>0.6</v>
      </c>
      <c r="BA49" s="587">
        <v>0.6</v>
      </c>
      <c r="BB49" s="663">
        <f t="shared" ref="BB49" si="86">+BB13</f>
        <v>0.60000000000000009</v>
      </c>
      <c r="BC49" s="135"/>
      <c r="BD49" s="587">
        <v>0.6</v>
      </c>
      <c r="BE49" s="587">
        <v>0.6</v>
      </c>
      <c r="BF49" s="663">
        <f t="shared" ref="BF49" si="87">+BF13</f>
        <v>0.6</v>
      </c>
      <c r="BG49" s="135"/>
      <c r="BH49" s="587">
        <v>0.6</v>
      </c>
      <c r="BI49" s="587">
        <v>0.6</v>
      </c>
      <c r="BJ49" s="663">
        <f t="shared" ref="BJ49" si="88">+BJ13</f>
        <v>0.59999999999999987</v>
      </c>
      <c r="BK49" s="135"/>
      <c r="BL49" s="587">
        <v>0.6</v>
      </c>
      <c r="BM49" s="587">
        <v>0.6</v>
      </c>
      <c r="BN49" s="663">
        <f t="shared" ref="BN49" si="89">+BN13</f>
        <v>0.6</v>
      </c>
      <c r="BO49" s="135"/>
      <c r="BP49" s="587">
        <v>0.6</v>
      </c>
      <c r="BQ49" s="587">
        <v>0.6</v>
      </c>
      <c r="BR49" s="663">
        <f t="shared" ref="BR49" si="90">+BR13</f>
        <v>0</v>
      </c>
    </row>
    <row r="50" spans="2:71">
      <c r="C50" s="128" t="s">
        <v>65</v>
      </c>
      <c r="T50" s="357"/>
      <c r="X50" s="357"/>
      <c r="AB50" s="357"/>
      <c r="AF50" s="357">
        <f>+AF49+2%</f>
        <v>0.62</v>
      </c>
      <c r="AG50" s="357">
        <f>+AG49+2%</f>
        <v>0.62</v>
      </c>
      <c r="AJ50" s="357">
        <f>+AJ49+2%</f>
        <v>0.62</v>
      </c>
      <c r="AK50" s="357">
        <f>+AK49+2%</f>
        <v>0.62</v>
      </c>
      <c r="AN50" s="357">
        <f>+AN49+2%</f>
        <v>0.62</v>
      </c>
      <c r="AO50" s="357">
        <f>+AO49+2%</f>
        <v>0.62</v>
      </c>
      <c r="AR50" s="357">
        <f>+AR49+2%</f>
        <v>0.62</v>
      </c>
      <c r="AS50" s="357">
        <f>+AS49+2%</f>
        <v>0.62</v>
      </c>
      <c r="AV50" s="357">
        <f>+AV49+2%</f>
        <v>0.62</v>
      </c>
      <c r="AW50" s="357">
        <f>+AW49+2%</f>
        <v>0.62</v>
      </c>
      <c r="AZ50" s="357">
        <f>+AZ49+2%</f>
        <v>0.62</v>
      </c>
      <c r="BA50" s="357">
        <f>+BA49+2%</f>
        <v>0.62</v>
      </c>
      <c r="BD50" s="357">
        <f>+BD49+2%</f>
        <v>0.62</v>
      </c>
      <c r="BE50" s="357">
        <f>+BE49+2%</f>
        <v>0.62</v>
      </c>
      <c r="BH50" s="357">
        <f>+BH49+2%</f>
        <v>0.62</v>
      </c>
      <c r="BI50" s="357">
        <f>+BI49+2%</f>
        <v>0.62</v>
      </c>
      <c r="BL50" s="357">
        <f>+BL49+2%</f>
        <v>0.62</v>
      </c>
      <c r="BM50" s="357">
        <f>+BM49+2%</f>
        <v>0.62</v>
      </c>
      <c r="BP50" s="357">
        <f>+BP49+2%</f>
        <v>0.62</v>
      </c>
      <c r="BQ50" s="357">
        <f>+BQ49+2%</f>
        <v>0.62</v>
      </c>
    </row>
    <row r="51" spans="2:71">
      <c r="C51" s="128" t="s">
        <v>66</v>
      </c>
      <c r="T51" s="357"/>
      <c r="X51" s="357"/>
      <c r="AB51" s="357"/>
      <c r="AF51" s="357">
        <f>+AF49-2%</f>
        <v>0.57999999999999996</v>
      </c>
      <c r="AG51" s="357">
        <f>+AG49-2%</f>
        <v>0.57999999999999996</v>
      </c>
      <c r="AJ51" s="357">
        <f>+AJ49-2%</f>
        <v>0.57999999999999996</v>
      </c>
      <c r="AK51" s="357">
        <f>+AK49-2%</f>
        <v>0.57999999999999996</v>
      </c>
      <c r="AN51" s="357">
        <f>+AN49-2%</f>
        <v>0.57999999999999996</v>
      </c>
      <c r="AO51" s="357">
        <f>+AO49-2%</f>
        <v>0.57999999999999996</v>
      </c>
      <c r="AR51" s="357">
        <f>+AR49-2%</f>
        <v>0.57999999999999996</v>
      </c>
      <c r="AS51" s="357">
        <f>+AS49-2%</f>
        <v>0.57999999999999996</v>
      </c>
      <c r="AV51" s="357">
        <f>+AV49-2%</f>
        <v>0.57999999999999996</v>
      </c>
      <c r="AW51" s="357">
        <f>+AW49-2%</f>
        <v>0.57999999999999996</v>
      </c>
      <c r="AZ51" s="357">
        <f>+AZ49-2%</f>
        <v>0.57999999999999996</v>
      </c>
      <c r="BA51" s="357">
        <f>+BA49-2%</f>
        <v>0.57999999999999996</v>
      </c>
      <c r="BD51" s="357">
        <f>+BD49-2%</f>
        <v>0.57999999999999996</v>
      </c>
      <c r="BE51" s="357">
        <f>+BE49-2%</f>
        <v>0.57999999999999996</v>
      </c>
      <c r="BH51" s="357">
        <f>+BH49-2%</f>
        <v>0.57999999999999996</v>
      </c>
      <c r="BI51" s="357">
        <f>+BI49-2%</f>
        <v>0.57999999999999996</v>
      </c>
      <c r="BL51" s="357">
        <f>+BL49-2%</f>
        <v>0.57999999999999996</v>
      </c>
      <c r="BM51" s="357">
        <f>+BM49-2%</f>
        <v>0.57999999999999996</v>
      </c>
      <c r="BP51" s="357">
        <f>+BP49-2%</f>
        <v>0.57999999999999996</v>
      </c>
      <c r="BQ51" s="357">
        <f>+BQ49-2%</f>
        <v>0.57999999999999996</v>
      </c>
    </row>
    <row r="52" spans="2:71">
      <c r="T52" s="357"/>
      <c r="X52" s="357"/>
      <c r="AB52" s="357"/>
      <c r="AF52" s="357"/>
      <c r="AG52" s="357"/>
      <c r="AJ52" s="357"/>
      <c r="AK52" s="357"/>
      <c r="AN52" s="357"/>
      <c r="AO52" s="357"/>
      <c r="AR52" s="357"/>
      <c r="AS52" s="357"/>
      <c r="AV52" s="357"/>
      <c r="AW52" s="357"/>
      <c r="AZ52" s="357"/>
      <c r="BA52" s="357"/>
      <c r="BD52" s="357"/>
      <c r="BE52" s="357"/>
      <c r="BH52" s="357"/>
      <c r="BI52" s="357"/>
      <c r="BL52" s="357"/>
      <c r="BM52" s="357"/>
      <c r="BP52" s="357"/>
      <c r="BQ52" s="357"/>
    </row>
    <row r="53" spans="2:71">
      <c r="B53" s="588" t="s">
        <v>183</v>
      </c>
      <c r="C53" s="590"/>
      <c r="D53" s="590"/>
      <c r="E53" s="590"/>
      <c r="F53" s="590"/>
      <c r="G53" s="590"/>
      <c r="H53" s="590"/>
      <c r="I53" s="590"/>
      <c r="J53" s="590"/>
      <c r="K53" s="590"/>
      <c r="L53" s="590"/>
      <c r="M53" s="590"/>
      <c r="N53" s="590"/>
      <c r="O53" s="590"/>
      <c r="P53" s="590"/>
      <c r="Q53" s="590"/>
      <c r="R53" s="590"/>
      <c r="S53" s="590"/>
      <c r="T53" s="590"/>
      <c r="U53" s="590"/>
      <c r="V53" s="590"/>
      <c r="W53" s="590"/>
      <c r="X53" s="590"/>
      <c r="Y53" s="590"/>
      <c r="Z53" s="590"/>
      <c r="AA53" s="590"/>
      <c r="AB53" s="590"/>
      <c r="AC53" s="590"/>
      <c r="AD53" s="590"/>
      <c r="AE53" s="590"/>
      <c r="AF53" s="590"/>
      <c r="AG53" s="590"/>
      <c r="AH53" s="590"/>
      <c r="AI53" s="590"/>
      <c r="AJ53" s="590"/>
      <c r="AK53" s="590"/>
      <c r="AL53" s="590"/>
      <c r="AM53" s="590"/>
      <c r="AN53" s="590"/>
      <c r="AO53" s="590"/>
      <c r="AP53" s="590"/>
      <c r="AQ53" s="590"/>
      <c r="AR53" s="590"/>
      <c r="AS53" s="590"/>
      <c r="AT53" s="590"/>
      <c r="AU53" s="590"/>
      <c r="AV53" s="590"/>
      <c r="AW53" s="590"/>
      <c r="AX53" s="590"/>
      <c r="AY53" s="590"/>
      <c r="AZ53" s="590"/>
      <c r="BA53" s="590"/>
      <c r="BB53" s="590"/>
      <c r="BC53" s="590"/>
      <c r="BD53" s="590"/>
      <c r="BE53" s="590"/>
      <c r="BF53" s="590"/>
      <c r="BG53" s="590"/>
      <c r="BH53" s="590"/>
      <c r="BI53" s="590"/>
      <c r="BJ53" s="590"/>
      <c r="BK53" s="590"/>
      <c r="BL53" s="590"/>
      <c r="BM53" s="590"/>
      <c r="BN53" s="590"/>
      <c r="BO53" s="590"/>
      <c r="BP53" s="590"/>
      <c r="BQ53" s="590"/>
      <c r="BR53" s="590"/>
    </row>
    <row r="54" spans="2:71" s="354" customFormat="1">
      <c r="B54" s="151" t="str">
        <f>+B16</f>
        <v>Commission and fee income growth %</v>
      </c>
      <c r="C54" s="151" t="s">
        <v>64</v>
      </c>
      <c r="D54" s="663">
        <f t="shared" ref="D54:F54" si="91">+D16</f>
        <v>0</v>
      </c>
      <c r="E54" s="663">
        <f t="shared" si="91"/>
        <v>0</v>
      </c>
      <c r="F54" s="663">
        <f t="shared" si="91"/>
        <v>0</v>
      </c>
      <c r="G54" s="151"/>
      <c r="H54" s="663">
        <f t="shared" ref="H54:J54" si="92">+H16</f>
        <v>0</v>
      </c>
      <c r="I54" s="663">
        <f t="shared" si="92"/>
        <v>0</v>
      </c>
      <c r="J54" s="663">
        <f t="shared" si="92"/>
        <v>0</v>
      </c>
      <c r="K54" s="151"/>
      <c r="L54" s="663">
        <f t="shared" ref="L54:N54" si="93">+L16</f>
        <v>0</v>
      </c>
      <c r="M54" s="663">
        <f t="shared" si="93"/>
        <v>0.57142857142857162</v>
      </c>
      <c r="N54" s="663">
        <f t="shared" si="93"/>
        <v>1.9948979591836733</v>
      </c>
      <c r="O54" s="151"/>
      <c r="P54" s="663">
        <f t="shared" ref="P54:R54" si="94">+P16</f>
        <v>0.19354838709677424</v>
      </c>
      <c r="Q54" s="663">
        <f t="shared" si="94"/>
        <v>0.18279220779220795</v>
      </c>
      <c r="R54" s="663">
        <f t="shared" si="94"/>
        <v>0.18790459965928452</v>
      </c>
      <c r="S54" s="151"/>
      <c r="T54" s="663">
        <f>+T16</f>
        <v>0.12912912912912922</v>
      </c>
      <c r="U54" s="663">
        <f t="shared" ref="U54:V54" si="95">+U16</f>
        <v>0.16522097172659889</v>
      </c>
      <c r="V54" s="663">
        <f t="shared" si="95"/>
        <v>0.14798508532912669</v>
      </c>
      <c r="W54" s="135"/>
      <c r="X54" s="663">
        <f>+X16</f>
        <v>0.14627659574468077</v>
      </c>
      <c r="Y54" s="663">
        <f t="shared" ref="Y54:Z54" si="96">+Y16</f>
        <v>0.1524417536337721</v>
      </c>
      <c r="Z54" s="663">
        <f t="shared" si="96"/>
        <v>0.14954590313433003</v>
      </c>
      <c r="AA54" s="135"/>
      <c r="AB54" s="663">
        <f>+AB16</f>
        <v>0.16473317865429227</v>
      </c>
      <c r="AC54" s="663">
        <f t="shared" ref="AC54:AD54" si="97">+AC16</f>
        <v>0.1365494685200328</v>
      </c>
      <c r="AD54" s="663">
        <f t="shared" si="97"/>
        <v>0.14975005433601396</v>
      </c>
      <c r="AE54" s="135"/>
      <c r="AF54" s="587">
        <v>0.1</v>
      </c>
      <c r="AG54" s="587">
        <v>0.1</v>
      </c>
      <c r="AH54" s="663">
        <f>+AH16</f>
        <v>0.10000000000000009</v>
      </c>
      <c r="AI54" s="135"/>
      <c r="AJ54" s="587">
        <v>0.1</v>
      </c>
      <c r="AK54" s="587">
        <v>0.1</v>
      </c>
      <c r="AL54" s="663">
        <f t="shared" ref="AL54" si="98">+AL16</f>
        <v>0.10000000000000009</v>
      </c>
      <c r="AM54" s="135"/>
      <c r="AN54" s="587">
        <v>0.1</v>
      </c>
      <c r="AO54" s="587">
        <v>0.1</v>
      </c>
      <c r="AP54" s="663">
        <f t="shared" ref="AP54" si="99">+AP16</f>
        <v>0.10000000000000031</v>
      </c>
      <c r="AQ54" s="135"/>
      <c r="AR54" s="587">
        <v>0.06</v>
      </c>
      <c r="AS54" s="587">
        <v>0.06</v>
      </c>
      <c r="AT54" s="663">
        <f t="shared" ref="AT54" si="100">+AT16</f>
        <v>5.9999999999999831E-2</v>
      </c>
      <c r="AU54" s="135"/>
      <c r="AV54" s="587">
        <v>0.06</v>
      </c>
      <c r="AW54" s="587">
        <v>0.06</v>
      </c>
      <c r="AX54" s="663">
        <f t="shared" ref="AX54" si="101">+AX16</f>
        <v>6.0000000000000053E-2</v>
      </c>
      <c r="AY54" s="135"/>
      <c r="AZ54" s="587">
        <v>0.06</v>
      </c>
      <c r="BA54" s="587">
        <v>0.06</v>
      </c>
      <c r="BB54" s="663">
        <f t="shared" ref="BB54" si="102">+BB16</f>
        <v>6.0000000000000053E-2</v>
      </c>
      <c r="BC54" s="135"/>
      <c r="BD54" s="587">
        <v>0.06</v>
      </c>
      <c r="BE54" s="587">
        <v>0.06</v>
      </c>
      <c r="BF54" s="663">
        <f t="shared" ref="BF54" si="103">+BF16</f>
        <v>6.0000000000000053E-2</v>
      </c>
      <c r="BG54" s="135"/>
      <c r="BH54" s="587">
        <v>0.06</v>
      </c>
      <c r="BI54" s="587">
        <v>0.06</v>
      </c>
      <c r="BJ54" s="663">
        <f t="shared" ref="BJ54" si="104">+BJ16</f>
        <v>6.0000000000000053E-2</v>
      </c>
      <c r="BK54" s="135"/>
      <c r="BL54" s="587">
        <v>0.06</v>
      </c>
      <c r="BM54" s="587">
        <v>0.06</v>
      </c>
      <c r="BN54" s="663">
        <f t="shared" ref="BN54" si="105">+BN16</f>
        <v>6.0000000000000053E-2</v>
      </c>
      <c r="BO54" s="135"/>
      <c r="BP54" s="587">
        <v>0.06</v>
      </c>
      <c r="BQ54" s="587">
        <v>0.06</v>
      </c>
      <c r="BR54" s="663">
        <f t="shared" ref="BR54" si="106">+BR16</f>
        <v>0</v>
      </c>
    </row>
    <row r="55" spans="2:71">
      <c r="C55" s="128" t="s">
        <v>65</v>
      </c>
      <c r="T55" s="357"/>
      <c r="X55" s="357"/>
      <c r="AB55" s="357"/>
      <c r="AF55" s="357">
        <f>+AF54+2%</f>
        <v>0.12000000000000001</v>
      </c>
      <c r="AG55" s="357">
        <f>+AG54+2%</f>
        <v>0.12000000000000001</v>
      </c>
      <c r="AJ55" s="357">
        <f>+AJ54+2%</f>
        <v>0.12000000000000001</v>
      </c>
      <c r="AK55" s="357">
        <f>+AK54+2%</f>
        <v>0.12000000000000001</v>
      </c>
      <c r="AN55" s="357">
        <f>+AN54+2%</f>
        <v>0.12000000000000001</v>
      </c>
      <c r="AO55" s="357">
        <f>+AO54+2%</f>
        <v>0.12000000000000001</v>
      </c>
      <c r="AR55" s="357">
        <f>+AR54+2%</f>
        <v>0.08</v>
      </c>
      <c r="AS55" s="357">
        <f>+AS54+2%</f>
        <v>0.08</v>
      </c>
      <c r="AV55" s="357">
        <f>+AV54+2%</f>
        <v>0.08</v>
      </c>
      <c r="AW55" s="357">
        <f>+AW54+2%</f>
        <v>0.08</v>
      </c>
      <c r="AZ55" s="357">
        <f>+AZ54+2%</f>
        <v>0.08</v>
      </c>
      <c r="BA55" s="357">
        <f>+BA54+2%</f>
        <v>0.08</v>
      </c>
      <c r="BD55" s="357">
        <f>+BD54+2%</f>
        <v>0.08</v>
      </c>
      <c r="BE55" s="357">
        <f>+BE54+2%</f>
        <v>0.08</v>
      </c>
      <c r="BH55" s="357">
        <f>+BH54+2%</f>
        <v>0.08</v>
      </c>
      <c r="BI55" s="357">
        <f>+BI54+2%</f>
        <v>0.08</v>
      </c>
      <c r="BL55" s="357">
        <f>+BL54+2%</f>
        <v>0.08</v>
      </c>
      <c r="BM55" s="357">
        <f>+BM54+2%</f>
        <v>0.08</v>
      </c>
      <c r="BP55" s="357">
        <f>+BP54+2%</f>
        <v>0.08</v>
      </c>
      <c r="BQ55" s="357">
        <f>+BQ54+2%</f>
        <v>0.08</v>
      </c>
    </row>
    <row r="56" spans="2:71">
      <c r="C56" s="128" t="s">
        <v>66</v>
      </c>
      <c r="T56" s="357"/>
      <c r="X56" s="357"/>
      <c r="AB56" s="357"/>
      <c r="AF56" s="357">
        <f>+AF54-2%</f>
        <v>0.08</v>
      </c>
      <c r="AG56" s="357">
        <f>+AG54-2%</f>
        <v>0.08</v>
      </c>
      <c r="AJ56" s="357">
        <f>+AJ54-2%</f>
        <v>0.08</v>
      </c>
      <c r="AK56" s="357">
        <f>+AK54-2%</f>
        <v>0.08</v>
      </c>
      <c r="AN56" s="357">
        <f>+AN54-2%</f>
        <v>0.08</v>
      </c>
      <c r="AO56" s="357">
        <f>+AO54-2%</f>
        <v>0.08</v>
      </c>
      <c r="AR56" s="357">
        <f>+AR54-2%</f>
        <v>3.9999999999999994E-2</v>
      </c>
      <c r="AS56" s="357">
        <f>+AS54-2%</f>
        <v>3.9999999999999994E-2</v>
      </c>
      <c r="AV56" s="357">
        <f>+AV54-2%</f>
        <v>3.9999999999999994E-2</v>
      </c>
      <c r="AW56" s="357">
        <f>+AW54-2%</f>
        <v>3.9999999999999994E-2</v>
      </c>
      <c r="AZ56" s="357">
        <f>+AZ54-2%</f>
        <v>3.9999999999999994E-2</v>
      </c>
      <c r="BA56" s="357">
        <f>+BA54-2%</f>
        <v>3.9999999999999994E-2</v>
      </c>
      <c r="BD56" s="357">
        <f>+BD54-2%</f>
        <v>3.9999999999999994E-2</v>
      </c>
      <c r="BE56" s="357">
        <f>+BE54-2%</f>
        <v>3.9999999999999994E-2</v>
      </c>
      <c r="BH56" s="357">
        <f>+BH54-2%</f>
        <v>3.9999999999999994E-2</v>
      </c>
      <c r="BI56" s="357">
        <f>+BI54-2%</f>
        <v>3.9999999999999994E-2</v>
      </c>
      <c r="BL56" s="357">
        <f>+BL54-2%</f>
        <v>3.9999999999999994E-2</v>
      </c>
      <c r="BM56" s="357">
        <f>+BM54-2%</f>
        <v>3.9999999999999994E-2</v>
      </c>
      <c r="BP56" s="357">
        <f>+BP54-2%</f>
        <v>3.9999999999999994E-2</v>
      </c>
      <c r="BQ56" s="357">
        <f>+BQ54-2%</f>
        <v>3.9999999999999994E-2</v>
      </c>
    </row>
    <row r="57" spans="2:71">
      <c r="T57" s="357"/>
      <c r="X57" s="357"/>
      <c r="AB57" s="357"/>
      <c r="AF57" s="357"/>
      <c r="AG57" s="357"/>
      <c r="AJ57" s="357"/>
      <c r="AK57" s="357"/>
      <c r="AN57" s="357"/>
      <c r="AO57" s="357"/>
      <c r="AR57" s="357"/>
      <c r="AS57" s="357"/>
      <c r="AV57" s="357"/>
      <c r="AW57" s="357"/>
      <c r="AZ57" s="357"/>
      <c r="BA57" s="357"/>
      <c r="BD57" s="357"/>
      <c r="BE57" s="357"/>
      <c r="BH57" s="357"/>
      <c r="BI57" s="357"/>
      <c r="BL57" s="357"/>
      <c r="BM57" s="357"/>
      <c r="BP57" s="357"/>
      <c r="BQ57" s="357"/>
    </row>
    <row r="58" spans="2:71" s="354" customFormat="1">
      <c r="B58" s="151" t="str">
        <f>+$B$12</f>
        <v>Underlying EBITA margin %</v>
      </c>
      <c r="C58" s="151" t="s">
        <v>64</v>
      </c>
      <c r="D58" s="663">
        <f t="shared" ref="D58:F58" si="107">+D17</f>
        <v>0</v>
      </c>
      <c r="E58" s="663">
        <f t="shared" si="107"/>
        <v>0</v>
      </c>
      <c r="F58" s="663">
        <f t="shared" si="107"/>
        <v>0</v>
      </c>
      <c r="G58" s="151"/>
      <c r="H58" s="663">
        <f t="shared" ref="H58:J58" si="108">+H17</f>
        <v>0</v>
      </c>
      <c r="I58" s="663">
        <f t="shared" si="108"/>
        <v>0.3928571428571429</v>
      </c>
      <c r="J58" s="663">
        <f t="shared" si="108"/>
        <v>0.3928571428571429</v>
      </c>
      <c r="K58" s="151"/>
      <c r="L58" s="663">
        <f t="shared" ref="L58:N58" si="109">+L17</f>
        <v>0.38351254480286739</v>
      </c>
      <c r="M58" s="663">
        <f t="shared" si="109"/>
        <v>0.36688311688311687</v>
      </c>
      <c r="N58" s="663">
        <f t="shared" si="109"/>
        <v>0.37478705281090285</v>
      </c>
      <c r="O58" s="151"/>
      <c r="P58" s="663">
        <f t="shared" ref="P58:R58" si="110">+P17</f>
        <v>0.36936936936936932</v>
      </c>
      <c r="Q58" s="663">
        <f t="shared" si="110"/>
        <v>0.38512215207246792</v>
      </c>
      <c r="R58" s="663">
        <f t="shared" si="110"/>
        <v>0.37759931163057514</v>
      </c>
      <c r="S58" s="151"/>
      <c r="T58" s="663">
        <f>+T17</f>
        <v>0.38563829787234039</v>
      </c>
      <c r="U58" s="663">
        <f t="shared" ref="U58:V58" si="111">+U17</f>
        <v>0.41402624325661386</v>
      </c>
      <c r="V58" s="663">
        <f t="shared" si="111"/>
        <v>0.4006920761033867</v>
      </c>
      <c r="W58" s="135"/>
      <c r="X58" s="663">
        <f>+X17</f>
        <v>0.39675174013921116</v>
      </c>
      <c r="Y58" s="663">
        <f t="shared" ref="Y58:Z58" si="112">+Y17</f>
        <v>0.44031071136549471</v>
      </c>
      <c r="Z58" s="663">
        <f t="shared" si="112"/>
        <v>0.41990871549663117</v>
      </c>
      <c r="AA58" s="135"/>
      <c r="AB58" s="663">
        <f>+AB17</f>
        <v>0.43227091633466136</v>
      </c>
      <c r="AC58" s="663">
        <f t="shared" ref="AC58:AD58" si="113">+AC17</f>
        <v>0.48021582733812945</v>
      </c>
      <c r="AD58" s="663">
        <f t="shared" si="113"/>
        <v>0.45746691871455575</v>
      </c>
      <c r="AE58" s="135"/>
      <c r="AF58" s="587">
        <v>0.438</v>
      </c>
      <c r="AG58" s="587">
        <v>0.48</v>
      </c>
      <c r="AH58" s="663">
        <f t="shared" ref="AH58:BR58" si="114">+AH17</f>
        <v>0.46007183364839321</v>
      </c>
      <c r="AI58" s="135"/>
      <c r="AJ58" s="587">
        <f>AF58+0.5%</f>
        <v>0.443</v>
      </c>
      <c r="AK58" s="587">
        <f>AG58+0.5%</f>
        <v>0.48499999999999999</v>
      </c>
      <c r="AL58" s="663">
        <f t="shared" si="114"/>
        <v>0.46507183364839316</v>
      </c>
      <c r="AM58" s="135"/>
      <c r="AN58" s="587">
        <f>AJ58+0.5%</f>
        <v>0.44800000000000001</v>
      </c>
      <c r="AO58" s="587">
        <f>AK58+0.5%</f>
        <v>0.49</v>
      </c>
      <c r="AP58" s="663">
        <f t="shared" si="114"/>
        <v>0.47007183364839306</v>
      </c>
      <c r="AQ58" s="135"/>
      <c r="AR58" s="587">
        <v>0.44800000000000001</v>
      </c>
      <c r="AS58" s="587">
        <v>0.49</v>
      </c>
      <c r="AT58" s="663">
        <f t="shared" si="114"/>
        <v>0.47007183364839322</v>
      </c>
      <c r="AU58" s="135"/>
      <c r="AV58" s="587">
        <v>0.44800000000000001</v>
      </c>
      <c r="AW58" s="587">
        <v>0.49</v>
      </c>
      <c r="AX58" s="663">
        <f t="shared" si="114"/>
        <v>0.47007183364839322</v>
      </c>
      <c r="AY58" s="135"/>
      <c r="AZ58" s="587">
        <v>0.44800000000000001</v>
      </c>
      <c r="BA58" s="587">
        <v>0.49</v>
      </c>
      <c r="BB58" s="663">
        <f t="shared" si="114"/>
        <v>0.47007183364839317</v>
      </c>
      <c r="BC58" s="135"/>
      <c r="BD58" s="587">
        <v>0.44800000000000001</v>
      </c>
      <c r="BE58" s="587">
        <v>0.49</v>
      </c>
      <c r="BF58" s="663">
        <f t="shared" si="114"/>
        <v>0.47007183364839322</v>
      </c>
      <c r="BG58" s="135"/>
      <c r="BH58" s="587">
        <v>0.44800000000000001</v>
      </c>
      <c r="BI58" s="587">
        <v>0.49</v>
      </c>
      <c r="BJ58" s="663">
        <f t="shared" si="114"/>
        <v>0.47007183364839317</v>
      </c>
      <c r="BK58" s="135"/>
      <c r="BL58" s="587">
        <v>0.44800000000000001</v>
      </c>
      <c r="BM58" s="587">
        <v>0.49</v>
      </c>
      <c r="BN58" s="663">
        <f t="shared" si="114"/>
        <v>0.47007183364839317</v>
      </c>
      <c r="BO58" s="135"/>
      <c r="BP58" s="587">
        <v>0.44800000000000001</v>
      </c>
      <c r="BQ58" s="587">
        <v>0.49</v>
      </c>
      <c r="BR58" s="663">
        <f t="shared" si="114"/>
        <v>0</v>
      </c>
      <c r="BS58" s="135"/>
    </row>
    <row r="59" spans="2:71">
      <c r="C59" s="128" t="s">
        <v>65</v>
      </c>
      <c r="T59" s="357"/>
      <c r="X59" s="357"/>
      <c r="AB59" s="357"/>
      <c r="AF59" s="357">
        <f>+AF58+2%</f>
        <v>0.45800000000000002</v>
      </c>
      <c r="AG59" s="357">
        <f>+AG58+2%</f>
        <v>0.5</v>
      </c>
      <c r="AJ59" s="357">
        <f>+AJ58+2%</f>
        <v>0.46300000000000002</v>
      </c>
      <c r="AK59" s="357">
        <f>+AK58+2%</f>
        <v>0.505</v>
      </c>
      <c r="AN59" s="357">
        <f>+AN58+2%</f>
        <v>0.46800000000000003</v>
      </c>
      <c r="AO59" s="357">
        <f>+AO58+2%</f>
        <v>0.51</v>
      </c>
      <c r="AR59" s="357">
        <f>+AR58+2%</f>
        <v>0.46800000000000003</v>
      </c>
      <c r="AS59" s="357">
        <f>+AS58+2%</f>
        <v>0.51</v>
      </c>
      <c r="AV59" s="357">
        <f>+AV58+2%</f>
        <v>0.46800000000000003</v>
      </c>
      <c r="AW59" s="357">
        <f>+AW58+2%</f>
        <v>0.51</v>
      </c>
      <c r="AZ59" s="357">
        <f>+AZ58+2%</f>
        <v>0.46800000000000003</v>
      </c>
      <c r="BA59" s="357">
        <f>+BA58+2%</f>
        <v>0.51</v>
      </c>
      <c r="BD59" s="357">
        <f>+BD58+2%</f>
        <v>0.46800000000000003</v>
      </c>
      <c r="BE59" s="357">
        <f>+BE58+2%</f>
        <v>0.51</v>
      </c>
      <c r="BH59" s="357">
        <f>+BH58+2%</f>
        <v>0.46800000000000003</v>
      </c>
      <c r="BI59" s="357">
        <f>+BI58+2%</f>
        <v>0.51</v>
      </c>
      <c r="BL59" s="357">
        <f>+BL58+2%</f>
        <v>0.46800000000000003</v>
      </c>
      <c r="BM59" s="357">
        <f>+BM58+2%</f>
        <v>0.51</v>
      </c>
      <c r="BP59" s="357">
        <f>+BP58+2%</f>
        <v>0.46800000000000003</v>
      </c>
      <c r="BQ59" s="357">
        <f>+BQ58+2%</f>
        <v>0.51</v>
      </c>
    </row>
    <row r="60" spans="2:71">
      <c r="C60" s="128" t="s">
        <v>66</v>
      </c>
      <c r="T60" s="357"/>
      <c r="X60" s="357"/>
      <c r="AB60" s="357"/>
      <c r="AF60" s="357">
        <f>+AF58-2%</f>
        <v>0.41799999999999998</v>
      </c>
      <c r="AG60" s="357">
        <f>+AG58-2%</f>
        <v>0.45999999999999996</v>
      </c>
      <c r="AJ60" s="357">
        <f>+AJ58-2%</f>
        <v>0.42299999999999999</v>
      </c>
      <c r="AK60" s="357">
        <f>+AK58-2%</f>
        <v>0.46499999999999997</v>
      </c>
      <c r="AN60" s="357">
        <f>+AN58-2%</f>
        <v>0.42799999999999999</v>
      </c>
      <c r="AO60" s="357">
        <f>+AO58-2%</f>
        <v>0.47</v>
      </c>
      <c r="AR60" s="357">
        <f>+AR58-2%</f>
        <v>0.42799999999999999</v>
      </c>
      <c r="AS60" s="357">
        <f>+AS58-2%</f>
        <v>0.47</v>
      </c>
      <c r="AV60" s="357">
        <f>+AV58-2%</f>
        <v>0.42799999999999999</v>
      </c>
      <c r="AW60" s="357">
        <f>+AW58-2%</f>
        <v>0.47</v>
      </c>
      <c r="AZ60" s="357">
        <f>+AZ58-2%</f>
        <v>0.42799999999999999</v>
      </c>
      <c r="BA60" s="357">
        <f>+BA58-2%</f>
        <v>0.47</v>
      </c>
      <c r="BD60" s="357">
        <f>+BD58-2%</f>
        <v>0.42799999999999999</v>
      </c>
      <c r="BE60" s="357">
        <f>+BE58-2%</f>
        <v>0.47</v>
      </c>
      <c r="BH60" s="357">
        <f>+BH58-2%</f>
        <v>0.42799999999999999</v>
      </c>
      <c r="BI60" s="357">
        <f>+BI58-2%</f>
        <v>0.47</v>
      </c>
      <c r="BL60" s="357">
        <f>+BL58-2%</f>
        <v>0.42799999999999999</v>
      </c>
      <c r="BM60" s="357">
        <f>+BM58-2%</f>
        <v>0.47</v>
      </c>
      <c r="BP60" s="357">
        <f>+BP58-2%</f>
        <v>0.42799999999999999</v>
      </c>
      <c r="BQ60" s="357">
        <f>+BQ58-2%</f>
        <v>0.47</v>
      </c>
    </row>
    <row r="61" spans="2:71">
      <c r="T61" s="357"/>
      <c r="X61" s="357"/>
      <c r="AB61" s="357"/>
      <c r="AF61" s="357"/>
      <c r="AG61" s="357"/>
      <c r="AJ61" s="357"/>
      <c r="AK61" s="357"/>
      <c r="AN61" s="357"/>
      <c r="AO61" s="357"/>
      <c r="AR61" s="357"/>
      <c r="AS61" s="357"/>
      <c r="AV61" s="357"/>
      <c r="AW61" s="357"/>
      <c r="AZ61" s="357"/>
      <c r="BA61" s="357"/>
      <c r="BD61" s="357"/>
      <c r="BE61" s="357"/>
      <c r="BH61" s="357"/>
      <c r="BI61" s="357"/>
      <c r="BL61" s="357"/>
      <c r="BM61" s="357"/>
      <c r="BP61" s="357"/>
      <c r="BQ61" s="357"/>
    </row>
    <row r="62" spans="2:71" s="354" customFormat="1">
      <c r="B62" s="151" t="str">
        <f>+$B$13</f>
        <v>Profit share %</v>
      </c>
      <c r="C62" s="151" t="s">
        <v>64</v>
      </c>
      <c r="D62" s="663">
        <f t="shared" ref="D62:F62" si="115">+D18</f>
        <v>0</v>
      </c>
      <c r="E62" s="663">
        <f t="shared" si="115"/>
        <v>0</v>
      </c>
      <c r="F62" s="663">
        <f t="shared" si="115"/>
        <v>0</v>
      </c>
      <c r="G62" s="151"/>
      <c r="H62" s="663">
        <f t="shared" ref="H62:J62" si="116">+H18</f>
        <v>0</v>
      </c>
      <c r="I62" s="663">
        <f t="shared" si="116"/>
        <v>0.40789473684210531</v>
      </c>
      <c r="J62" s="663">
        <f t="shared" si="116"/>
        <v>0.40789473684210531</v>
      </c>
      <c r="K62" s="151"/>
      <c r="L62" s="663">
        <f t="shared" ref="L62:N62" si="117">+L18</f>
        <v>0.39814814814814808</v>
      </c>
      <c r="M62" s="663">
        <f t="shared" si="117"/>
        <v>0.41071428571428581</v>
      </c>
      <c r="N62" s="663">
        <f t="shared" si="117"/>
        <v>0.40454545454545454</v>
      </c>
      <c r="O62" s="151"/>
      <c r="P62" s="663">
        <f t="shared" ref="P62:R62" si="118">+P18</f>
        <v>0.40495867768595045</v>
      </c>
      <c r="Q62" s="663">
        <f t="shared" si="118"/>
        <v>0.40579710144927539</v>
      </c>
      <c r="R62" s="663">
        <f t="shared" si="118"/>
        <v>0.40540540540540543</v>
      </c>
      <c r="S62" s="151"/>
      <c r="T62" s="663">
        <f>+T18</f>
        <v>0.40714285714285714</v>
      </c>
      <c r="U62" s="663">
        <f t="shared" ref="U62:V62" si="119">+U18</f>
        <v>0.40598802395209582</v>
      </c>
      <c r="V62" s="663">
        <f t="shared" si="119"/>
        <v>0.40651465798045605</v>
      </c>
      <c r="W62" s="135"/>
      <c r="X62" s="663">
        <f>+X18</f>
        <v>0.40853658536585369</v>
      </c>
      <c r="Y62" s="663">
        <f t="shared" ref="Y62:Z62" si="120">+Y18</f>
        <v>0.40528655648980377</v>
      </c>
      <c r="Z62" s="663">
        <f t="shared" si="120"/>
        <v>0.40672345931956649</v>
      </c>
      <c r="AA62" s="135"/>
      <c r="AB62" s="663">
        <f>+AB18</f>
        <v>0.40952380952380951</v>
      </c>
      <c r="AC62" s="663">
        <f t="shared" ref="AC62:AD62" si="121">+AC18</f>
        <v>0.40384615384615391</v>
      </c>
      <c r="AD62" s="663">
        <f t="shared" si="121"/>
        <v>0.40638297872340429</v>
      </c>
      <c r="AE62" s="135"/>
      <c r="AF62" s="587">
        <v>0.41</v>
      </c>
      <c r="AG62" s="587">
        <v>0.41</v>
      </c>
      <c r="AH62" s="663">
        <f t="shared" ref="AH62" si="122">+AH18</f>
        <v>0.40999999999999992</v>
      </c>
      <c r="AI62" s="135"/>
      <c r="AJ62" s="587">
        <v>0.41</v>
      </c>
      <c r="AK62" s="587">
        <v>0.41</v>
      </c>
      <c r="AL62" s="663">
        <f t="shared" ref="AL62:BF62" si="123">+AL18</f>
        <v>0.41000000000000003</v>
      </c>
      <c r="AM62" s="135"/>
      <c r="AN62" s="587">
        <v>0.41</v>
      </c>
      <c r="AO62" s="587">
        <v>0.41</v>
      </c>
      <c r="AP62" s="663">
        <f t="shared" si="123"/>
        <v>0.41000000000000003</v>
      </c>
      <c r="AQ62" s="135"/>
      <c r="AR62" s="587">
        <v>0.41</v>
      </c>
      <c r="AS62" s="587">
        <v>0.41</v>
      </c>
      <c r="AT62" s="663">
        <f t="shared" si="123"/>
        <v>0.40999999999999992</v>
      </c>
      <c r="AU62" s="135"/>
      <c r="AV62" s="587">
        <v>0.41</v>
      </c>
      <c r="AW62" s="587">
        <v>0.41</v>
      </c>
      <c r="AX62" s="663">
        <f t="shared" si="123"/>
        <v>0.40999999999999986</v>
      </c>
      <c r="AY62" s="135"/>
      <c r="AZ62" s="587">
        <v>0.41</v>
      </c>
      <c r="BA62" s="587">
        <v>0.41</v>
      </c>
      <c r="BB62" s="663">
        <f t="shared" si="123"/>
        <v>0.40999999999999992</v>
      </c>
      <c r="BC62" s="135"/>
      <c r="BD62" s="587">
        <v>0.41</v>
      </c>
      <c r="BE62" s="587">
        <v>0.41</v>
      </c>
      <c r="BF62" s="663">
        <f t="shared" si="123"/>
        <v>0.41</v>
      </c>
      <c r="BG62" s="135"/>
      <c r="BH62" s="587">
        <v>0.41</v>
      </c>
      <c r="BI62" s="587">
        <v>0.41</v>
      </c>
      <c r="BJ62" s="663">
        <f t="shared" ref="BJ62" si="124">+BJ18</f>
        <v>0.41</v>
      </c>
      <c r="BK62" s="135"/>
      <c r="BL62" s="587">
        <v>0.41</v>
      </c>
      <c r="BM62" s="587">
        <v>0.41</v>
      </c>
      <c r="BN62" s="663">
        <f t="shared" ref="BN62" si="125">+BN18</f>
        <v>0.41</v>
      </c>
      <c r="BO62" s="135"/>
      <c r="BP62" s="587">
        <v>0.41</v>
      </c>
      <c r="BQ62" s="587">
        <v>0.41</v>
      </c>
      <c r="BR62" s="663">
        <f t="shared" ref="BR62" si="126">+BR18</f>
        <v>0</v>
      </c>
    </row>
    <row r="63" spans="2:71">
      <c r="C63" s="128" t="s">
        <v>65</v>
      </c>
      <c r="T63" s="357"/>
      <c r="X63" s="357"/>
      <c r="AB63" s="357"/>
      <c r="AF63" s="357">
        <f>+AF62+2%</f>
        <v>0.43</v>
      </c>
      <c r="AG63" s="357">
        <f>+AG62+2%</f>
        <v>0.43</v>
      </c>
      <c r="AJ63" s="357">
        <f>+AJ62+2%</f>
        <v>0.43</v>
      </c>
      <c r="AK63" s="357">
        <f>+AK62+2%</f>
        <v>0.43</v>
      </c>
      <c r="AN63" s="357">
        <f>+AN62+2%</f>
        <v>0.43</v>
      </c>
      <c r="AO63" s="357">
        <f>+AO62+2%</f>
        <v>0.43</v>
      </c>
      <c r="AR63" s="357">
        <f>+AR62+2%</f>
        <v>0.43</v>
      </c>
      <c r="AS63" s="357">
        <f>+AS62+2%</f>
        <v>0.43</v>
      </c>
      <c r="AV63" s="357">
        <f>+AV62+2%</f>
        <v>0.43</v>
      </c>
      <c r="AW63" s="357">
        <f>+AW62+2%</f>
        <v>0.43</v>
      </c>
      <c r="AZ63" s="357">
        <f>+AZ62+2%</f>
        <v>0.43</v>
      </c>
      <c r="BA63" s="357">
        <f>+BA62+2%</f>
        <v>0.43</v>
      </c>
      <c r="BD63" s="357">
        <f>+BD62+2%</f>
        <v>0.43</v>
      </c>
      <c r="BE63" s="357">
        <f>+BE62+2%</f>
        <v>0.43</v>
      </c>
      <c r="BH63" s="357">
        <f>+BH62+2%</f>
        <v>0.43</v>
      </c>
      <c r="BI63" s="357">
        <f>+BI62+2%</f>
        <v>0.43</v>
      </c>
      <c r="BL63" s="357">
        <f>+BL62+2%</f>
        <v>0.43</v>
      </c>
      <c r="BM63" s="357">
        <f>+BM62+2%</f>
        <v>0.43</v>
      </c>
      <c r="BP63" s="357">
        <f>+BP62+2%</f>
        <v>0.43</v>
      </c>
      <c r="BQ63" s="357">
        <f>+BQ62+2%</f>
        <v>0.43</v>
      </c>
    </row>
    <row r="64" spans="2:71">
      <c r="C64" s="128" t="s">
        <v>66</v>
      </c>
      <c r="T64" s="357"/>
      <c r="X64" s="357"/>
      <c r="AB64" s="357"/>
      <c r="AF64" s="357">
        <f>+AF62-2%</f>
        <v>0.38999999999999996</v>
      </c>
      <c r="AG64" s="357">
        <f>+AG62-2%</f>
        <v>0.38999999999999996</v>
      </c>
      <c r="AJ64" s="357">
        <f>+AJ62-2%</f>
        <v>0.38999999999999996</v>
      </c>
      <c r="AK64" s="357">
        <f>+AK62-2%</f>
        <v>0.38999999999999996</v>
      </c>
      <c r="AN64" s="357">
        <f>+AN62-2%</f>
        <v>0.38999999999999996</v>
      </c>
      <c r="AO64" s="357">
        <f>+AO62-2%</f>
        <v>0.38999999999999996</v>
      </c>
      <c r="AR64" s="357">
        <f>+AR62-2%</f>
        <v>0.38999999999999996</v>
      </c>
      <c r="AS64" s="357">
        <f>+AS62-2%</f>
        <v>0.38999999999999996</v>
      </c>
      <c r="AV64" s="357">
        <f>+AV62-2%</f>
        <v>0.38999999999999996</v>
      </c>
      <c r="AW64" s="357">
        <f>+AW62-2%</f>
        <v>0.38999999999999996</v>
      </c>
      <c r="AZ64" s="357">
        <f>+AZ62-2%</f>
        <v>0.38999999999999996</v>
      </c>
      <c r="BA64" s="357">
        <f>+BA62-2%</f>
        <v>0.38999999999999996</v>
      </c>
      <c r="BD64" s="357">
        <f>+BD62-2%</f>
        <v>0.38999999999999996</v>
      </c>
      <c r="BE64" s="357">
        <f>+BE62-2%</f>
        <v>0.38999999999999996</v>
      </c>
      <c r="BH64" s="357">
        <f>+BH62-2%</f>
        <v>0.38999999999999996</v>
      </c>
      <c r="BI64" s="357">
        <f>+BI62-2%</f>
        <v>0.38999999999999996</v>
      </c>
      <c r="BL64" s="357">
        <f>+BL62-2%</f>
        <v>0.38999999999999996</v>
      </c>
      <c r="BM64" s="357">
        <f>+BM62-2%</f>
        <v>0.38999999999999996</v>
      </c>
      <c r="BP64" s="357">
        <f>+BP62-2%</f>
        <v>0.38999999999999996</v>
      </c>
      <c r="BQ64" s="357">
        <f>+BQ62-2%</f>
        <v>0.38999999999999996</v>
      </c>
    </row>
    <row r="66" spans="2:71">
      <c r="B66" s="588" t="s">
        <v>285</v>
      </c>
      <c r="C66" s="589"/>
      <c r="D66" s="590"/>
      <c r="E66" s="589"/>
      <c r="F66" s="589"/>
      <c r="G66" s="589"/>
      <c r="H66" s="590"/>
      <c r="I66" s="589"/>
      <c r="J66" s="589"/>
      <c r="K66" s="589"/>
      <c r="L66" s="590"/>
      <c r="M66" s="589"/>
      <c r="N66" s="589"/>
      <c r="O66" s="589"/>
      <c r="P66" s="590"/>
      <c r="Q66" s="589"/>
      <c r="R66" s="589"/>
      <c r="S66" s="589"/>
      <c r="T66" s="590"/>
      <c r="U66" s="589"/>
      <c r="V66" s="589"/>
      <c r="W66" s="590"/>
      <c r="X66" s="590"/>
      <c r="Y66" s="589"/>
      <c r="Z66" s="589"/>
      <c r="AA66" s="590"/>
      <c r="AB66" s="590"/>
      <c r="AC66" s="589"/>
      <c r="AD66" s="589"/>
      <c r="AE66" s="590"/>
      <c r="AF66" s="590"/>
      <c r="AG66" s="590"/>
      <c r="AH66" s="590"/>
      <c r="AI66" s="590"/>
      <c r="AJ66" s="590"/>
      <c r="AK66" s="590"/>
      <c r="AL66" s="590"/>
      <c r="AM66" s="590"/>
      <c r="AN66" s="590"/>
      <c r="AO66" s="590"/>
      <c r="AP66" s="590"/>
      <c r="AQ66" s="590"/>
      <c r="AR66" s="590"/>
      <c r="AS66" s="590"/>
      <c r="AT66" s="590"/>
      <c r="AU66" s="590"/>
      <c r="AV66" s="590"/>
      <c r="AW66" s="590"/>
      <c r="AX66" s="590"/>
      <c r="AY66" s="590"/>
      <c r="AZ66" s="590"/>
      <c r="BA66" s="590"/>
      <c r="BB66" s="590"/>
      <c r="BC66" s="590"/>
      <c r="BD66" s="590"/>
      <c r="BE66" s="590"/>
      <c r="BF66" s="590"/>
      <c r="BG66" s="590"/>
      <c r="BH66" s="590"/>
      <c r="BI66" s="590"/>
      <c r="BJ66" s="590"/>
      <c r="BK66" s="590"/>
      <c r="BL66" s="590"/>
      <c r="BM66" s="590"/>
      <c r="BN66" s="590"/>
      <c r="BO66" s="590"/>
      <c r="BP66" s="590"/>
      <c r="BQ66" s="590"/>
      <c r="BR66" s="590"/>
    </row>
    <row r="67" spans="2:71" s="354" customFormat="1">
      <c r="B67" s="664" t="str">
        <f>+B21</f>
        <v>ORGANIC Forecast Commission and fee income growth %</v>
      </c>
      <c r="C67" s="151" t="s">
        <v>64</v>
      </c>
      <c r="D67" s="663">
        <f t="shared" ref="D67:F67" si="127">+D21</f>
        <v>0</v>
      </c>
      <c r="E67" s="663">
        <f t="shared" si="127"/>
        <v>0</v>
      </c>
      <c r="F67" s="663">
        <f t="shared" si="127"/>
        <v>0</v>
      </c>
      <c r="G67" s="151"/>
      <c r="H67" s="663">
        <f t="shared" ref="H67:J67" si="128">+H21</f>
        <v>0</v>
      </c>
      <c r="I67" s="663">
        <f t="shared" si="128"/>
        <v>0</v>
      </c>
      <c r="J67" s="663">
        <f t="shared" si="128"/>
        <v>0</v>
      </c>
      <c r="K67" s="151"/>
      <c r="L67" s="663">
        <f t="shared" ref="L67:N67" si="129">+L21</f>
        <v>-1.0563380281690016E-2</v>
      </c>
      <c r="M67" s="663">
        <f t="shared" si="129"/>
        <v>0.48175182481751833</v>
      </c>
      <c r="N67" s="663">
        <f t="shared" si="129"/>
        <v>0.23118279569892475</v>
      </c>
      <c r="O67" s="151"/>
      <c r="P67" s="663">
        <f t="shared" ref="P67:R67" si="130">+P21</f>
        <v>0.46975088967971512</v>
      </c>
      <c r="Q67" s="663">
        <f t="shared" si="130"/>
        <v>0.28448275862068972</v>
      </c>
      <c r="R67" s="663">
        <f t="shared" si="130"/>
        <v>0.36026200873362435</v>
      </c>
      <c r="S67" s="151"/>
      <c r="T67" s="663">
        <f>+T21</f>
        <v>0.32687651331719136</v>
      </c>
      <c r="U67" s="663">
        <f t="shared" ref="U67:V67" si="131">+U21</f>
        <v>0.44391179290508131</v>
      </c>
      <c r="V67" s="663">
        <f t="shared" si="131"/>
        <v>0.39218833600856073</v>
      </c>
      <c r="W67" s="135"/>
      <c r="X67" s="663">
        <f>+X21</f>
        <v>0.31021897810218979</v>
      </c>
      <c r="Y67" s="663">
        <f t="shared" ref="Y67:Z67" si="132">+Y21</f>
        <v>0.12350597609561764</v>
      </c>
      <c r="Z67" s="663">
        <f t="shared" si="132"/>
        <v>0.20215219062259804</v>
      </c>
      <c r="AA67" s="135"/>
      <c r="AB67" s="663">
        <f>+AB21</f>
        <v>0.27158774373259065</v>
      </c>
      <c r="AC67" s="663">
        <f t="shared" ref="AC67:AD67" si="133">+AC21</f>
        <v>0.20921985815602828</v>
      </c>
      <c r="AD67" s="663">
        <f t="shared" si="133"/>
        <v>0.23785166240409206</v>
      </c>
      <c r="AE67" s="135"/>
      <c r="AF67" s="587">
        <v>0.1</v>
      </c>
      <c r="AG67" s="587">
        <v>0.09</v>
      </c>
      <c r="AH67" s="663">
        <f>+AH21</f>
        <v>9.4715909090909101E-2</v>
      </c>
      <c r="AI67" s="135"/>
      <c r="AJ67" s="587">
        <v>0.08</v>
      </c>
      <c r="AK67" s="587">
        <v>0.08</v>
      </c>
      <c r="AL67" s="663">
        <f>+AL21</f>
        <v>8.0000000000000071E-2</v>
      </c>
      <c r="AM67" s="135"/>
      <c r="AN67" s="587">
        <v>0.06</v>
      </c>
      <c r="AO67" s="587">
        <v>0.06</v>
      </c>
      <c r="AP67" s="663">
        <f>+AP21</f>
        <v>6.0000000000000275E-2</v>
      </c>
      <c r="AQ67" s="135"/>
      <c r="AR67" s="587">
        <v>0.04</v>
      </c>
      <c r="AS67" s="587">
        <v>0.04</v>
      </c>
      <c r="AT67" s="663">
        <f>+AT21</f>
        <v>3.9999999999999813E-2</v>
      </c>
      <c r="AU67" s="135"/>
      <c r="AV67" s="587">
        <v>0.04</v>
      </c>
      <c r="AW67" s="587">
        <v>0.04</v>
      </c>
      <c r="AX67" s="663">
        <f>+AX21</f>
        <v>4.0000000000000258E-2</v>
      </c>
      <c r="AY67" s="135"/>
      <c r="AZ67" s="587">
        <v>0.04</v>
      </c>
      <c r="BA67" s="587">
        <v>0.04</v>
      </c>
      <c r="BB67" s="663">
        <f>+BB21</f>
        <v>4.0000000000000036E-2</v>
      </c>
      <c r="BC67" s="135"/>
      <c r="BD67" s="587">
        <v>0.04</v>
      </c>
      <c r="BE67" s="587">
        <v>0.04</v>
      </c>
      <c r="BF67" s="663">
        <f>+BF21</f>
        <v>3.9999999999999813E-2</v>
      </c>
      <c r="BG67" s="135"/>
      <c r="BH67" s="587">
        <v>0.04</v>
      </c>
      <c r="BI67" s="587">
        <v>0.04</v>
      </c>
      <c r="BJ67" s="663">
        <f>+BJ21</f>
        <v>4.0000000000000258E-2</v>
      </c>
      <c r="BK67" s="135"/>
      <c r="BL67" s="587">
        <v>0.04</v>
      </c>
      <c r="BM67" s="587">
        <v>0.04</v>
      </c>
      <c r="BN67" s="663">
        <f>+BN21</f>
        <v>4.0000000000000036E-2</v>
      </c>
      <c r="BO67" s="135"/>
      <c r="BP67" s="587">
        <v>0.04</v>
      </c>
      <c r="BQ67" s="587">
        <v>0.04</v>
      </c>
      <c r="BR67" s="663">
        <f>+BR21</f>
        <v>0</v>
      </c>
    </row>
    <row r="68" spans="2:71">
      <c r="C68" s="128" t="s">
        <v>65</v>
      </c>
      <c r="T68" s="357"/>
      <c r="X68" s="357"/>
      <c r="AB68" s="357"/>
      <c r="AF68" s="357">
        <f t="shared" ref="AF68" si="134">+AF67+1%</f>
        <v>0.11</v>
      </c>
      <c r="AG68" s="357">
        <f t="shared" ref="AG68" si="135">+AG67+1%</f>
        <v>9.9999999999999992E-2</v>
      </c>
      <c r="AJ68" s="357">
        <f t="shared" ref="AJ68" si="136">+AJ67+1%</f>
        <v>0.09</v>
      </c>
      <c r="AK68" s="357">
        <f t="shared" ref="AK68" si="137">+AK67+1%</f>
        <v>0.09</v>
      </c>
      <c r="AN68" s="357">
        <f t="shared" ref="AN68" si="138">+AN67+1%</f>
        <v>6.9999999999999993E-2</v>
      </c>
      <c r="AO68" s="357">
        <f t="shared" ref="AO68" si="139">+AO67+1%</f>
        <v>6.9999999999999993E-2</v>
      </c>
      <c r="AR68" s="357">
        <f t="shared" ref="AR68" si="140">+AR67+1%</f>
        <v>0.05</v>
      </c>
      <c r="AS68" s="357">
        <f t="shared" ref="AS68" si="141">+AS67+1%</f>
        <v>0.05</v>
      </c>
      <c r="AV68" s="357">
        <f t="shared" ref="AV68" si="142">+AV67+1%</f>
        <v>0.05</v>
      </c>
      <c r="AW68" s="357">
        <f t="shared" ref="AW68" si="143">+AW67+1%</f>
        <v>0.05</v>
      </c>
      <c r="AZ68" s="357">
        <f t="shared" ref="AZ68" si="144">+AZ67+1%</f>
        <v>0.05</v>
      </c>
      <c r="BA68" s="357">
        <f t="shared" ref="BA68" si="145">+BA67+1%</f>
        <v>0.05</v>
      </c>
      <c r="BD68" s="357">
        <f t="shared" ref="BD68" si="146">+BD67+1%</f>
        <v>0.05</v>
      </c>
      <c r="BE68" s="357">
        <f t="shared" ref="BE68" si="147">+BE67+1%</f>
        <v>0.05</v>
      </c>
      <c r="BH68" s="357">
        <f t="shared" ref="BH68:BI68" si="148">+BH67+1%</f>
        <v>0.05</v>
      </c>
      <c r="BI68" s="357">
        <f t="shared" si="148"/>
        <v>0.05</v>
      </c>
      <c r="BL68" s="357">
        <f t="shared" ref="BL68:BM68" si="149">+BL67+1%</f>
        <v>0.05</v>
      </c>
      <c r="BM68" s="357">
        <f t="shared" si="149"/>
        <v>0.05</v>
      </c>
      <c r="BP68" s="357">
        <f t="shared" ref="BP68:BQ68" si="150">+BP67+1%</f>
        <v>0.05</v>
      </c>
      <c r="BQ68" s="357">
        <f t="shared" si="150"/>
        <v>0.05</v>
      </c>
    </row>
    <row r="69" spans="2:71">
      <c r="C69" s="128" t="s">
        <v>66</v>
      </c>
      <c r="T69" s="357"/>
      <c r="X69" s="357"/>
      <c r="AB69" s="357"/>
      <c r="AF69" s="357">
        <f>+AF67-2%</f>
        <v>0.08</v>
      </c>
      <c r="AG69" s="357">
        <f>+AG67-2%</f>
        <v>6.9999999999999993E-2</v>
      </c>
      <c r="AJ69" s="357">
        <f>+AJ67-2%</f>
        <v>0.06</v>
      </c>
      <c r="AK69" s="357">
        <f>+AK67-2%</f>
        <v>0.06</v>
      </c>
      <c r="AN69" s="357">
        <f>+AN67-2%</f>
        <v>3.9999999999999994E-2</v>
      </c>
      <c r="AO69" s="357">
        <f>+AO67-2%</f>
        <v>3.9999999999999994E-2</v>
      </c>
      <c r="AR69" s="357">
        <f>+AR67-2%</f>
        <v>0.02</v>
      </c>
      <c r="AS69" s="357">
        <f>+AS67-2%</f>
        <v>0.02</v>
      </c>
      <c r="AV69" s="357">
        <f>+AV67-2%</f>
        <v>0.02</v>
      </c>
      <c r="AW69" s="357">
        <f>+AW67-2%</f>
        <v>0.02</v>
      </c>
      <c r="AZ69" s="357">
        <f>+AZ67-2%</f>
        <v>0.02</v>
      </c>
      <c r="BA69" s="357">
        <f>+BA67-2%</f>
        <v>0.02</v>
      </c>
      <c r="BD69" s="357">
        <f>+BD67-2%</f>
        <v>0.02</v>
      </c>
      <c r="BE69" s="357">
        <f>+BE67-2%</f>
        <v>0.02</v>
      </c>
      <c r="BH69" s="357">
        <f>+BH67-2%</f>
        <v>0.02</v>
      </c>
      <c r="BI69" s="357">
        <f>+BI67-2%</f>
        <v>0.02</v>
      </c>
      <c r="BL69" s="357">
        <f>+BL67-2%</f>
        <v>0.02</v>
      </c>
      <c r="BM69" s="357">
        <f>+BM67-2%</f>
        <v>0.02</v>
      </c>
      <c r="BP69" s="357">
        <f>+BP67-2%</f>
        <v>0.02</v>
      </c>
      <c r="BQ69" s="357">
        <f>+BQ67-2%</f>
        <v>0.02</v>
      </c>
    </row>
    <row r="70" spans="2:71">
      <c r="T70" s="357"/>
      <c r="X70" s="357"/>
      <c r="AB70" s="357"/>
      <c r="AF70" s="357"/>
      <c r="AG70" s="357"/>
      <c r="AJ70" s="357"/>
      <c r="AK70" s="357"/>
      <c r="AN70" s="357"/>
      <c r="AO70" s="357"/>
      <c r="AR70" s="357"/>
      <c r="AS70" s="357"/>
      <c r="AV70" s="357"/>
      <c r="AW70" s="357"/>
      <c r="AZ70" s="357"/>
      <c r="BA70" s="357"/>
      <c r="BD70" s="357"/>
      <c r="BE70" s="357"/>
      <c r="BH70" s="357"/>
      <c r="BI70" s="357"/>
      <c r="BL70" s="357"/>
      <c r="BM70" s="357"/>
      <c r="BP70" s="357"/>
      <c r="BQ70" s="357"/>
    </row>
    <row r="71" spans="2:71">
      <c r="B71" s="354" t="s">
        <v>603</v>
      </c>
      <c r="C71" s="354" t="s">
        <v>605</v>
      </c>
      <c r="D71" s="663">
        <f>'P&amp;L'!P303</f>
        <v>0</v>
      </c>
      <c r="E71" s="663">
        <f>'P&amp;L'!Q303</f>
        <v>0</v>
      </c>
      <c r="F71" s="663">
        <f>'P&amp;L'!R303</f>
        <v>0</v>
      </c>
      <c r="H71" s="663">
        <f>'P&amp;L'!T303</f>
        <v>0</v>
      </c>
      <c r="I71" s="663">
        <f>'P&amp;L'!U303</f>
        <v>0</v>
      </c>
      <c r="J71" s="663">
        <f>'P&amp;L'!V303</f>
        <v>0</v>
      </c>
      <c r="L71" s="663">
        <f>'P&amp;L'!X303</f>
        <v>3.4246575342467001E-3</v>
      </c>
      <c r="M71" s="663">
        <f>'P&amp;L'!Y303</f>
        <v>0.46843853820598014</v>
      </c>
      <c r="N71" s="663">
        <f>'P&amp;L'!Z303</f>
        <v>0.239460370994941</v>
      </c>
      <c r="P71" s="663">
        <f>'P&amp;L'!AB303</f>
        <v>0.58020477815699656</v>
      </c>
      <c r="Q71" s="663">
        <f>'P&amp;L'!AC303</f>
        <v>0.29751131221719462</v>
      </c>
      <c r="R71" s="663">
        <f>'P&amp;L'!AD303</f>
        <v>0.41020408163265309</v>
      </c>
      <c r="T71" s="663">
        <f>'P&amp;L'!AF303</f>
        <v>0.25701943844492448</v>
      </c>
      <c r="U71" s="663">
        <f>'P&amp;L'!AG303</f>
        <v>0.41412380122057546</v>
      </c>
      <c r="V71" s="663">
        <f>'P&amp;L'!AH303</f>
        <v>0.34394597202122501</v>
      </c>
      <c r="W71" s="663"/>
      <c r="X71" s="663">
        <f>'P&amp;L'!AJ303</f>
        <v>0.45360824742268058</v>
      </c>
      <c r="Y71" s="663">
        <f>'P&amp;L'!AK303</f>
        <v>0.12970406905055487</v>
      </c>
      <c r="Z71" s="663">
        <f>'P&amp;L'!AL303</f>
        <v>0.26503230437903835</v>
      </c>
      <c r="AA71" s="663"/>
      <c r="AB71" s="663">
        <f>'P&amp;L'!AN303</f>
        <v>0.26004728132387678</v>
      </c>
      <c r="AC71" s="663">
        <f>'P&amp;L'!AO303</f>
        <v>0.24319191434091159</v>
      </c>
      <c r="AD71" s="663">
        <f>'P&amp;L'!AP303</f>
        <v>0.2512839137663927</v>
      </c>
      <c r="AE71" s="663"/>
      <c r="AF71" s="663">
        <f>'P&amp;L'!AR303</f>
        <v>7.141643631942296E-2</v>
      </c>
      <c r="AG71" s="663">
        <f>'P&amp;L'!AS303</f>
        <v>6.9360371517027897E-2</v>
      </c>
      <c r="AH71" s="663">
        <f>'P&amp;L'!AT303</f>
        <v>7.0354369285442031E-2</v>
      </c>
      <c r="AI71" s="663"/>
      <c r="AJ71" s="663">
        <f>'P&amp;L'!AV303</f>
        <v>5.5924697686188019E-2</v>
      </c>
      <c r="AK71" s="663">
        <f>'P&amp;L'!AW303</f>
        <v>6.1436879788036469E-2</v>
      </c>
      <c r="AL71" s="663">
        <f>'P&amp;L'!AX303</f>
        <v>5.8769389261402294E-2</v>
      </c>
      <c r="AM71" s="663"/>
      <c r="AN71" s="663">
        <f>'P&amp;L'!AZ303</f>
        <v>3.9637698558244061E-2</v>
      </c>
      <c r="AO71" s="663">
        <f>'P&amp;L'!BA303</f>
        <v>4.4209177501858932E-2</v>
      </c>
      <c r="AP71" s="663">
        <f>'P&amp;L'!BB303</f>
        <v>4.2002861960395599E-2</v>
      </c>
      <c r="AQ71" s="663"/>
      <c r="AR71" s="663">
        <f>'P&amp;L'!BD303</f>
        <v>2.2609324022468069E-2</v>
      </c>
      <c r="AS71" s="663">
        <f>'P&amp;L'!BE303</f>
        <v>2.6396923017544704E-2</v>
      </c>
      <c r="AT71" s="663">
        <f>'P&amp;L'!BF303</f>
        <v>2.4573077708525792E-2</v>
      </c>
      <c r="AU71" s="663"/>
      <c r="AV71" s="663">
        <f>'P&amp;L'!BH303</f>
        <v>2.2749162994857963E-2</v>
      </c>
      <c r="AW71" s="663">
        <f>'P&amp;L'!BI303</f>
        <v>2.6548676448271857E-2</v>
      </c>
      <c r="AX71" s="663">
        <f>'P&amp;L'!BJ303</f>
        <v>2.4722600640878056E-2</v>
      </c>
      <c r="AY71" s="663"/>
      <c r="AZ71" s="663">
        <f>'P&amp;L'!BL303</f>
        <v>2.2888874384549673E-2</v>
      </c>
      <c r="BA71" s="663">
        <f>'P&amp;L'!BM303</f>
        <v>2.6699728115338717E-2</v>
      </c>
      <c r="BB71" s="663">
        <f>'P&amp;L'!BN303</f>
        <v>2.4871729283014288E-2</v>
      </c>
      <c r="BC71" s="663"/>
      <c r="BD71" s="663">
        <f>'P&amp;L'!BP303</f>
        <v>2.3028452409570743E-2</v>
      </c>
      <c r="BE71" s="663">
        <f>'P&amp;L'!BQ303</f>
        <v>2.6850063846712624E-2</v>
      </c>
      <c r="BF71" s="663">
        <f>'P&amp;L'!BR303</f>
        <v>2.5020451410315836E-2</v>
      </c>
      <c r="BG71" s="663"/>
      <c r="BH71" s="663">
        <f>'P&amp;L'!BT303</f>
        <v>2.3167891130827734E-2</v>
      </c>
      <c r="BI71" s="663">
        <f>'P&amp;L'!BU303</f>
        <v>2.6999669643383184E-2</v>
      </c>
      <c r="BJ71" s="663">
        <f>'P&amp;L'!BV303</f>
        <v>2.5168754759461454E-2</v>
      </c>
      <c r="BK71" s="663"/>
      <c r="BL71" s="663">
        <f>'P&amp;L'!BX303</f>
        <v>2.3307184446308638E-2</v>
      </c>
      <c r="BM71" s="663">
        <f>'P&amp;L'!BY303</f>
        <v>2.7148531685581068E-2</v>
      </c>
      <c r="BN71" s="663">
        <f>'P&amp;L'!BZ303</f>
        <v>2.5316627031371386E-2</v>
      </c>
      <c r="BO71" s="663"/>
      <c r="BP71" s="663">
        <f>'P&amp;L'!CB303</f>
        <v>0</v>
      </c>
      <c r="BQ71" s="663">
        <f>'P&amp;L'!CC303</f>
        <v>0</v>
      </c>
      <c r="BR71" s="663">
        <f>'P&amp;L'!CD303</f>
        <v>0</v>
      </c>
    </row>
    <row r="72" spans="2:71">
      <c r="T72" s="357"/>
      <c r="X72" s="357"/>
      <c r="AB72" s="357"/>
      <c r="AF72" s="357"/>
      <c r="AG72" s="357"/>
      <c r="AJ72" s="357"/>
      <c r="AK72" s="357"/>
      <c r="AN72" s="357"/>
      <c r="AO72" s="357"/>
      <c r="AR72" s="357"/>
      <c r="AS72" s="357"/>
      <c r="AV72" s="357"/>
      <c r="AW72" s="357"/>
      <c r="AZ72" s="357"/>
      <c r="BA72" s="357"/>
      <c r="BD72" s="357"/>
      <c r="BE72" s="357"/>
      <c r="BH72" s="357"/>
      <c r="BI72" s="357"/>
      <c r="BL72" s="357"/>
      <c r="BM72" s="357"/>
      <c r="BP72" s="357"/>
      <c r="BQ72" s="357"/>
    </row>
    <row r="73" spans="2:71" s="354" customFormat="1">
      <c r="B73" s="151" t="str">
        <f>+$B$12</f>
        <v>Underlying EBITA margin %</v>
      </c>
      <c r="C73" s="151" t="s">
        <v>64</v>
      </c>
      <c r="D73" s="663">
        <f t="shared" ref="D73:F73" si="151">+D22</f>
        <v>0.28222996515679427</v>
      </c>
      <c r="E73" s="663">
        <f t="shared" si="151"/>
        <v>0.38532110091743121</v>
      </c>
      <c r="F73" s="663">
        <f t="shared" si="151"/>
        <v>0.33713355048859928</v>
      </c>
      <c r="G73" s="151"/>
      <c r="H73" s="663">
        <f t="shared" ref="H73:J73" si="152">+H22</f>
        <v>0.27739726027397243</v>
      </c>
      <c r="I73" s="663">
        <f t="shared" si="152"/>
        <v>0.33887043189368776</v>
      </c>
      <c r="J73" s="663">
        <f t="shared" si="152"/>
        <v>0.30860033726812813</v>
      </c>
      <c r="K73" s="151"/>
      <c r="L73" s="663">
        <f t="shared" ref="L73:N73" si="153">+L22</f>
        <v>0.27303754266211605</v>
      </c>
      <c r="M73" s="663">
        <f t="shared" si="153"/>
        <v>0.34841628959276022</v>
      </c>
      <c r="N73" s="663">
        <f t="shared" si="153"/>
        <v>0.3183673469387755</v>
      </c>
      <c r="O73" s="151"/>
      <c r="P73" s="663">
        <f t="shared" ref="P73:R73" si="154">+P22</f>
        <v>0.326133909287257</v>
      </c>
      <c r="Q73" s="663">
        <f t="shared" si="154"/>
        <v>0.40540540540540554</v>
      </c>
      <c r="R73" s="663">
        <f t="shared" si="154"/>
        <v>0.36999517607332377</v>
      </c>
      <c r="S73" s="151"/>
      <c r="T73" s="663">
        <f>+T22</f>
        <v>0.31615120274914088</v>
      </c>
      <c r="U73" s="663">
        <f t="shared" ref="U73:V73" si="155">+U22</f>
        <v>0.43279901356350192</v>
      </c>
      <c r="V73" s="663">
        <f t="shared" si="155"/>
        <v>0.38406317300789655</v>
      </c>
      <c r="W73" s="135"/>
      <c r="X73" s="663">
        <f>+X22</f>
        <v>0.40307328605200954</v>
      </c>
      <c r="Y73" s="663">
        <f t="shared" ref="Y73:Z73" si="156">+Y22</f>
        <v>0.44796385029306157</v>
      </c>
      <c r="Z73" s="663">
        <f t="shared" si="156"/>
        <v>0.42641258888088124</v>
      </c>
      <c r="AA73" s="135"/>
      <c r="AB73" s="663">
        <f>+AB22</f>
        <v>0.40431519699812379</v>
      </c>
      <c r="AC73" s="663">
        <f t="shared" ref="AC73:AD73" si="157">+AC22</f>
        <v>0.47761194029850751</v>
      </c>
      <c r="AD73" s="663">
        <f t="shared" si="157"/>
        <v>0.44217687074829931</v>
      </c>
      <c r="AE73" s="135"/>
      <c r="AF73" s="587">
        <v>0.41199999999999998</v>
      </c>
      <c r="AG73" s="587">
        <v>0.47499999999999998</v>
      </c>
      <c r="AH73" s="663">
        <f t="shared" ref="AH73" si="158">+AH22</f>
        <v>0.44451263581774647</v>
      </c>
      <c r="AI73" s="135"/>
      <c r="AJ73" s="587">
        <v>0.41499999999999998</v>
      </c>
      <c r="AK73" s="587">
        <v>0.47499999999999998</v>
      </c>
      <c r="AL73" s="663">
        <f t="shared" ref="AL73:BR73" si="159">+AL22</f>
        <v>0.44604242759934165</v>
      </c>
      <c r="AM73" s="135"/>
      <c r="AN73" s="587">
        <v>0.42</v>
      </c>
      <c r="AO73" s="587">
        <v>0.48</v>
      </c>
      <c r="AP73" s="663">
        <f t="shared" si="159"/>
        <v>0.45110815620043987</v>
      </c>
      <c r="AQ73" s="135"/>
      <c r="AR73" s="587">
        <v>0.42</v>
      </c>
      <c r="AS73" s="587">
        <v>0.48</v>
      </c>
      <c r="AT73" s="663">
        <f t="shared" si="159"/>
        <v>0.45116353191349823</v>
      </c>
      <c r="AU73" s="135"/>
      <c r="AV73" s="587">
        <v>0.42</v>
      </c>
      <c r="AW73" s="587">
        <v>0.48</v>
      </c>
      <c r="AX73" s="663">
        <f t="shared" si="159"/>
        <v>0.45121906593964806</v>
      </c>
      <c r="AY73" s="135"/>
      <c r="AZ73" s="587">
        <v>0.42</v>
      </c>
      <c r="BA73" s="587">
        <v>0.48</v>
      </c>
      <c r="BB73" s="663">
        <f t="shared" si="159"/>
        <v>0.45127474941149454</v>
      </c>
      <c r="BC73" s="135"/>
      <c r="BD73" s="587">
        <v>0.42</v>
      </c>
      <c r="BE73" s="587">
        <v>0.48</v>
      </c>
      <c r="BF73" s="663">
        <f t="shared" si="159"/>
        <v>0.45133057334202181</v>
      </c>
      <c r="BG73" s="135"/>
      <c r="BH73" s="587">
        <v>0.42</v>
      </c>
      <c r="BI73" s="587">
        <v>0.48</v>
      </c>
      <c r="BJ73" s="663">
        <f t="shared" si="159"/>
        <v>0.45138652863015105</v>
      </c>
      <c r="BK73" s="135"/>
      <c r="BL73" s="587">
        <v>0.42</v>
      </c>
      <c r="BM73" s="587">
        <v>0.48</v>
      </c>
      <c r="BN73" s="663">
        <f t="shared" si="159"/>
        <v>0.45144260606648756</v>
      </c>
      <c r="BO73" s="135"/>
      <c r="BP73" s="587">
        <v>0.42</v>
      </c>
      <c r="BQ73" s="587">
        <v>0.48</v>
      </c>
      <c r="BR73" s="663">
        <f t="shared" si="159"/>
        <v>0</v>
      </c>
      <c r="BS73" s="135"/>
    </row>
    <row r="74" spans="2:71">
      <c r="C74" s="128" t="s">
        <v>65</v>
      </c>
      <c r="T74" s="357"/>
      <c r="X74" s="357"/>
      <c r="AB74" s="357"/>
      <c r="AF74" s="357">
        <f>+AF73+2%</f>
        <v>0.432</v>
      </c>
      <c r="AG74" s="357">
        <f>+AG73+1%</f>
        <v>0.48499999999999999</v>
      </c>
      <c r="AJ74" s="357">
        <f t="shared" ref="AJ74" si="160">+AJ73+2%</f>
        <v>0.435</v>
      </c>
      <c r="AK74" s="357">
        <f t="shared" ref="AK74" si="161">+AK73+1%</f>
        <v>0.48499999999999999</v>
      </c>
      <c r="AN74" s="357">
        <f t="shared" ref="AN74" si="162">+AN73+2%</f>
        <v>0.44</v>
      </c>
      <c r="AO74" s="357">
        <f t="shared" ref="AO74" si="163">+AO73+1%</f>
        <v>0.49</v>
      </c>
      <c r="AR74" s="357">
        <f t="shared" ref="AR74" si="164">+AR73+2%</f>
        <v>0.44</v>
      </c>
      <c r="AS74" s="357">
        <f t="shared" ref="AS74" si="165">+AS73+1%</f>
        <v>0.49</v>
      </c>
      <c r="AV74" s="357">
        <f t="shared" ref="AV74" si="166">+AV73+2%</f>
        <v>0.44</v>
      </c>
      <c r="AW74" s="357">
        <f t="shared" ref="AW74" si="167">+AW73+1%</f>
        <v>0.49</v>
      </c>
      <c r="AZ74" s="357">
        <f t="shared" ref="AZ74" si="168">+AZ73+2%</f>
        <v>0.44</v>
      </c>
      <c r="BA74" s="357">
        <f t="shared" ref="BA74" si="169">+BA73+1%</f>
        <v>0.49</v>
      </c>
      <c r="BD74" s="357">
        <f t="shared" ref="BD74" si="170">+BD73+2%</f>
        <v>0.44</v>
      </c>
      <c r="BE74" s="357">
        <f t="shared" ref="BE74" si="171">+BE73+1%</f>
        <v>0.49</v>
      </c>
      <c r="BH74" s="357">
        <f t="shared" ref="BH74" si="172">+BH73+2%</f>
        <v>0.44</v>
      </c>
      <c r="BI74" s="357">
        <f t="shared" ref="BI74" si="173">+BI73+1%</f>
        <v>0.49</v>
      </c>
      <c r="BL74" s="357">
        <f t="shared" ref="BL74" si="174">+BL73+2%</f>
        <v>0.44</v>
      </c>
      <c r="BM74" s="357">
        <f t="shared" ref="BM74" si="175">+BM73+1%</f>
        <v>0.49</v>
      </c>
      <c r="BP74" s="357">
        <f t="shared" ref="BP74" si="176">+BP73+2%</f>
        <v>0.44</v>
      </c>
      <c r="BQ74" s="357">
        <f t="shared" ref="BQ74" si="177">+BQ73+1%</f>
        <v>0.49</v>
      </c>
    </row>
    <row r="75" spans="2:71">
      <c r="C75" s="128" t="s">
        <v>66</v>
      </c>
      <c r="T75" s="357"/>
      <c r="X75" s="357"/>
      <c r="AB75" s="357"/>
      <c r="AF75" s="357">
        <f>+AF73-2%</f>
        <v>0.39199999999999996</v>
      </c>
      <c r="AG75" s="357">
        <f>+AG73-2%</f>
        <v>0.45499999999999996</v>
      </c>
      <c r="AJ75" s="357">
        <f>+AJ73-2%</f>
        <v>0.39499999999999996</v>
      </c>
      <c r="AK75" s="357">
        <f>+AK73-2%</f>
        <v>0.45499999999999996</v>
      </c>
      <c r="AN75" s="357">
        <f>+AN73-2%</f>
        <v>0.39999999999999997</v>
      </c>
      <c r="AO75" s="357">
        <f>+AO73-2%</f>
        <v>0.45999999999999996</v>
      </c>
      <c r="AR75" s="357">
        <f>+AR73-2%</f>
        <v>0.39999999999999997</v>
      </c>
      <c r="AS75" s="357">
        <f>+AS73-2%</f>
        <v>0.45999999999999996</v>
      </c>
      <c r="AV75" s="357">
        <f>+AV73-2%</f>
        <v>0.39999999999999997</v>
      </c>
      <c r="AW75" s="357">
        <f>+AW73-2%</f>
        <v>0.45999999999999996</v>
      </c>
      <c r="AZ75" s="357">
        <f>+AZ73-2%</f>
        <v>0.39999999999999997</v>
      </c>
      <c r="BA75" s="357">
        <f>+BA73-2%</f>
        <v>0.45999999999999996</v>
      </c>
      <c r="BD75" s="357">
        <f>+BD73-2%</f>
        <v>0.39999999999999997</v>
      </c>
      <c r="BE75" s="357">
        <f>+BE73-2%</f>
        <v>0.45999999999999996</v>
      </c>
      <c r="BH75" s="357">
        <f>+BH73-2%</f>
        <v>0.39999999999999997</v>
      </c>
      <c r="BI75" s="357">
        <f>+BI73-2%</f>
        <v>0.45999999999999996</v>
      </c>
      <c r="BL75" s="357">
        <f>+BL73-2%</f>
        <v>0.39999999999999997</v>
      </c>
      <c r="BM75" s="357">
        <f>+BM73-2%</f>
        <v>0.45999999999999996</v>
      </c>
      <c r="BP75" s="357">
        <f>+BP73-2%</f>
        <v>0.39999999999999997</v>
      </c>
      <c r="BQ75" s="357">
        <f>+BQ73-2%</f>
        <v>0.45999999999999996</v>
      </c>
    </row>
    <row r="76" spans="2:71">
      <c r="T76" s="357"/>
      <c r="X76" s="357"/>
      <c r="AB76" s="357"/>
      <c r="AF76" s="357"/>
      <c r="AG76" s="357"/>
      <c r="AJ76" s="357"/>
      <c r="AK76" s="357"/>
      <c r="AN76" s="357"/>
      <c r="AO76" s="357"/>
      <c r="AR76" s="357"/>
      <c r="AS76" s="357"/>
      <c r="AV76" s="357"/>
      <c r="AW76" s="357"/>
      <c r="AZ76" s="357"/>
      <c r="BA76" s="357"/>
      <c r="BD76" s="357"/>
      <c r="BE76" s="357"/>
      <c r="BH76" s="357"/>
      <c r="BI76" s="357"/>
      <c r="BL76" s="357"/>
      <c r="BM76" s="357"/>
      <c r="BP76" s="357"/>
      <c r="BQ76" s="357"/>
    </row>
    <row r="77" spans="2:71" s="354" customFormat="1">
      <c r="B77" s="151" t="str">
        <f>+$B$13</f>
        <v>Profit share %</v>
      </c>
      <c r="C77" s="151" t="s">
        <v>64</v>
      </c>
      <c r="D77" s="663">
        <f t="shared" ref="D77:F77" si="178">+D23</f>
        <v>0.70833333333333326</v>
      </c>
      <c r="E77" s="663">
        <f t="shared" si="178"/>
        <v>0.88888888888888895</v>
      </c>
      <c r="F77" s="663">
        <f t="shared" si="178"/>
        <v>0.82010582010582012</v>
      </c>
      <c r="G77" s="151"/>
      <c r="H77" s="663">
        <f t="shared" ref="H77:J77" si="179">+H23</f>
        <v>0.77464788732394374</v>
      </c>
      <c r="I77" s="663">
        <f t="shared" si="179"/>
        <v>0.7978723404255319</v>
      </c>
      <c r="J77" s="663">
        <f t="shared" si="179"/>
        <v>0.78787878787878785</v>
      </c>
      <c r="K77" s="151"/>
      <c r="L77" s="663">
        <f t="shared" ref="L77:N77" si="180">+L23</f>
        <v>0.69014084507042261</v>
      </c>
      <c r="M77" s="663">
        <f t="shared" si="180"/>
        <v>0.65999999999999992</v>
      </c>
      <c r="N77" s="663">
        <f t="shared" si="180"/>
        <v>0.66968325791855199</v>
      </c>
      <c r="O77" s="151"/>
      <c r="P77" s="663">
        <f t="shared" ref="P77:R77" si="181">+P23</f>
        <v>0.58940397350993379</v>
      </c>
      <c r="Q77" s="663">
        <f t="shared" si="181"/>
        <v>0.59656652360515028</v>
      </c>
      <c r="R77" s="663">
        <f t="shared" si="181"/>
        <v>0.59375</v>
      </c>
      <c r="S77" s="151"/>
      <c r="T77" s="663">
        <f>+T23</f>
        <v>0.6684782608695653</v>
      </c>
      <c r="U77" s="663">
        <f t="shared" ref="U77:V77" si="182">+U23</f>
        <v>0.6495726495726496</v>
      </c>
      <c r="V77" s="663">
        <f t="shared" si="182"/>
        <v>0.65607476635514017</v>
      </c>
      <c r="W77" s="135"/>
      <c r="X77" s="663">
        <f>+X23</f>
        <v>0.73235294117647054</v>
      </c>
      <c r="Y77" s="663">
        <f t="shared" ref="Y77:Z77" si="183">+Y23</f>
        <v>0.74189304421975877</v>
      </c>
      <c r="Z77" s="663">
        <f t="shared" si="183"/>
        <v>0.73757079085881805</v>
      </c>
      <c r="AA77" s="135"/>
      <c r="AB77" s="663">
        <f>+AB23</f>
        <v>0.76511627906976742</v>
      </c>
      <c r="AC77" s="663">
        <f t="shared" ref="AC77:AD77" si="184">+AC23</f>
        <v>0.72007366482504609</v>
      </c>
      <c r="AD77" s="663">
        <f t="shared" si="184"/>
        <v>0.73997944501541624</v>
      </c>
      <c r="AE77" s="135"/>
      <c r="AF77" s="587">
        <v>0.76500000000000001</v>
      </c>
      <c r="AG77" s="587">
        <v>0.76500000000000001</v>
      </c>
      <c r="AH77" s="663">
        <f t="shared" ref="AH77" si="185">+AH23</f>
        <v>0.76500000000000012</v>
      </c>
      <c r="AI77" s="135"/>
      <c r="AJ77" s="587">
        <v>0.76500000000000001</v>
      </c>
      <c r="AK77" s="587">
        <v>0.76500000000000001</v>
      </c>
      <c r="AL77" s="663">
        <f t="shared" ref="AL77" si="186">+AL23</f>
        <v>0.7649999999999999</v>
      </c>
      <c r="AM77" s="135"/>
      <c r="AN77" s="587">
        <v>0.76500000000000001</v>
      </c>
      <c r="AO77" s="587">
        <v>0.76500000000000001</v>
      </c>
      <c r="AP77" s="663">
        <f t="shared" ref="AP77:BF77" si="187">+AP23</f>
        <v>0.76500000000000001</v>
      </c>
      <c r="AQ77" s="135"/>
      <c r="AR77" s="587">
        <v>0.76500000000000001</v>
      </c>
      <c r="AS77" s="587">
        <v>0.76500000000000001</v>
      </c>
      <c r="AT77" s="663">
        <f t="shared" si="187"/>
        <v>0.76500000000000012</v>
      </c>
      <c r="AU77" s="135"/>
      <c r="AV77" s="587">
        <v>0.76500000000000001</v>
      </c>
      <c r="AW77" s="587">
        <v>0.76500000000000001</v>
      </c>
      <c r="AX77" s="663">
        <f t="shared" si="187"/>
        <v>0.76500000000000001</v>
      </c>
      <c r="AY77" s="135"/>
      <c r="AZ77" s="587">
        <v>0.76500000000000001</v>
      </c>
      <c r="BA77" s="587">
        <v>0.76500000000000001</v>
      </c>
      <c r="BB77" s="663">
        <f t="shared" si="187"/>
        <v>0.76500000000000001</v>
      </c>
      <c r="BC77" s="135"/>
      <c r="BD77" s="587">
        <v>0.76500000000000001</v>
      </c>
      <c r="BE77" s="587">
        <v>0.76500000000000001</v>
      </c>
      <c r="BF77" s="663">
        <f t="shared" si="187"/>
        <v>0.7649999999999999</v>
      </c>
      <c r="BG77" s="135"/>
      <c r="BH77" s="587">
        <v>0.76500000000000001</v>
      </c>
      <c r="BI77" s="587">
        <v>0.76500000000000001</v>
      </c>
      <c r="BJ77" s="663">
        <f t="shared" ref="BJ77" si="188">+BJ23</f>
        <v>0.76500000000000001</v>
      </c>
      <c r="BK77" s="135"/>
      <c r="BL77" s="587">
        <v>0.76500000000000001</v>
      </c>
      <c r="BM77" s="587">
        <v>0.76500000000000001</v>
      </c>
      <c r="BN77" s="663">
        <f t="shared" ref="BN77" si="189">+BN23</f>
        <v>0.76500000000000012</v>
      </c>
      <c r="BO77" s="135"/>
      <c r="BP77" s="587">
        <v>0.76500000000000001</v>
      </c>
      <c r="BQ77" s="587">
        <v>0.76500000000000001</v>
      </c>
      <c r="BR77" s="663">
        <f t="shared" ref="BR77" si="190">+BR23</f>
        <v>0</v>
      </c>
    </row>
    <row r="78" spans="2:71">
      <c r="C78" s="128" t="s">
        <v>65</v>
      </c>
      <c r="T78" s="357"/>
      <c r="X78" s="357"/>
      <c r="AB78" s="357"/>
      <c r="AF78" s="357">
        <f>+AF77+2%</f>
        <v>0.78500000000000003</v>
      </c>
      <c r="AG78" s="357">
        <f>+AG77+2%</f>
        <v>0.78500000000000003</v>
      </c>
      <c r="AJ78" s="357">
        <f>+AJ77+2%</f>
        <v>0.78500000000000003</v>
      </c>
      <c r="AK78" s="357">
        <f>+AK77+2%</f>
        <v>0.78500000000000003</v>
      </c>
      <c r="AN78" s="357">
        <f>+AN77+2%</f>
        <v>0.78500000000000003</v>
      </c>
      <c r="AO78" s="357">
        <f>+AO77+2%</f>
        <v>0.78500000000000003</v>
      </c>
      <c r="AR78" s="357">
        <f>+AR77+2%</f>
        <v>0.78500000000000003</v>
      </c>
      <c r="AS78" s="357">
        <f>+AS77+2%</f>
        <v>0.78500000000000003</v>
      </c>
      <c r="AV78" s="357">
        <f>+AV77+2%</f>
        <v>0.78500000000000003</v>
      </c>
      <c r="AW78" s="357">
        <f>+AW77+2%</f>
        <v>0.78500000000000003</v>
      </c>
      <c r="AZ78" s="357">
        <f>+AZ77+2%</f>
        <v>0.78500000000000003</v>
      </c>
      <c r="BA78" s="357">
        <f>+BA77+2%</f>
        <v>0.78500000000000003</v>
      </c>
      <c r="BD78" s="357">
        <f>+BD77+2%</f>
        <v>0.78500000000000003</v>
      </c>
      <c r="BE78" s="357">
        <f>+BE77+2%</f>
        <v>0.78500000000000003</v>
      </c>
      <c r="BH78" s="357">
        <f>+BH77+2%</f>
        <v>0.78500000000000003</v>
      </c>
      <c r="BI78" s="357">
        <f>+BI77+2%</f>
        <v>0.78500000000000003</v>
      </c>
      <c r="BL78" s="357">
        <f>+BL77+2%</f>
        <v>0.78500000000000003</v>
      </c>
      <c r="BM78" s="357">
        <f>+BM77+2%</f>
        <v>0.78500000000000003</v>
      </c>
      <c r="BP78" s="357">
        <f>+BP77+2%</f>
        <v>0.78500000000000003</v>
      </c>
      <c r="BQ78" s="357">
        <f>+BQ77+2%</f>
        <v>0.78500000000000003</v>
      </c>
    </row>
    <row r="79" spans="2:71">
      <c r="C79" s="128" t="s">
        <v>66</v>
      </c>
      <c r="T79" s="357"/>
      <c r="X79" s="357"/>
      <c r="AB79" s="357"/>
      <c r="AF79" s="357">
        <f>+AF77-2%</f>
        <v>0.745</v>
      </c>
      <c r="AG79" s="357">
        <f>+AG77-2%</f>
        <v>0.745</v>
      </c>
      <c r="AJ79" s="357">
        <f>+AJ77-2%</f>
        <v>0.745</v>
      </c>
      <c r="AK79" s="357">
        <f>+AK77-2%</f>
        <v>0.745</v>
      </c>
      <c r="AN79" s="357">
        <f>+AN77-2%</f>
        <v>0.745</v>
      </c>
      <c r="AO79" s="357">
        <f>+AO77-2%</f>
        <v>0.745</v>
      </c>
      <c r="AR79" s="357">
        <f>+AR77-2%</f>
        <v>0.745</v>
      </c>
      <c r="AS79" s="357">
        <f>+AS77-2%</f>
        <v>0.745</v>
      </c>
      <c r="AV79" s="357">
        <f>+AV77-2%</f>
        <v>0.745</v>
      </c>
      <c r="AW79" s="357">
        <f>+AW77-2%</f>
        <v>0.745</v>
      </c>
      <c r="AZ79" s="357">
        <f>+AZ77-2%</f>
        <v>0.745</v>
      </c>
      <c r="BA79" s="357">
        <f>+BA77-2%</f>
        <v>0.745</v>
      </c>
      <c r="BD79" s="357">
        <f>+BD77-2%</f>
        <v>0.745</v>
      </c>
      <c r="BE79" s="357">
        <f>+BE77-2%</f>
        <v>0.745</v>
      </c>
      <c r="BH79" s="357">
        <f>+BH77-2%</f>
        <v>0.745</v>
      </c>
      <c r="BI79" s="357">
        <f>+BI77-2%</f>
        <v>0.745</v>
      </c>
      <c r="BL79" s="357">
        <f>+BL77-2%</f>
        <v>0.745</v>
      </c>
      <c r="BM79" s="357">
        <f>+BM77-2%</f>
        <v>0.745</v>
      </c>
      <c r="BP79" s="357">
        <f>+BP77-2%</f>
        <v>0.745</v>
      </c>
      <c r="BQ79" s="357">
        <f>+BQ77-2%</f>
        <v>0.745</v>
      </c>
    </row>
    <row r="80" spans="2:71">
      <c r="T80" s="357"/>
      <c r="X80" s="357"/>
      <c r="AB80" s="357"/>
      <c r="AF80" s="357"/>
      <c r="AG80" s="357"/>
      <c r="AJ80" s="357"/>
      <c r="AK80" s="357"/>
      <c r="AN80" s="357"/>
      <c r="AO80" s="357"/>
      <c r="AR80" s="357"/>
      <c r="AS80" s="357"/>
      <c r="AV80" s="357"/>
      <c r="AW80" s="357"/>
      <c r="AZ80" s="357"/>
      <c r="BA80" s="357"/>
      <c r="BD80" s="357"/>
      <c r="BE80" s="357"/>
      <c r="BH80" s="357"/>
      <c r="BI80" s="357"/>
      <c r="BL80" s="357"/>
      <c r="BM80" s="357"/>
      <c r="BP80" s="357"/>
      <c r="BQ80" s="357"/>
    </row>
    <row r="81" spans="2:71">
      <c r="B81" s="588" t="s">
        <v>114</v>
      </c>
      <c r="C81" s="589"/>
      <c r="D81" s="590"/>
      <c r="E81" s="589"/>
      <c r="F81" s="589"/>
      <c r="G81" s="589"/>
      <c r="H81" s="590"/>
      <c r="I81" s="589"/>
      <c r="J81" s="589"/>
      <c r="K81" s="589"/>
      <c r="L81" s="590"/>
      <c r="M81" s="589"/>
      <c r="N81" s="589"/>
      <c r="O81" s="589"/>
      <c r="P81" s="590"/>
      <c r="Q81" s="589"/>
      <c r="R81" s="589"/>
      <c r="S81" s="589"/>
      <c r="T81" s="590"/>
      <c r="U81" s="589"/>
      <c r="V81" s="589"/>
      <c r="W81" s="590"/>
      <c r="X81" s="590"/>
      <c r="Y81" s="589"/>
      <c r="Z81" s="589"/>
      <c r="AA81" s="590"/>
      <c r="AB81" s="590"/>
      <c r="AC81" s="589"/>
      <c r="AD81" s="589"/>
      <c r="AE81" s="590"/>
      <c r="AF81" s="590"/>
      <c r="AG81" s="590"/>
      <c r="AH81" s="590"/>
      <c r="AI81" s="590"/>
      <c r="AJ81" s="590"/>
      <c r="AK81" s="590"/>
      <c r="AL81" s="590"/>
      <c r="AM81" s="590"/>
      <c r="AN81" s="590"/>
      <c r="AO81" s="590"/>
      <c r="AP81" s="590"/>
      <c r="AQ81" s="590"/>
      <c r="AR81" s="590"/>
      <c r="AS81" s="590"/>
      <c r="AT81" s="590"/>
      <c r="AU81" s="590"/>
      <c r="AV81" s="590"/>
      <c r="AW81" s="590"/>
      <c r="AX81" s="590"/>
      <c r="AY81" s="590"/>
      <c r="AZ81" s="590"/>
      <c r="BA81" s="590"/>
      <c r="BB81" s="590"/>
      <c r="BC81" s="590"/>
      <c r="BD81" s="590"/>
      <c r="BE81" s="590"/>
      <c r="BF81" s="590"/>
      <c r="BG81" s="590"/>
      <c r="BH81" s="590"/>
      <c r="BI81" s="590"/>
      <c r="BJ81" s="590"/>
      <c r="BK81" s="590"/>
      <c r="BL81" s="590"/>
      <c r="BM81" s="590"/>
      <c r="BN81" s="590"/>
      <c r="BO81" s="590"/>
      <c r="BP81" s="590"/>
      <c r="BQ81" s="590"/>
      <c r="BR81" s="590"/>
    </row>
    <row r="82" spans="2:71" s="354" customFormat="1">
      <c r="B82" s="664" t="str">
        <f>+B26</f>
        <v>ORGANIC Forecast Commission and fee income growth %</v>
      </c>
      <c r="C82" s="151" t="s">
        <v>64</v>
      </c>
      <c r="D82" s="663">
        <f>+D26</f>
        <v>0</v>
      </c>
      <c r="E82" s="663">
        <f>+E26</f>
        <v>0</v>
      </c>
      <c r="F82" s="663">
        <f>+F26</f>
        <v>0</v>
      </c>
      <c r="G82" s="151"/>
      <c r="H82" s="663">
        <f>+H26</f>
        <v>0</v>
      </c>
      <c r="I82" s="663">
        <f>+I26</f>
        <v>0</v>
      </c>
      <c r="J82" s="663">
        <f>+J26</f>
        <v>0</v>
      </c>
      <c r="K82" s="151"/>
      <c r="L82" s="663">
        <f>+L26</f>
        <v>1.2096774193548487E-2</v>
      </c>
      <c r="M82" s="663">
        <f>+M26</f>
        <v>3.4965034965033226E-3</v>
      </c>
      <c r="N82" s="663">
        <f>+N26</f>
        <v>7.4906367041198685E-3</v>
      </c>
      <c r="O82" s="151"/>
      <c r="P82" s="663">
        <f>+P26</f>
        <v>3.9840637450199168E-2</v>
      </c>
      <c r="Q82" s="663">
        <f>+Q26</f>
        <v>-4.5296167247386721E-2</v>
      </c>
      <c r="R82" s="663">
        <f>+R26</f>
        <v>-5.5762081784386242E-3</v>
      </c>
      <c r="S82" s="151"/>
      <c r="T82" s="663">
        <f>+T26</f>
        <v>5.3639846743295028E-2</v>
      </c>
      <c r="U82" s="663">
        <f>+U26</f>
        <v>0.35036496350364965</v>
      </c>
      <c r="V82" s="663">
        <f>+V26</f>
        <v>0.20560747663551404</v>
      </c>
      <c r="W82" s="135"/>
      <c r="X82" s="663">
        <f>+X26</f>
        <v>0.34545454545454546</v>
      </c>
      <c r="Y82" s="663">
        <f>+Y26</f>
        <v>0.19518918918918948</v>
      </c>
      <c r="Z82" s="663">
        <f>+Z26</f>
        <v>0.2592558139534884</v>
      </c>
      <c r="AA82" s="135"/>
      <c r="AB82" s="663">
        <f>+AB26</f>
        <v>0.16216216216216206</v>
      </c>
      <c r="AC82" s="663">
        <f>+AC26</f>
        <v>3.5683596399981754E-2</v>
      </c>
      <c r="AD82" s="663">
        <f>+AD26</f>
        <v>9.3299844869616511E-2</v>
      </c>
      <c r="AE82" s="135"/>
      <c r="AF82" s="587">
        <v>0.11</v>
      </c>
      <c r="AG82" s="587">
        <v>7.0000000000000007E-2</v>
      </c>
      <c r="AH82" s="663">
        <f>+AH26</f>
        <v>8.9369369369369345E-2</v>
      </c>
      <c r="AI82" s="135"/>
      <c r="AJ82" s="587">
        <v>0.05</v>
      </c>
      <c r="AK82" s="587">
        <v>0.05</v>
      </c>
      <c r="AL82" s="663">
        <f>+AL26</f>
        <v>5.0000000000000044E-2</v>
      </c>
      <c r="AM82" s="135"/>
      <c r="AN82" s="587">
        <v>0.05</v>
      </c>
      <c r="AO82" s="587">
        <v>0.05</v>
      </c>
      <c r="AP82" s="663">
        <f t="shared" ref="AP82" si="191">+AP26</f>
        <v>5.0000000000000266E-2</v>
      </c>
      <c r="AQ82" s="135"/>
      <c r="AR82" s="587">
        <v>0.05</v>
      </c>
      <c r="AS82" s="587">
        <v>0.05</v>
      </c>
      <c r="AT82" s="663">
        <f t="shared" ref="AT82" si="192">+AT26</f>
        <v>5.0000000000000044E-2</v>
      </c>
      <c r="AU82" s="135"/>
      <c r="AV82" s="587">
        <v>0.05</v>
      </c>
      <c r="AW82" s="587">
        <v>0.05</v>
      </c>
      <c r="AX82" s="663">
        <f t="shared" ref="AX82" si="193">+AX26</f>
        <v>4.9999999999999822E-2</v>
      </c>
      <c r="AY82" s="135"/>
      <c r="AZ82" s="587">
        <v>0.05</v>
      </c>
      <c r="BA82" s="587">
        <v>0.05</v>
      </c>
      <c r="BB82" s="663">
        <f t="shared" ref="BB82" si="194">+BB26</f>
        <v>5.0000000000000044E-2</v>
      </c>
      <c r="BC82" s="135"/>
      <c r="BD82" s="587">
        <v>0.05</v>
      </c>
      <c r="BE82" s="587">
        <v>0.05</v>
      </c>
      <c r="BF82" s="663">
        <f t="shared" ref="BF82" si="195">+BF26</f>
        <v>5.0000000000000044E-2</v>
      </c>
      <c r="BG82" s="135"/>
      <c r="BH82" s="587">
        <v>0.05</v>
      </c>
      <c r="BI82" s="587">
        <v>0.05</v>
      </c>
      <c r="BJ82" s="663">
        <f t="shared" ref="BJ82" si="196">+BJ26</f>
        <v>5.0000000000000044E-2</v>
      </c>
      <c r="BK82" s="135"/>
      <c r="BL82" s="587">
        <v>0.05</v>
      </c>
      <c r="BM82" s="587">
        <v>0.05</v>
      </c>
      <c r="BN82" s="663">
        <f t="shared" ref="BN82" si="197">+BN26</f>
        <v>4.9999999999999822E-2</v>
      </c>
      <c r="BO82" s="135"/>
      <c r="BP82" s="587">
        <v>0.05</v>
      </c>
      <c r="BQ82" s="587">
        <v>0.05</v>
      </c>
      <c r="BR82" s="663">
        <f t="shared" ref="BR82" si="198">+BR26</f>
        <v>0</v>
      </c>
      <c r="BS82" s="135"/>
    </row>
    <row r="83" spans="2:71">
      <c r="C83" s="128" t="s">
        <v>65</v>
      </c>
      <c r="D83" s="357"/>
      <c r="E83" s="357"/>
      <c r="F83" s="357"/>
      <c r="H83" s="357"/>
      <c r="I83" s="357"/>
      <c r="J83" s="357"/>
      <c r="L83" s="357"/>
      <c r="M83" s="357"/>
      <c r="N83" s="357"/>
      <c r="P83" s="357"/>
      <c r="Q83" s="357"/>
      <c r="R83" s="357"/>
      <c r="T83" s="357"/>
      <c r="U83" s="357"/>
      <c r="V83" s="357"/>
      <c r="X83" s="357"/>
      <c r="Y83" s="357"/>
      <c r="Z83" s="357"/>
      <c r="AB83" s="357"/>
      <c r="AC83" s="357"/>
      <c r="AD83" s="357"/>
      <c r="AF83" s="357">
        <f t="shared" ref="AF83" si="199">+AF82+1%</f>
        <v>0.12</v>
      </c>
      <c r="AG83" s="357">
        <f t="shared" ref="AG83" si="200">+AG82+1%</f>
        <v>0.08</v>
      </c>
      <c r="AJ83" s="357">
        <f t="shared" ref="AJ83" si="201">+AJ82+1%</f>
        <v>6.0000000000000005E-2</v>
      </c>
      <c r="AK83" s="357">
        <f t="shared" ref="AK83" si="202">+AK82+1%</f>
        <v>6.0000000000000005E-2</v>
      </c>
      <c r="AN83" s="357">
        <f t="shared" ref="AN83" si="203">+AN82+1%</f>
        <v>6.0000000000000005E-2</v>
      </c>
      <c r="AO83" s="357">
        <f t="shared" ref="AO83" si="204">+AO82+1%</f>
        <v>6.0000000000000005E-2</v>
      </c>
      <c r="AR83" s="357">
        <f t="shared" ref="AR83" si="205">+AR82+1%</f>
        <v>6.0000000000000005E-2</v>
      </c>
      <c r="AS83" s="357">
        <f t="shared" ref="AS83" si="206">+AS82+1%</f>
        <v>6.0000000000000005E-2</v>
      </c>
      <c r="AV83" s="357">
        <f t="shared" ref="AV83" si="207">+AV82+1%</f>
        <v>6.0000000000000005E-2</v>
      </c>
      <c r="AW83" s="357">
        <f t="shared" ref="AW83" si="208">+AW82+1%</f>
        <v>6.0000000000000005E-2</v>
      </c>
      <c r="AZ83" s="357">
        <f t="shared" ref="AZ83" si="209">+AZ82+1%</f>
        <v>6.0000000000000005E-2</v>
      </c>
      <c r="BA83" s="357">
        <f t="shared" ref="BA83" si="210">+BA82+1%</f>
        <v>6.0000000000000005E-2</v>
      </c>
      <c r="BD83" s="357">
        <f t="shared" ref="BD83" si="211">+BD82+1%</f>
        <v>6.0000000000000005E-2</v>
      </c>
      <c r="BE83" s="357">
        <f t="shared" ref="BE83" si="212">+BE82+1%</f>
        <v>6.0000000000000005E-2</v>
      </c>
      <c r="BH83" s="357">
        <f t="shared" ref="BH83:BI83" si="213">+BH82+1%</f>
        <v>6.0000000000000005E-2</v>
      </c>
      <c r="BI83" s="357">
        <f t="shared" si="213"/>
        <v>6.0000000000000005E-2</v>
      </c>
      <c r="BL83" s="357">
        <f t="shared" ref="BL83:BM83" si="214">+BL82+1%</f>
        <v>6.0000000000000005E-2</v>
      </c>
      <c r="BM83" s="357">
        <f t="shared" si="214"/>
        <v>6.0000000000000005E-2</v>
      </c>
      <c r="BP83" s="357">
        <f t="shared" ref="BP83:BQ83" si="215">+BP82+1%</f>
        <v>6.0000000000000005E-2</v>
      </c>
      <c r="BQ83" s="357">
        <f t="shared" si="215"/>
        <v>6.0000000000000005E-2</v>
      </c>
    </row>
    <row r="84" spans="2:71">
      <c r="C84" s="128" t="s">
        <v>66</v>
      </c>
      <c r="D84" s="357"/>
      <c r="E84" s="357"/>
      <c r="F84" s="357"/>
      <c r="H84" s="357"/>
      <c r="I84" s="357"/>
      <c r="J84" s="357"/>
      <c r="L84" s="357"/>
      <c r="M84" s="357"/>
      <c r="N84" s="357"/>
      <c r="P84" s="357"/>
      <c r="Q84" s="357"/>
      <c r="R84" s="357"/>
      <c r="T84" s="357"/>
      <c r="U84" s="357"/>
      <c r="V84" s="357"/>
      <c r="X84" s="357"/>
      <c r="Y84" s="357"/>
      <c r="Z84" s="357"/>
      <c r="AB84" s="357"/>
      <c r="AC84" s="357"/>
      <c r="AD84" s="357"/>
      <c r="AF84" s="357">
        <f>+AF82-2%</f>
        <v>0.09</v>
      </c>
      <c r="AG84" s="357">
        <f>+AG82-2%</f>
        <v>0.05</v>
      </c>
      <c r="AJ84" s="357">
        <f>+AJ82-2%</f>
        <v>3.0000000000000002E-2</v>
      </c>
      <c r="AK84" s="357">
        <f>+AK82-2%</f>
        <v>3.0000000000000002E-2</v>
      </c>
      <c r="AN84" s="357">
        <f>+AN82-2%</f>
        <v>3.0000000000000002E-2</v>
      </c>
      <c r="AO84" s="357">
        <f>+AO82-2%</f>
        <v>3.0000000000000002E-2</v>
      </c>
      <c r="AR84" s="357">
        <f>+AR82-2%</f>
        <v>3.0000000000000002E-2</v>
      </c>
      <c r="AS84" s="357">
        <f>+AS82-2%</f>
        <v>3.0000000000000002E-2</v>
      </c>
      <c r="AV84" s="357">
        <f>+AV82-2%</f>
        <v>3.0000000000000002E-2</v>
      </c>
      <c r="AW84" s="357">
        <f>+AW82-2%</f>
        <v>3.0000000000000002E-2</v>
      </c>
      <c r="AZ84" s="357">
        <f>+AZ82-2%</f>
        <v>3.0000000000000002E-2</v>
      </c>
      <c r="BA84" s="357">
        <f>+BA82-2%</f>
        <v>3.0000000000000002E-2</v>
      </c>
      <c r="BD84" s="357">
        <f>+BD82-2%</f>
        <v>3.0000000000000002E-2</v>
      </c>
      <c r="BE84" s="357">
        <f>+BE82-2%</f>
        <v>3.0000000000000002E-2</v>
      </c>
      <c r="BH84" s="357">
        <f>+BH82-2%</f>
        <v>3.0000000000000002E-2</v>
      </c>
      <c r="BI84" s="357">
        <f>+BI82-2%</f>
        <v>3.0000000000000002E-2</v>
      </c>
      <c r="BL84" s="357">
        <f>+BL82-2%</f>
        <v>3.0000000000000002E-2</v>
      </c>
      <c r="BM84" s="357">
        <f>+BM82-2%</f>
        <v>3.0000000000000002E-2</v>
      </c>
      <c r="BP84" s="357">
        <f>+BP82-2%</f>
        <v>3.0000000000000002E-2</v>
      </c>
      <c r="BQ84" s="357">
        <f>+BQ82-2%</f>
        <v>3.0000000000000002E-2</v>
      </c>
    </row>
    <row r="85" spans="2:71">
      <c r="D85" s="357"/>
      <c r="E85" s="357"/>
      <c r="F85" s="357"/>
      <c r="H85" s="357"/>
      <c r="I85" s="357"/>
      <c r="J85" s="357"/>
      <c r="L85" s="357"/>
      <c r="M85" s="357"/>
      <c r="N85" s="357"/>
      <c r="P85" s="357"/>
      <c r="Q85" s="357"/>
      <c r="R85" s="357"/>
      <c r="T85" s="357"/>
      <c r="U85" s="357"/>
      <c r="V85" s="357"/>
      <c r="X85" s="357"/>
      <c r="Y85" s="357"/>
      <c r="Z85" s="357"/>
      <c r="AB85" s="357"/>
      <c r="AC85" s="357"/>
      <c r="AD85" s="357"/>
      <c r="AF85" s="357"/>
      <c r="AG85" s="357"/>
      <c r="AJ85" s="357"/>
      <c r="AK85" s="357"/>
      <c r="AN85" s="357"/>
      <c r="AO85" s="357"/>
      <c r="AR85" s="357"/>
      <c r="AS85" s="357"/>
      <c r="AV85" s="357"/>
      <c r="AW85" s="357"/>
      <c r="AZ85" s="357"/>
      <c r="BA85" s="357"/>
      <c r="BD85" s="357"/>
      <c r="BE85" s="357"/>
      <c r="BH85" s="357"/>
      <c r="BI85" s="357"/>
      <c r="BL85" s="357"/>
      <c r="BM85" s="357"/>
      <c r="BP85" s="357"/>
      <c r="BQ85" s="357"/>
    </row>
    <row r="86" spans="2:71">
      <c r="B86" s="354" t="s">
        <v>603</v>
      </c>
      <c r="C86" s="354" t="s">
        <v>605</v>
      </c>
      <c r="D86" s="663">
        <f>'P&amp;L'!P357</f>
        <v>0</v>
      </c>
      <c r="E86" s="663">
        <f>'P&amp;L'!Q357</f>
        <v>0</v>
      </c>
      <c r="F86" s="663">
        <f>'P&amp;L'!R357</f>
        <v>0</v>
      </c>
      <c r="H86" s="663">
        <f>'P&amp;L'!T357</f>
        <v>0</v>
      </c>
      <c r="I86" s="663">
        <f>'P&amp;L'!U357</f>
        <v>0</v>
      </c>
      <c r="J86" s="663">
        <f>'P&amp;L'!V357</f>
        <v>0</v>
      </c>
      <c r="L86" s="663">
        <f>'P&amp;L'!X357</f>
        <v>-3.6496350364964014E-3</v>
      </c>
      <c r="M86" s="663">
        <f>'P&amp;L'!Y357</f>
        <v>6.4308681672025081E-3</v>
      </c>
      <c r="N86" s="663">
        <f>'P&amp;L'!Z357</f>
        <v>1.7094017094019254E-3</v>
      </c>
      <c r="P86" s="663">
        <f>'P&amp;L'!AB357</f>
        <v>5.1282051282051322E-2</v>
      </c>
      <c r="Q86" s="663">
        <f>'P&amp;L'!AC357</f>
        <v>-3.514376996805102E-2</v>
      </c>
      <c r="R86" s="663">
        <f>'P&amp;L'!AD357</f>
        <v>5.1194539249146409E-3</v>
      </c>
      <c r="T86" s="663">
        <f>'P&amp;L'!AF357</f>
        <v>3.8327526132404088E-2</v>
      </c>
      <c r="U86" s="663">
        <f>'P&amp;L'!AG357</f>
        <v>0.35430463576158955</v>
      </c>
      <c r="V86" s="663">
        <f>'P&amp;L'!AH357</f>
        <v>0.20033955857385388</v>
      </c>
      <c r="W86" s="663"/>
      <c r="X86" s="663">
        <f>'P&amp;L'!AJ357</f>
        <v>0.36912751677852329</v>
      </c>
      <c r="Y86" s="663">
        <f>'P&amp;L'!AK357</f>
        <v>0.1716870415647922</v>
      </c>
      <c r="Z86" s="663">
        <f>'P&amp;L'!AL357</f>
        <v>0.25521923620933573</v>
      </c>
      <c r="AA86" s="663"/>
      <c r="AB86" s="663">
        <f>'P&amp;L'!AN357</f>
        <v>0.18872549019607843</v>
      </c>
      <c r="AC86" s="663">
        <f>'P&amp;L'!AO357</f>
        <v>3.0841784566587149E-2</v>
      </c>
      <c r="AD86" s="663">
        <f>'P&amp;L'!AP357</f>
        <v>0.10342107635445741</v>
      </c>
      <c r="AE86" s="663"/>
      <c r="AF86" s="663">
        <f>'P&amp;L'!AR357</f>
        <v>8.9146884475439725E-2</v>
      </c>
      <c r="AG86" s="663">
        <f>'P&amp;L'!AS357</f>
        <v>6.0939314632735719E-2</v>
      </c>
      <c r="AH86" s="663">
        <f>'P&amp;L'!AT357</f>
        <v>7.467194338265104E-2</v>
      </c>
      <c r="AI86" s="663"/>
      <c r="AJ86" s="663">
        <f>'P&amp;L'!AV357</f>
        <v>3.9180791242201529E-2</v>
      </c>
      <c r="AK86" s="663">
        <f>'P&amp;L'!AW357</f>
        <v>4.0877106030146493E-2</v>
      </c>
      <c r="AL86" s="663">
        <f>'P&amp;L'!AX357</f>
        <v>4.0025618182143452E-2</v>
      </c>
      <c r="AM86" s="663"/>
      <c r="AN86" s="663">
        <f>'P&amp;L'!AZ357</f>
        <v>3.9557769155090572E-2</v>
      </c>
      <c r="AO86" s="663">
        <f>'P&amp;L'!BA357</f>
        <v>4.120299071486877E-2</v>
      </c>
      <c r="AP86" s="663">
        <f>'P&amp;L'!BB357</f>
        <v>4.0377820636469552E-2</v>
      </c>
      <c r="AQ86" s="663"/>
      <c r="AR86" s="663">
        <f>'P&amp;L'!BD357</f>
        <v>3.9848853901811143E-2</v>
      </c>
      <c r="AS86" s="663">
        <f>'P&amp;L'!BE357</f>
        <v>4.1447272688139858E-2</v>
      </c>
      <c r="AT86" s="663">
        <f>'P&amp;L'!BF357</f>
        <v>4.064620871911595E-2</v>
      </c>
      <c r="AU86" s="663"/>
      <c r="AV86" s="663">
        <f>'P&amp;L'!BH357</f>
        <v>4.0133624095666676E-2</v>
      </c>
      <c r="AW86" s="663">
        <f>'P&amp;L'!BI357</f>
        <v>4.168595295891997E-2</v>
      </c>
      <c r="AX86" s="663">
        <f>'P&amp;L'!BJ357</f>
        <v>4.0908583513499241E-2</v>
      </c>
      <c r="AY86" s="663"/>
      <c r="AZ86" s="663">
        <f>'P&amp;L'!BL357</f>
        <v>4.0412096857598279E-2</v>
      </c>
      <c r="BA86" s="663">
        <f>'P&amp;L'!BM357</f>
        <v>4.1919080648244567E-2</v>
      </c>
      <c r="BB86" s="663">
        <f>'P&amp;L'!BN357</f>
        <v>4.1164980786582372E-2</v>
      </c>
      <c r="BC86" s="663"/>
      <c r="BD86" s="663">
        <f>'P&amp;L'!BP357</f>
        <v>4.0684297490371391E-2</v>
      </c>
      <c r="BE86" s="663">
        <f>'P&amp;L'!BQ357</f>
        <v>4.2146709750739975E-2</v>
      </c>
      <c r="BF86" s="663">
        <f>'P&amp;L'!BR357</f>
        <v>4.1415442809916492E-2</v>
      </c>
      <c r="BG86" s="663"/>
      <c r="BH86" s="663">
        <f>'P&amp;L'!BT357</f>
        <v>4.0950259033252001E-2</v>
      </c>
      <c r="BI86" s="663">
        <f>'P&amp;L'!BU357</f>
        <v>4.2368898780349218E-2</v>
      </c>
      <c r="BJ86" s="663">
        <f>'P&amp;L'!BV357</f>
        <v>4.1660017949116224E-2</v>
      </c>
      <c r="BK86" s="663"/>
      <c r="BL86" s="663">
        <f>'P&amp;L'!BX357</f>
        <v>4.1210021813163689E-2</v>
      </c>
      <c r="BM86" s="663">
        <f>'P&amp;L'!BY357</f>
        <v>4.2585710422180956E-2</v>
      </c>
      <c r="BN86" s="663">
        <f>'P&amp;L'!BZ357</f>
        <v>4.1898760255798084E-2</v>
      </c>
      <c r="BO86" s="663"/>
      <c r="BP86" s="663">
        <f>'P&amp;L'!CB357</f>
        <v>0</v>
      </c>
      <c r="BQ86" s="663">
        <f>'P&amp;L'!CC357</f>
        <v>0</v>
      </c>
      <c r="BR86" s="663">
        <f>'P&amp;L'!CD357</f>
        <v>0</v>
      </c>
    </row>
    <row r="87" spans="2:71">
      <c r="D87" s="357"/>
      <c r="E87" s="357"/>
      <c r="F87" s="357"/>
      <c r="H87" s="357"/>
      <c r="I87" s="357"/>
      <c r="J87" s="357"/>
      <c r="L87" s="357"/>
      <c r="M87" s="357"/>
      <c r="N87" s="357"/>
      <c r="P87" s="357"/>
      <c r="Q87" s="357"/>
      <c r="R87" s="357"/>
      <c r="T87" s="357"/>
      <c r="U87" s="357"/>
      <c r="V87" s="357"/>
      <c r="X87" s="357"/>
      <c r="Y87" s="357"/>
      <c r="Z87" s="357"/>
      <c r="AB87" s="357"/>
      <c r="AC87" s="357"/>
      <c r="AD87" s="357"/>
      <c r="AF87" s="357"/>
      <c r="AG87" s="357"/>
      <c r="AJ87" s="357"/>
      <c r="AK87" s="357"/>
      <c r="AN87" s="357"/>
      <c r="AO87" s="357"/>
      <c r="AR87" s="357"/>
      <c r="AS87" s="357"/>
      <c r="AV87" s="357"/>
      <c r="AW87" s="357"/>
      <c r="AZ87" s="357"/>
      <c r="BA87" s="357"/>
      <c r="BD87" s="357"/>
      <c r="BE87" s="357"/>
      <c r="BH87" s="357"/>
      <c r="BI87" s="357"/>
      <c r="BL87" s="357"/>
      <c r="BM87" s="357"/>
      <c r="BP87" s="357"/>
      <c r="BQ87" s="357"/>
    </row>
    <row r="88" spans="2:71" s="354" customFormat="1">
      <c r="B88" s="151" t="str">
        <f>+$B$12</f>
        <v>Underlying EBITA margin %</v>
      </c>
      <c r="C88" s="151" t="s">
        <v>64</v>
      </c>
      <c r="D88" s="663">
        <f>+D27</f>
        <v>0.3273542600896861</v>
      </c>
      <c r="E88" s="663">
        <f>+E27</f>
        <v>0.34507042253521109</v>
      </c>
      <c r="F88" s="663">
        <f>+F27</f>
        <v>0.33727810650887563</v>
      </c>
      <c r="G88" s="151"/>
      <c r="H88" s="663">
        <f>+H27</f>
        <v>0.3029197080291971</v>
      </c>
      <c r="I88" s="663">
        <f>+I27</f>
        <v>0.3504823151125403</v>
      </c>
      <c r="J88" s="663">
        <f>+J27</f>
        <v>0.32820512820512815</v>
      </c>
      <c r="K88" s="151"/>
      <c r="L88" s="663">
        <f>+L27</f>
        <v>0.26739926739926739</v>
      </c>
      <c r="M88" s="663">
        <f>+M27</f>
        <v>0.30670926517571867</v>
      </c>
      <c r="N88" s="663">
        <f>+N27</f>
        <v>0.28839590443686003</v>
      </c>
      <c r="O88" s="151"/>
      <c r="P88" s="663">
        <f>+P27</f>
        <v>0.23344947735191646</v>
      </c>
      <c r="Q88" s="663">
        <f>+Q27</f>
        <v>0.28807947019867547</v>
      </c>
      <c r="R88" s="663">
        <f>+R27</f>
        <v>0.26146010186757213</v>
      </c>
      <c r="S88" s="151"/>
      <c r="T88" s="663">
        <f>+T27</f>
        <v>0.22818791946308728</v>
      </c>
      <c r="U88" s="663">
        <f>+U27</f>
        <v>0.33740831295843526</v>
      </c>
      <c r="V88" s="663">
        <f>+V27</f>
        <v>0.29137199434229122</v>
      </c>
      <c r="W88" s="135"/>
      <c r="X88" s="663">
        <f>+X27</f>
        <v>0.36519607843137253</v>
      </c>
      <c r="Y88" s="663">
        <f>+Y27</f>
        <v>0.36457159550936946</v>
      </c>
      <c r="Z88" s="663">
        <f>+Z27</f>
        <v>0.36476832236545587</v>
      </c>
      <c r="AA88" s="135"/>
      <c r="AB88" s="663">
        <f>+AB27</f>
        <v>0.36288659793814437</v>
      </c>
      <c r="AC88" s="663">
        <f>+AC27</f>
        <v>0.32591093117408898</v>
      </c>
      <c r="AD88" s="663">
        <f>+AD27</f>
        <v>0.34415146749453635</v>
      </c>
      <c r="AE88" s="135"/>
      <c r="AF88" s="587">
        <v>0.34</v>
      </c>
      <c r="AG88" s="587">
        <v>0.35</v>
      </c>
      <c r="AH88" s="663">
        <f t="shared" ref="AH88" si="216">+AH27</f>
        <v>0.34498036653306202</v>
      </c>
      <c r="AI88" s="135"/>
      <c r="AJ88" s="587">
        <v>0.35</v>
      </c>
      <c r="AK88" s="587">
        <v>0.36</v>
      </c>
      <c r="AL88" s="663">
        <f t="shared" ref="AL88:BR88" si="217">+AL27</f>
        <v>0.35498444404952634</v>
      </c>
      <c r="AM88" s="135"/>
      <c r="AN88" s="587">
        <v>0.35499999999999998</v>
      </c>
      <c r="AO88" s="587">
        <v>0.36499999999999999</v>
      </c>
      <c r="AP88" s="663">
        <f t="shared" si="217"/>
        <v>0.35998839743454242</v>
      </c>
      <c r="AQ88" s="135"/>
      <c r="AR88" s="587">
        <v>0.35499999999999998</v>
      </c>
      <c r="AS88" s="587">
        <v>0.36499999999999999</v>
      </c>
      <c r="AT88" s="663">
        <f t="shared" si="217"/>
        <v>0.35999223738073588</v>
      </c>
      <c r="AU88" s="135"/>
      <c r="AV88" s="587">
        <v>0.35499999999999998</v>
      </c>
      <c r="AW88" s="587">
        <v>0.36499999999999999</v>
      </c>
      <c r="AX88" s="663">
        <f t="shared" si="217"/>
        <v>0.35999596567433018</v>
      </c>
      <c r="AY88" s="135"/>
      <c r="AZ88" s="587">
        <v>0.35499999999999998</v>
      </c>
      <c r="BA88" s="587">
        <v>0.36499999999999999</v>
      </c>
      <c r="BB88" s="663">
        <f t="shared" si="217"/>
        <v>0.35999958417581007</v>
      </c>
      <c r="BC88" s="135"/>
      <c r="BD88" s="587">
        <v>0.35499999999999998</v>
      </c>
      <c r="BE88" s="587">
        <v>0.36499999999999999</v>
      </c>
      <c r="BF88" s="663">
        <f t="shared" si="217"/>
        <v>0.36000309481188797</v>
      </c>
      <c r="BG88" s="135"/>
      <c r="BH88" s="587">
        <v>0.35499999999999998</v>
      </c>
      <c r="BI88" s="587">
        <v>0.36499999999999999</v>
      </c>
      <c r="BJ88" s="663">
        <f t="shared" si="217"/>
        <v>0.36000649956770825</v>
      </c>
      <c r="BK88" s="135"/>
      <c r="BL88" s="587">
        <v>0.35499999999999998</v>
      </c>
      <c r="BM88" s="587">
        <v>0.36499999999999999</v>
      </c>
      <c r="BN88" s="663">
        <f t="shared" si="217"/>
        <v>0.36000980047931541</v>
      </c>
      <c r="BO88" s="135"/>
      <c r="BP88" s="587">
        <v>0.35499999999999998</v>
      </c>
      <c r="BQ88" s="587">
        <v>0.36499999999999999</v>
      </c>
      <c r="BR88" s="663">
        <f t="shared" si="217"/>
        <v>0</v>
      </c>
      <c r="BS88" s="135"/>
    </row>
    <row r="89" spans="2:71">
      <c r="C89" s="128" t="s">
        <v>65</v>
      </c>
      <c r="D89" s="357"/>
      <c r="E89" s="357"/>
      <c r="F89" s="357"/>
      <c r="H89" s="357"/>
      <c r="I89" s="357"/>
      <c r="J89" s="357"/>
      <c r="L89" s="357"/>
      <c r="M89" s="357"/>
      <c r="N89" s="357"/>
      <c r="P89" s="357"/>
      <c r="Q89" s="357"/>
      <c r="R89" s="357"/>
      <c r="T89" s="357"/>
      <c r="U89" s="357"/>
      <c r="V89" s="357"/>
      <c r="X89" s="357"/>
      <c r="Y89" s="357"/>
      <c r="Z89" s="357"/>
      <c r="AB89" s="357"/>
      <c r="AC89" s="357"/>
      <c r="AD89" s="357"/>
      <c r="AF89" s="357">
        <f t="shared" ref="AF89:AG89" si="218">+AF88+4%</f>
        <v>0.38</v>
      </c>
      <c r="AG89" s="357">
        <f t="shared" si="218"/>
        <v>0.38999999999999996</v>
      </c>
      <c r="AJ89" s="357">
        <f t="shared" ref="AJ89:AK89" si="219">+AJ88+4%</f>
        <v>0.38999999999999996</v>
      </c>
      <c r="AK89" s="357">
        <f t="shared" si="219"/>
        <v>0.39999999999999997</v>
      </c>
      <c r="AN89" s="357">
        <f t="shared" ref="AN89:AO89" si="220">+AN88+4%</f>
        <v>0.39499999999999996</v>
      </c>
      <c r="AO89" s="357">
        <f t="shared" si="220"/>
        <v>0.40499999999999997</v>
      </c>
      <c r="AR89" s="357">
        <f t="shared" ref="AR89:AS89" si="221">+AR88+4%</f>
        <v>0.39499999999999996</v>
      </c>
      <c r="AS89" s="357">
        <f t="shared" si="221"/>
        <v>0.40499999999999997</v>
      </c>
      <c r="AV89" s="357">
        <f t="shared" ref="AV89:AW89" si="222">+AV88+4%</f>
        <v>0.39499999999999996</v>
      </c>
      <c r="AW89" s="357">
        <f t="shared" si="222"/>
        <v>0.40499999999999997</v>
      </c>
      <c r="AZ89" s="357">
        <f t="shared" ref="AZ89:BA89" si="223">+AZ88+4%</f>
        <v>0.39499999999999996</v>
      </c>
      <c r="BA89" s="357">
        <f t="shared" si="223"/>
        <v>0.40499999999999997</v>
      </c>
      <c r="BD89" s="357">
        <f t="shared" ref="BD89:BE89" si="224">+BD88+4%</f>
        <v>0.39499999999999996</v>
      </c>
      <c r="BE89" s="357">
        <f t="shared" si="224"/>
        <v>0.40499999999999997</v>
      </c>
      <c r="BH89" s="357">
        <f t="shared" ref="BH89:BI89" si="225">+BH88+4%</f>
        <v>0.39499999999999996</v>
      </c>
      <c r="BI89" s="357">
        <f t="shared" si="225"/>
        <v>0.40499999999999997</v>
      </c>
      <c r="BL89" s="357">
        <f t="shared" ref="BL89:BM89" si="226">+BL88+4%</f>
        <v>0.39499999999999996</v>
      </c>
      <c r="BM89" s="357">
        <f t="shared" si="226"/>
        <v>0.40499999999999997</v>
      </c>
      <c r="BP89" s="357">
        <f t="shared" ref="BP89:BQ89" si="227">+BP88+4%</f>
        <v>0.39499999999999996</v>
      </c>
      <c r="BQ89" s="357">
        <f t="shared" si="227"/>
        <v>0.40499999999999997</v>
      </c>
    </row>
    <row r="90" spans="2:71">
      <c r="C90" s="128" t="s">
        <v>66</v>
      </c>
      <c r="D90" s="357"/>
      <c r="E90" s="357"/>
      <c r="F90" s="357"/>
      <c r="H90" s="357"/>
      <c r="I90" s="357"/>
      <c r="J90" s="357"/>
      <c r="L90" s="357"/>
      <c r="M90" s="357"/>
      <c r="N90" s="357"/>
      <c r="P90" s="357"/>
      <c r="Q90" s="357"/>
      <c r="R90" s="357"/>
      <c r="T90" s="357"/>
      <c r="U90" s="357"/>
      <c r="V90" s="357"/>
      <c r="X90" s="357"/>
      <c r="Y90" s="357"/>
      <c r="Z90" s="357"/>
      <c r="AB90" s="357"/>
      <c r="AC90" s="357"/>
      <c r="AD90" s="357"/>
      <c r="AF90" s="357">
        <f>+AF88-2%</f>
        <v>0.32</v>
      </c>
      <c r="AG90" s="357">
        <f>+AG88-2%</f>
        <v>0.32999999999999996</v>
      </c>
      <c r="AJ90" s="357">
        <f>+AJ88-2%</f>
        <v>0.32999999999999996</v>
      </c>
      <c r="AK90" s="357">
        <f>+AK88-2%</f>
        <v>0.33999999999999997</v>
      </c>
      <c r="AN90" s="357">
        <f>+AN88-2%</f>
        <v>0.33499999999999996</v>
      </c>
      <c r="AO90" s="357">
        <f>+AO88-2%</f>
        <v>0.34499999999999997</v>
      </c>
      <c r="AR90" s="357">
        <f>+AR88-2%</f>
        <v>0.33499999999999996</v>
      </c>
      <c r="AS90" s="357">
        <f>+AS88-2%</f>
        <v>0.34499999999999997</v>
      </c>
      <c r="AV90" s="357">
        <f>+AV88-2%</f>
        <v>0.33499999999999996</v>
      </c>
      <c r="AW90" s="357">
        <f>+AW88-2%</f>
        <v>0.34499999999999997</v>
      </c>
      <c r="AZ90" s="357">
        <f>+AZ88-2%</f>
        <v>0.33499999999999996</v>
      </c>
      <c r="BA90" s="357">
        <f>+BA88-2%</f>
        <v>0.34499999999999997</v>
      </c>
      <c r="BD90" s="357">
        <f>+BD88-2%</f>
        <v>0.33499999999999996</v>
      </c>
      <c r="BE90" s="357">
        <f>+BE88-2%</f>
        <v>0.34499999999999997</v>
      </c>
      <c r="BH90" s="357">
        <f>+BH88-2%</f>
        <v>0.33499999999999996</v>
      </c>
      <c r="BI90" s="357">
        <f>+BI88-2%</f>
        <v>0.34499999999999997</v>
      </c>
      <c r="BL90" s="357">
        <f>+BL88-2%</f>
        <v>0.33499999999999996</v>
      </c>
      <c r="BM90" s="357">
        <f>+BM88-2%</f>
        <v>0.34499999999999997</v>
      </c>
      <c r="BP90" s="357">
        <f>+BP88-2%</f>
        <v>0.33499999999999996</v>
      </c>
      <c r="BQ90" s="357">
        <f>+BQ88-2%</f>
        <v>0.34499999999999997</v>
      </c>
    </row>
    <row r="91" spans="2:71">
      <c r="D91" s="357"/>
      <c r="E91" s="357"/>
      <c r="F91" s="357"/>
      <c r="H91" s="357"/>
      <c r="I91" s="357"/>
      <c r="J91" s="357"/>
      <c r="L91" s="357"/>
      <c r="M91" s="357"/>
      <c r="N91" s="357"/>
      <c r="P91" s="357"/>
      <c r="Q91" s="357"/>
      <c r="R91" s="357"/>
      <c r="T91" s="357"/>
      <c r="U91" s="357"/>
      <c r="V91" s="357"/>
      <c r="X91" s="357"/>
      <c r="Y91" s="357"/>
      <c r="Z91" s="357"/>
      <c r="AB91" s="357"/>
      <c r="AC91" s="357"/>
      <c r="AD91" s="357"/>
      <c r="AF91" s="357"/>
      <c r="AG91" s="357"/>
      <c r="AJ91" s="357"/>
      <c r="AK91" s="357"/>
      <c r="AN91" s="357"/>
      <c r="AO91" s="357"/>
      <c r="AR91" s="357"/>
      <c r="AS91" s="357"/>
      <c r="AV91" s="357"/>
      <c r="AW91" s="357"/>
      <c r="AZ91" s="357"/>
      <c r="BA91" s="357"/>
      <c r="BD91" s="357"/>
      <c r="BE91" s="357"/>
      <c r="BH91" s="357"/>
      <c r="BI91" s="357"/>
      <c r="BL91" s="357"/>
      <c r="BM91" s="357"/>
      <c r="BP91" s="357"/>
      <c r="BQ91" s="357"/>
    </row>
    <row r="92" spans="2:71" s="354" customFormat="1">
      <c r="B92" s="151" t="str">
        <f>+$B$13</f>
        <v>Profit share %</v>
      </c>
      <c r="C92" s="151" t="s">
        <v>64</v>
      </c>
      <c r="D92" s="663">
        <f>+D28</f>
        <v>0.52459016393442626</v>
      </c>
      <c r="E92" s="663">
        <f>+E28</f>
        <v>0.75949367088607578</v>
      </c>
      <c r="F92" s="663">
        <f>+F28</f>
        <v>0.65714285714285714</v>
      </c>
      <c r="G92" s="151"/>
      <c r="H92" s="663">
        <f>+H28</f>
        <v>0.74242424242424254</v>
      </c>
      <c r="I92" s="663">
        <f>+I28</f>
        <v>0.76041666666666663</v>
      </c>
      <c r="J92" s="663">
        <f>+J28</f>
        <v>0.75308641975308643</v>
      </c>
      <c r="K92" s="151"/>
      <c r="L92" s="663">
        <f>+L28</f>
        <v>0.72580645161290325</v>
      </c>
      <c r="M92" s="663">
        <f>+M28</f>
        <v>0.71764705882352942</v>
      </c>
      <c r="N92" s="663">
        <f>+N28</f>
        <v>0.72108843537414968</v>
      </c>
      <c r="O92" s="151"/>
      <c r="P92" s="663">
        <f>+P28</f>
        <v>0.64814814814814814</v>
      </c>
      <c r="Q92" s="663">
        <f>+Q28</f>
        <v>0.72368421052631582</v>
      </c>
      <c r="R92" s="663">
        <f>+R28</f>
        <v>0.69230769230769229</v>
      </c>
      <c r="S92" s="151"/>
      <c r="T92" s="663">
        <f>+T28</f>
        <v>0.76190476190476186</v>
      </c>
      <c r="U92" s="663">
        <f>+U28</f>
        <v>0.73076923076923073</v>
      </c>
      <c r="V92" s="663">
        <f>+V28</f>
        <v>0.7409326424870466</v>
      </c>
      <c r="W92" s="135"/>
      <c r="X92" s="663">
        <f>+X28</f>
        <v>0.76760563380281699</v>
      </c>
      <c r="Y92" s="663">
        <f>+Y28</f>
        <v>0.75184525324510054</v>
      </c>
      <c r="Z92" s="663">
        <f>+Z28</f>
        <v>0.75932611311672682</v>
      </c>
      <c r="AA92" s="135"/>
      <c r="AB92" s="663">
        <f>+AB28</f>
        <v>0.76249999999999996</v>
      </c>
      <c r="AC92" s="663">
        <f>+AC28</f>
        <v>0.73825503355704702</v>
      </c>
      <c r="AD92" s="663">
        <f>+AD28</f>
        <v>0.7508090614886731</v>
      </c>
      <c r="AE92" s="135"/>
      <c r="AF92" s="587">
        <v>0.77</v>
      </c>
      <c r="AG92" s="587">
        <v>0.77</v>
      </c>
      <c r="AH92" s="663">
        <f>+AH28</f>
        <v>0.76999999999999991</v>
      </c>
      <c r="AI92" s="135"/>
      <c r="AJ92" s="587">
        <v>0.77</v>
      </c>
      <c r="AK92" s="587">
        <v>0.77</v>
      </c>
      <c r="AL92" s="663">
        <f t="shared" ref="AL92" si="228">+AL28</f>
        <v>0.77</v>
      </c>
      <c r="AM92" s="135"/>
      <c r="AN92" s="587">
        <v>0.77</v>
      </c>
      <c r="AO92" s="587">
        <v>0.77</v>
      </c>
      <c r="AP92" s="663">
        <f t="shared" ref="AP92" si="229">+AP28</f>
        <v>0.76999999999999991</v>
      </c>
      <c r="AQ92" s="135"/>
      <c r="AR92" s="587">
        <v>0.77</v>
      </c>
      <c r="AS92" s="587">
        <v>0.77</v>
      </c>
      <c r="AT92" s="663">
        <f t="shared" ref="AT92" si="230">+AT28</f>
        <v>0.77</v>
      </c>
      <c r="AU92" s="135"/>
      <c r="AV92" s="587">
        <v>0.77</v>
      </c>
      <c r="AW92" s="587">
        <v>0.77</v>
      </c>
      <c r="AX92" s="663">
        <f t="shared" ref="AX92" si="231">+AX28</f>
        <v>0.77000000000000013</v>
      </c>
      <c r="AY92" s="135"/>
      <c r="AZ92" s="587">
        <v>0.77</v>
      </c>
      <c r="BA92" s="587">
        <v>0.77</v>
      </c>
      <c r="BB92" s="663">
        <f t="shared" ref="BB92" si="232">+BB28</f>
        <v>0.77</v>
      </c>
      <c r="BC92" s="135"/>
      <c r="BD92" s="587">
        <v>0.77</v>
      </c>
      <c r="BE92" s="587">
        <v>0.77</v>
      </c>
      <c r="BF92" s="663">
        <f t="shared" ref="BF92" si="233">+BF28</f>
        <v>0.77000000000000013</v>
      </c>
      <c r="BG92" s="135"/>
      <c r="BH92" s="587">
        <v>0.77</v>
      </c>
      <c r="BI92" s="587">
        <v>0.77</v>
      </c>
      <c r="BJ92" s="663">
        <f t="shared" ref="BJ92" si="234">+BJ28</f>
        <v>0.77</v>
      </c>
      <c r="BK92" s="135"/>
      <c r="BL92" s="587">
        <v>0.77</v>
      </c>
      <c r="BM92" s="587">
        <v>0.77</v>
      </c>
      <c r="BN92" s="663">
        <f t="shared" ref="BN92" si="235">+BN28</f>
        <v>0.77</v>
      </c>
      <c r="BO92" s="135"/>
      <c r="BP92" s="587">
        <v>0.77</v>
      </c>
      <c r="BQ92" s="587">
        <v>0.77</v>
      </c>
      <c r="BR92" s="663">
        <f t="shared" ref="BR92" si="236">+BR28</f>
        <v>0</v>
      </c>
    </row>
    <row r="93" spans="2:71">
      <c r="C93" s="128" t="s">
        <v>65</v>
      </c>
      <c r="D93" s="357"/>
      <c r="E93" s="357"/>
      <c r="F93" s="357"/>
      <c r="H93" s="357"/>
      <c r="I93" s="357"/>
      <c r="J93" s="357"/>
      <c r="L93" s="357"/>
      <c r="M93" s="357"/>
      <c r="N93" s="357"/>
      <c r="P93" s="357"/>
      <c r="Q93" s="357"/>
      <c r="R93" s="357"/>
      <c r="T93" s="357"/>
      <c r="U93" s="357"/>
      <c r="V93" s="357"/>
      <c r="X93" s="357"/>
      <c r="Y93" s="357"/>
      <c r="Z93" s="357"/>
      <c r="AB93" s="357"/>
      <c r="AC93" s="357"/>
      <c r="AD93" s="357"/>
      <c r="AF93" s="357">
        <f>+AF92+2%</f>
        <v>0.79</v>
      </c>
      <c r="AG93" s="357">
        <f>+AG92+2%</f>
        <v>0.79</v>
      </c>
      <c r="AJ93" s="357">
        <f>+AJ92+2%</f>
        <v>0.79</v>
      </c>
      <c r="AK93" s="357">
        <f>+AK92+2%</f>
        <v>0.79</v>
      </c>
      <c r="AN93" s="357">
        <f>+AN92+2%</f>
        <v>0.79</v>
      </c>
      <c r="AO93" s="357">
        <f>+AO92+2%</f>
        <v>0.79</v>
      </c>
      <c r="AR93" s="357">
        <f>+AR92+2%</f>
        <v>0.79</v>
      </c>
      <c r="AS93" s="357">
        <f>+AS92+2%</f>
        <v>0.79</v>
      </c>
      <c r="AV93" s="357">
        <f>+AV92+2%</f>
        <v>0.79</v>
      </c>
      <c r="AW93" s="357">
        <f>+AW92+2%</f>
        <v>0.79</v>
      </c>
      <c r="AZ93" s="357">
        <f>+AZ92+2%</f>
        <v>0.79</v>
      </c>
      <c r="BA93" s="357">
        <f>+BA92+2%</f>
        <v>0.79</v>
      </c>
      <c r="BD93" s="357">
        <f>+BD92+2%</f>
        <v>0.79</v>
      </c>
      <c r="BE93" s="357">
        <f>+BE92+2%</f>
        <v>0.79</v>
      </c>
      <c r="BH93" s="357">
        <f>+BH92+2%</f>
        <v>0.79</v>
      </c>
      <c r="BI93" s="357">
        <f>+BI92+2%</f>
        <v>0.79</v>
      </c>
      <c r="BL93" s="357">
        <f>+BL92+2%</f>
        <v>0.79</v>
      </c>
      <c r="BM93" s="357">
        <f>+BM92+2%</f>
        <v>0.79</v>
      </c>
      <c r="BP93" s="357">
        <f>+BP92+2%</f>
        <v>0.79</v>
      </c>
      <c r="BQ93" s="357">
        <f>+BQ92+2%</f>
        <v>0.79</v>
      </c>
    </row>
    <row r="94" spans="2:71">
      <c r="C94" s="128" t="s">
        <v>66</v>
      </c>
      <c r="D94" s="357"/>
      <c r="E94" s="357"/>
      <c r="F94" s="357"/>
      <c r="H94" s="357"/>
      <c r="I94" s="357"/>
      <c r="J94" s="357"/>
      <c r="L94" s="357"/>
      <c r="M94" s="357"/>
      <c r="N94" s="357"/>
      <c r="P94" s="357"/>
      <c r="Q94" s="357"/>
      <c r="R94" s="357"/>
      <c r="T94" s="357"/>
      <c r="U94" s="357"/>
      <c r="V94" s="357"/>
      <c r="X94" s="357"/>
      <c r="Y94" s="357"/>
      <c r="Z94" s="357"/>
      <c r="AB94" s="357"/>
      <c r="AC94" s="357"/>
      <c r="AD94" s="357"/>
      <c r="AF94" s="357">
        <f>+AF92-2%</f>
        <v>0.75</v>
      </c>
      <c r="AG94" s="357">
        <f>+AG92-2%</f>
        <v>0.75</v>
      </c>
      <c r="AJ94" s="357">
        <f>+AJ92-2%</f>
        <v>0.75</v>
      </c>
      <c r="AK94" s="357">
        <f>+AK92-2%</f>
        <v>0.75</v>
      </c>
      <c r="AN94" s="357">
        <f>+AN92-2%</f>
        <v>0.75</v>
      </c>
      <c r="AO94" s="357">
        <f>+AO92-2%</f>
        <v>0.75</v>
      </c>
      <c r="AR94" s="357">
        <f>+AR92-2%</f>
        <v>0.75</v>
      </c>
      <c r="AS94" s="357">
        <f>+AS92-2%</f>
        <v>0.75</v>
      </c>
      <c r="AV94" s="357">
        <f>+AV92-2%</f>
        <v>0.75</v>
      </c>
      <c r="AW94" s="357">
        <f>+AW92-2%</f>
        <v>0.75</v>
      </c>
      <c r="AZ94" s="357">
        <f>+AZ92-2%</f>
        <v>0.75</v>
      </c>
      <c r="BA94" s="357">
        <f>+BA92-2%</f>
        <v>0.75</v>
      </c>
      <c r="BD94" s="357">
        <f>+BD92-2%</f>
        <v>0.75</v>
      </c>
      <c r="BE94" s="357">
        <f>+BE92-2%</f>
        <v>0.75</v>
      </c>
      <c r="BH94" s="357">
        <f>+BH92-2%</f>
        <v>0.75</v>
      </c>
      <c r="BI94" s="357">
        <f>+BI92-2%</f>
        <v>0.75</v>
      </c>
      <c r="BL94" s="357">
        <f>+BL92-2%</f>
        <v>0.75</v>
      </c>
      <c r="BM94" s="357">
        <f>+BM92-2%</f>
        <v>0.75</v>
      </c>
      <c r="BP94" s="357">
        <f>+BP92-2%</f>
        <v>0.75</v>
      </c>
      <c r="BQ94" s="357">
        <f>+BQ92-2%</f>
        <v>0.75</v>
      </c>
    </row>
    <row r="96" spans="2:71">
      <c r="B96" s="588" t="s">
        <v>698</v>
      </c>
      <c r="C96" s="589"/>
      <c r="D96" s="590"/>
      <c r="E96" s="589"/>
      <c r="F96" s="589"/>
      <c r="G96" s="589"/>
      <c r="H96" s="590"/>
      <c r="I96" s="589"/>
      <c r="J96" s="589"/>
      <c r="K96" s="589"/>
      <c r="L96" s="590"/>
      <c r="M96" s="589"/>
      <c r="N96" s="589"/>
      <c r="O96" s="589"/>
      <c r="P96" s="590"/>
      <c r="Q96" s="589"/>
      <c r="R96" s="589"/>
      <c r="S96" s="589"/>
      <c r="T96" s="590"/>
      <c r="U96" s="589"/>
      <c r="V96" s="589"/>
      <c r="W96" s="590"/>
      <c r="X96" s="590"/>
      <c r="Y96" s="589"/>
      <c r="Z96" s="589"/>
      <c r="AA96" s="590"/>
      <c r="AB96" s="590"/>
      <c r="AC96" s="589"/>
      <c r="AD96" s="589"/>
      <c r="AE96" s="590"/>
      <c r="AF96" s="590"/>
      <c r="AG96" s="590"/>
      <c r="AH96" s="590"/>
      <c r="AI96" s="590"/>
      <c r="AJ96" s="590"/>
      <c r="AK96" s="590"/>
      <c r="AL96" s="590"/>
      <c r="AM96" s="590"/>
      <c r="AN96" s="590"/>
      <c r="AO96" s="590"/>
      <c r="AP96" s="590"/>
      <c r="AQ96" s="590"/>
      <c r="AR96" s="590"/>
      <c r="AS96" s="590"/>
      <c r="AT96" s="590"/>
      <c r="AU96" s="590"/>
      <c r="AV96" s="590"/>
      <c r="AW96" s="590"/>
      <c r="AX96" s="590"/>
      <c r="AY96" s="590"/>
      <c r="AZ96" s="590"/>
      <c r="BA96" s="590"/>
      <c r="BB96" s="590"/>
      <c r="BC96" s="590"/>
      <c r="BD96" s="590"/>
      <c r="BE96" s="590"/>
      <c r="BF96" s="590"/>
      <c r="BG96" s="590"/>
      <c r="BH96" s="590"/>
      <c r="BI96" s="590"/>
      <c r="BJ96" s="590"/>
      <c r="BK96" s="590"/>
      <c r="BL96" s="590"/>
      <c r="BM96" s="590"/>
      <c r="BN96" s="590"/>
      <c r="BO96" s="590"/>
      <c r="BP96" s="590"/>
      <c r="BQ96" s="590"/>
      <c r="BR96" s="590"/>
    </row>
    <row r="97" spans="2:71" s="354" customFormat="1">
      <c r="B97" s="151" t="str">
        <f>+B31</f>
        <v>Commission and fee income growth %</v>
      </c>
      <c r="C97" s="151" t="s">
        <v>64</v>
      </c>
      <c r="E97" s="151"/>
      <c r="F97" s="151"/>
      <c r="G97" s="151"/>
      <c r="I97" s="151"/>
      <c r="J97" s="151"/>
      <c r="K97" s="151"/>
      <c r="M97" s="151"/>
      <c r="N97" s="151"/>
      <c r="O97" s="151"/>
      <c r="Q97" s="151"/>
      <c r="R97" s="151"/>
      <c r="S97" s="151"/>
      <c r="T97" s="663"/>
      <c r="U97" s="151"/>
      <c r="V97" s="151"/>
      <c r="W97" s="135"/>
      <c r="X97" s="894">
        <f t="shared" ref="X97:Z97" si="237">+X31</f>
        <v>1.0794780545670228</v>
      </c>
      <c r="Y97" s="663">
        <f t="shared" si="237"/>
        <v>1.2914661939731564E-2</v>
      </c>
      <c r="Z97" s="663">
        <f t="shared" si="237"/>
        <v>0.33203194321206753</v>
      </c>
      <c r="AA97" s="135"/>
      <c r="AB97" s="663">
        <f t="shared" ref="AB97:AD97" si="238">+AB31</f>
        <v>5.9897318881916739E-2</v>
      </c>
      <c r="AC97" s="663">
        <f t="shared" si="238"/>
        <v>0.19350000000000001</v>
      </c>
      <c r="AD97" s="663">
        <f t="shared" si="238"/>
        <v>0.1310951239008793</v>
      </c>
      <c r="AE97" s="135"/>
      <c r="AF97" s="587">
        <v>0.12</v>
      </c>
      <c r="AG97" s="587">
        <v>0.05</v>
      </c>
      <c r="AH97" s="663">
        <f>+AH31</f>
        <v>6.5316591543249647E-2</v>
      </c>
      <c r="AI97" s="135"/>
      <c r="AJ97" s="587">
        <v>0.05</v>
      </c>
      <c r="AK97" s="587">
        <v>0.05</v>
      </c>
      <c r="AL97" s="663">
        <f>+AL31</f>
        <v>4.621220516147484E-2</v>
      </c>
      <c r="AM97" s="135"/>
      <c r="AN97" s="587">
        <v>0.05</v>
      </c>
      <c r="AO97" s="587">
        <v>0.05</v>
      </c>
      <c r="AP97" s="663">
        <f>+AP31</f>
        <v>4.6379515723638187E-2</v>
      </c>
      <c r="AQ97" s="135"/>
      <c r="AR97" s="587">
        <v>0.05</v>
      </c>
      <c r="AS97" s="587">
        <v>0.05</v>
      </c>
      <c r="AT97" s="663">
        <f>+AT31</f>
        <v>4.653998934233905E-2</v>
      </c>
      <c r="AU97" s="135"/>
      <c r="AV97" s="587">
        <v>0.05</v>
      </c>
      <c r="AW97" s="587">
        <v>0.05</v>
      </c>
      <c r="AX97" s="663">
        <f>+AX31</f>
        <v>4.6693857193325972E-2</v>
      </c>
      <c r="AY97" s="135"/>
      <c r="AZ97" s="587">
        <v>0.05</v>
      </c>
      <c r="BA97" s="587">
        <v>0.05</v>
      </c>
      <c r="BB97" s="663">
        <f>+BB31</f>
        <v>4.6841346890541979E-2</v>
      </c>
      <c r="BC97" s="135"/>
      <c r="BD97" s="587">
        <v>0.05</v>
      </c>
      <c r="BE97" s="587">
        <v>0.05</v>
      </c>
      <c r="BF97" s="663">
        <f>+BF31</f>
        <v>4.6982682123857478E-2</v>
      </c>
      <c r="BG97" s="135"/>
      <c r="BH97" s="587">
        <v>0.05</v>
      </c>
      <c r="BI97" s="587">
        <v>0.05</v>
      </c>
      <c r="BJ97" s="663">
        <f>+BJ31</f>
        <v>4.7118082344951739E-2</v>
      </c>
      <c r="BK97" s="135"/>
      <c r="BL97" s="587">
        <v>0.05</v>
      </c>
      <c r="BM97" s="587">
        <v>0.05</v>
      </c>
      <c r="BN97" s="663">
        <f>+BN31</f>
        <v>4.7247762498194845E-2</v>
      </c>
      <c r="BO97" s="135"/>
      <c r="BP97" s="587">
        <v>0.05</v>
      </c>
      <c r="BQ97" s="587">
        <v>0.05</v>
      </c>
      <c r="BR97" s="663">
        <f>+BR31</f>
        <v>0</v>
      </c>
    </row>
    <row r="98" spans="2:71">
      <c r="C98" s="128" t="s">
        <v>65</v>
      </c>
      <c r="T98" s="357"/>
      <c r="X98" s="357"/>
      <c r="AB98" s="357"/>
      <c r="AF98" s="357">
        <f t="shared" ref="AF98:AG98" si="239">+AF97+1%</f>
        <v>0.13</v>
      </c>
      <c r="AG98" s="357">
        <f t="shared" si="239"/>
        <v>6.0000000000000005E-2</v>
      </c>
      <c r="AJ98" s="357">
        <f t="shared" ref="AJ98:AK98" si="240">+AJ97+1%</f>
        <v>6.0000000000000005E-2</v>
      </c>
      <c r="AK98" s="357">
        <f t="shared" si="240"/>
        <v>6.0000000000000005E-2</v>
      </c>
      <c r="AN98" s="357">
        <f t="shared" ref="AN98:AO98" si="241">+AN97+1%</f>
        <v>6.0000000000000005E-2</v>
      </c>
      <c r="AO98" s="357">
        <f t="shared" si="241"/>
        <v>6.0000000000000005E-2</v>
      </c>
      <c r="AR98" s="357">
        <f t="shared" ref="AR98:AS98" si="242">+AR97+1%</f>
        <v>6.0000000000000005E-2</v>
      </c>
      <c r="AS98" s="357">
        <f t="shared" si="242"/>
        <v>6.0000000000000005E-2</v>
      </c>
      <c r="AV98" s="357">
        <f t="shared" ref="AV98:AW98" si="243">+AV97+1%</f>
        <v>6.0000000000000005E-2</v>
      </c>
      <c r="AW98" s="357">
        <f t="shared" si="243"/>
        <v>6.0000000000000005E-2</v>
      </c>
      <c r="AZ98" s="357">
        <f t="shared" ref="AZ98:BA98" si="244">+AZ97+1%</f>
        <v>6.0000000000000005E-2</v>
      </c>
      <c r="BA98" s="357">
        <f t="shared" si="244"/>
        <v>6.0000000000000005E-2</v>
      </c>
      <c r="BD98" s="357">
        <f t="shared" ref="BD98:BE98" si="245">+BD97+1%</f>
        <v>6.0000000000000005E-2</v>
      </c>
      <c r="BE98" s="357">
        <f t="shared" si="245"/>
        <v>6.0000000000000005E-2</v>
      </c>
      <c r="BH98" s="357">
        <f t="shared" ref="BH98:BI98" si="246">+BH97+1%</f>
        <v>6.0000000000000005E-2</v>
      </c>
      <c r="BI98" s="357">
        <f t="shared" si="246"/>
        <v>6.0000000000000005E-2</v>
      </c>
      <c r="BL98" s="357">
        <f t="shared" ref="BL98:BM98" si="247">+BL97+1%</f>
        <v>6.0000000000000005E-2</v>
      </c>
      <c r="BM98" s="357">
        <f t="shared" si="247"/>
        <v>6.0000000000000005E-2</v>
      </c>
      <c r="BP98" s="357">
        <f t="shared" ref="BP98:BQ98" si="248">+BP97+1%</f>
        <v>6.0000000000000005E-2</v>
      </c>
      <c r="BQ98" s="357">
        <f t="shared" si="248"/>
        <v>6.0000000000000005E-2</v>
      </c>
    </row>
    <row r="99" spans="2:71">
      <c r="C99" s="128" t="s">
        <v>66</v>
      </c>
      <c r="T99" s="357"/>
      <c r="X99" s="357"/>
      <c r="AB99" s="357"/>
      <c r="AF99" s="357">
        <f>+AF97-2%</f>
        <v>9.9999999999999992E-2</v>
      </c>
      <c r="AG99" s="357">
        <f>+AG97-2%</f>
        <v>3.0000000000000002E-2</v>
      </c>
      <c r="AJ99" s="357">
        <f t="shared" ref="AJ99:AK99" si="249">+AJ97-2%</f>
        <v>3.0000000000000002E-2</v>
      </c>
      <c r="AK99" s="357">
        <f t="shared" si="249"/>
        <v>3.0000000000000002E-2</v>
      </c>
      <c r="AN99" s="357">
        <f t="shared" ref="AN99:AO99" si="250">+AN97-2%</f>
        <v>3.0000000000000002E-2</v>
      </c>
      <c r="AO99" s="357">
        <f t="shared" si="250"/>
        <v>3.0000000000000002E-2</v>
      </c>
      <c r="AR99" s="357">
        <f t="shared" ref="AR99:AS99" si="251">+AR97-2%</f>
        <v>3.0000000000000002E-2</v>
      </c>
      <c r="AS99" s="357">
        <f t="shared" si="251"/>
        <v>3.0000000000000002E-2</v>
      </c>
      <c r="AV99" s="357">
        <f t="shared" ref="AV99:AW99" si="252">+AV97-2%</f>
        <v>3.0000000000000002E-2</v>
      </c>
      <c r="AW99" s="357">
        <f t="shared" si="252"/>
        <v>3.0000000000000002E-2</v>
      </c>
      <c r="AZ99" s="357">
        <f t="shared" ref="AZ99:BA99" si="253">+AZ97-2%</f>
        <v>3.0000000000000002E-2</v>
      </c>
      <c r="BA99" s="357">
        <f t="shared" si="253"/>
        <v>3.0000000000000002E-2</v>
      </c>
      <c r="BD99" s="357">
        <f t="shared" ref="BD99:BE99" si="254">+BD97-2%</f>
        <v>3.0000000000000002E-2</v>
      </c>
      <c r="BE99" s="357">
        <f t="shared" si="254"/>
        <v>3.0000000000000002E-2</v>
      </c>
      <c r="BH99" s="357">
        <f t="shared" ref="BH99:BI99" si="255">+BH97-2%</f>
        <v>3.0000000000000002E-2</v>
      </c>
      <c r="BI99" s="357">
        <f t="shared" si="255"/>
        <v>3.0000000000000002E-2</v>
      </c>
      <c r="BL99" s="357">
        <f t="shared" ref="BL99:BM99" si="256">+BL97-2%</f>
        <v>3.0000000000000002E-2</v>
      </c>
      <c r="BM99" s="357">
        <f t="shared" si="256"/>
        <v>3.0000000000000002E-2</v>
      </c>
      <c r="BP99" s="357">
        <f t="shared" ref="BP99:BQ99" si="257">+BP97-2%</f>
        <v>3.0000000000000002E-2</v>
      </c>
      <c r="BQ99" s="357">
        <f t="shared" si="257"/>
        <v>3.0000000000000002E-2</v>
      </c>
    </row>
    <row r="100" spans="2:71">
      <c r="T100" s="357"/>
      <c r="X100" s="357"/>
      <c r="AB100" s="357"/>
      <c r="AF100" s="357"/>
      <c r="AG100" s="357"/>
      <c r="AJ100" s="357"/>
      <c r="AK100" s="357"/>
      <c r="AN100" s="357"/>
      <c r="AO100" s="357"/>
      <c r="AR100" s="357"/>
      <c r="AS100" s="357"/>
      <c r="AV100" s="357"/>
      <c r="AW100" s="357"/>
      <c r="AZ100" s="357"/>
      <c r="BA100" s="357"/>
      <c r="BD100" s="357"/>
      <c r="BE100" s="357"/>
      <c r="BH100" s="357"/>
      <c r="BI100" s="357"/>
      <c r="BL100" s="357"/>
      <c r="BM100" s="357"/>
      <c r="BP100" s="357"/>
      <c r="BQ100" s="357"/>
    </row>
    <row r="101" spans="2:71" s="354" customFormat="1">
      <c r="B101" s="151" t="str">
        <f>+$B$12</f>
        <v>Underlying EBITA margin %</v>
      </c>
      <c r="C101" s="151" t="s">
        <v>64</v>
      </c>
      <c r="D101" s="663">
        <f>+D32</f>
        <v>0</v>
      </c>
      <c r="E101" s="663">
        <f>+E32</f>
        <v>0</v>
      </c>
      <c r="F101" s="663">
        <f>+F32</f>
        <v>0</v>
      </c>
      <c r="G101" s="151"/>
      <c r="H101" s="663">
        <f>+H32</f>
        <v>0</v>
      </c>
      <c r="I101" s="663">
        <f>+I32</f>
        <v>0</v>
      </c>
      <c r="J101" s="663">
        <f>+J32</f>
        <v>0</v>
      </c>
      <c r="K101" s="151"/>
      <c r="L101" s="663">
        <f>+L32</f>
        <v>0</v>
      </c>
      <c r="M101" s="663">
        <f>+M32</f>
        <v>0</v>
      </c>
      <c r="N101" s="663">
        <f>+N32</f>
        <v>0</v>
      </c>
      <c r="O101" s="151"/>
      <c r="P101" s="663">
        <f>+P32</f>
        <v>0</v>
      </c>
      <c r="Q101" s="663">
        <f>+Q32</f>
        <v>0</v>
      </c>
      <c r="R101" s="663">
        <f>+R32</f>
        <v>0</v>
      </c>
      <c r="S101" s="151"/>
      <c r="T101" s="663">
        <f>+T32</f>
        <v>0.20170704845814977</v>
      </c>
      <c r="U101" s="663">
        <f>+U32</f>
        <v>0.28643585487313261</v>
      </c>
      <c r="V101" s="663">
        <f>+V32</f>
        <v>0.26093154317918127</v>
      </c>
      <c r="W101" s="135"/>
      <c r="X101" s="663">
        <f>+X32</f>
        <v>0.20374220374220384</v>
      </c>
      <c r="Y101" s="663">
        <f>+Y32</f>
        <v>0.27541037591302631</v>
      </c>
      <c r="Z101" s="663">
        <f>+Z32</f>
        <v>0.2418639503115261</v>
      </c>
      <c r="AA101" s="135"/>
      <c r="AB101" s="663">
        <f>+AB32</f>
        <v>0.15591397849462379</v>
      </c>
      <c r="AC101" s="663">
        <f>+AC32</f>
        <v>0.29735935706084937</v>
      </c>
      <c r="AD101" s="663">
        <f>+AD32</f>
        <v>0.23524361450955134</v>
      </c>
      <c r="AE101" s="135"/>
      <c r="AF101" s="587">
        <v>0.2</v>
      </c>
      <c r="AG101" s="587">
        <v>0.30499999999999999</v>
      </c>
      <c r="AH101" s="663">
        <f t="shared" ref="AH101" si="258">+AH32</f>
        <v>0.25699961316137815</v>
      </c>
      <c r="AI101" s="135"/>
      <c r="AJ101" s="587">
        <v>0.20499999999999999</v>
      </c>
      <c r="AK101" s="587">
        <v>0.32</v>
      </c>
      <c r="AL101" s="663">
        <f t="shared" ref="AL101:BR101" si="259">+AL32</f>
        <v>0.26744599002960989</v>
      </c>
      <c r="AM101" s="135"/>
      <c r="AN101" s="587">
        <v>0.215</v>
      </c>
      <c r="AO101" s="587">
        <v>0.33</v>
      </c>
      <c r="AP101" s="663">
        <f t="shared" si="259"/>
        <v>0.27746310320782513</v>
      </c>
      <c r="AQ101" s="135"/>
      <c r="AR101" s="587">
        <v>0.215</v>
      </c>
      <c r="AS101" s="587">
        <v>0.33</v>
      </c>
      <c r="AT101" s="663">
        <f t="shared" si="259"/>
        <v>0.27747951193579445</v>
      </c>
      <c r="AU101" s="135"/>
      <c r="AV101" s="587">
        <v>0.215</v>
      </c>
      <c r="AW101" s="587">
        <v>0.33</v>
      </c>
      <c r="AX101" s="663">
        <f t="shared" si="259"/>
        <v>0.27749524048665403</v>
      </c>
      <c r="AY101" s="135"/>
      <c r="AZ101" s="587">
        <v>0.215</v>
      </c>
      <c r="BA101" s="587">
        <v>0.33</v>
      </c>
      <c r="BB101" s="663">
        <f t="shared" si="259"/>
        <v>0.27751031271507004</v>
      </c>
      <c r="BC101" s="135"/>
      <c r="BD101" s="587">
        <v>0.215</v>
      </c>
      <c r="BE101" s="587">
        <v>0.33</v>
      </c>
      <c r="BF101" s="663">
        <f t="shared" si="259"/>
        <v>0.27752475202374088</v>
      </c>
      <c r="BG101" s="135"/>
      <c r="BH101" s="587">
        <v>0.215</v>
      </c>
      <c r="BI101" s="587">
        <v>0.33</v>
      </c>
      <c r="BJ101" s="663">
        <f t="shared" si="259"/>
        <v>0.27753858133469789</v>
      </c>
      <c r="BK101" s="135"/>
      <c r="BL101" s="587">
        <v>0.215</v>
      </c>
      <c r="BM101" s="587">
        <v>0.33</v>
      </c>
      <c r="BN101" s="663">
        <f t="shared" si="259"/>
        <v>0.27755182306507142</v>
      </c>
      <c r="BO101" s="135"/>
      <c r="BP101" s="587">
        <v>0.215</v>
      </c>
      <c r="BQ101" s="587">
        <v>0.33</v>
      </c>
      <c r="BR101" s="663">
        <f t="shared" si="259"/>
        <v>0</v>
      </c>
      <c r="BS101" s="135"/>
    </row>
    <row r="102" spans="2:71">
      <c r="C102" s="128" t="s">
        <v>65</v>
      </c>
      <c r="D102" s="357"/>
      <c r="E102" s="357"/>
      <c r="F102" s="357"/>
      <c r="H102" s="357"/>
      <c r="I102" s="357"/>
      <c r="J102" s="357"/>
      <c r="L102" s="357"/>
      <c r="M102" s="357"/>
      <c r="N102" s="357"/>
      <c r="P102" s="357"/>
      <c r="Q102" s="357"/>
      <c r="R102" s="357"/>
      <c r="T102" s="357"/>
      <c r="U102" s="357"/>
      <c r="V102" s="357"/>
      <c r="X102" s="357"/>
      <c r="Y102" s="357"/>
      <c r="Z102" s="357"/>
      <c r="AB102" s="357"/>
      <c r="AC102" s="357"/>
      <c r="AD102" s="357"/>
      <c r="AF102" s="357">
        <f t="shared" ref="AF102:AG102" si="260">+AF101+3%</f>
        <v>0.23</v>
      </c>
      <c r="AG102" s="357">
        <f t="shared" si="260"/>
        <v>0.33499999999999996</v>
      </c>
      <c r="AJ102" s="357">
        <f t="shared" ref="AJ102:AK102" si="261">+AJ101+4%</f>
        <v>0.245</v>
      </c>
      <c r="AK102" s="357">
        <f t="shared" si="261"/>
        <v>0.36</v>
      </c>
      <c r="AN102" s="357">
        <f t="shared" ref="AN102:AO102" si="262">+AN101+4%</f>
        <v>0.255</v>
      </c>
      <c r="AO102" s="357">
        <f t="shared" si="262"/>
        <v>0.37</v>
      </c>
      <c r="AR102" s="357">
        <f t="shared" ref="AR102:AS102" si="263">+AR101+4%</f>
        <v>0.255</v>
      </c>
      <c r="AS102" s="357">
        <f t="shared" si="263"/>
        <v>0.37</v>
      </c>
      <c r="AV102" s="357">
        <f t="shared" ref="AV102:AW102" si="264">+AV101+4%</f>
        <v>0.255</v>
      </c>
      <c r="AW102" s="357">
        <f t="shared" si="264"/>
        <v>0.37</v>
      </c>
      <c r="AZ102" s="357">
        <f t="shared" ref="AZ102:BA102" si="265">+AZ101+4%</f>
        <v>0.255</v>
      </c>
      <c r="BA102" s="357">
        <f t="shared" si="265"/>
        <v>0.37</v>
      </c>
      <c r="BD102" s="357">
        <f t="shared" ref="BD102:BE102" si="266">+BD101+4%</f>
        <v>0.255</v>
      </c>
      <c r="BE102" s="357">
        <f t="shared" si="266"/>
        <v>0.37</v>
      </c>
      <c r="BH102" s="357">
        <f t="shared" ref="BH102:BI102" si="267">+BH101+4%</f>
        <v>0.255</v>
      </c>
      <c r="BI102" s="357">
        <f t="shared" si="267"/>
        <v>0.37</v>
      </c>
      <c r="BL102" s="357">
        <f t="shared" ref="BL102:BM102" si="268">+BL101+4%</f>
        <v>0.255</v>
      </c>
      <c r="BM102" s="357">
        <f t="shared" si="268"/>
        <v>0.37</v>
      </c>
      <c r="BP102" s="357">
        <f t="shared" ref="BP102:BQ102" si="269">+BP101+4%</f>
        <v>0.255</v>
      </c>
      <c r="BQ102" s="357">
        <f t="shared" si="269"/>
        <v>0.37</v>
      </c>
    </row>
    <row r="103" spans="2:71">
      <c r="C103" s="128" t="s">
        <v>66</v>
      </c>
      <c r="D103" s="357"/>
      <c r="E103" s="357"/>
      <c r="F103" s="357"/>
      <c r="H103" s="357"/>
      <c r="I103" s="357"/>
      <c r="J103" s="357"/>
      <c r="L103" s="357"/>
      <c r="M103" s="357"/>
      <c r="N103" s="357"/>
      <c r="P103" s="357"/>
      <c r="Q103" s="357"/>
      <c r="R103" s="357"/>
      <c r="T103" s="357"/>
      <c r="U103" s="357"/>
      <c r="V103" s="357"/>
      <c r="X103" s="357"/>
      <c r="Y103" s="357"/>
      <c r="Z103" s="357"/>
      <c r="AB103" s="357"/>
      <c r="AC103" s="357"/>
      <c r="AD103" s="357"/>
      <c r="AF103" s="357">
        <f t="shared" ref="AF103:AG103" si="270">+AF101-4%</f>
        <v>0.16</v>
      </c>
      <c r="AG103" s="357">
        <f t="shared" si="270"/>
        <v>0.26500000000000001</v>
      </c>
      <c r="AJ103" s="357">
        <f t="shared" ref="AJ103:AK103" si="271">+AJ101-4%</f>
        <v>0.16499999999999998</v>
      </c>
      <c r="AK103" s="357">
        <f t="shared" si="271"/>
        <v>0.28000000000000003</v>
      </c>
      <c r="AN103" s="357">
        <f t="shared" ref="AN103:AO103" si="272">+AN101-4%</f>
        <v>0.17499999999999999</v>
      </c>
      <c r="AO103" s="357">
        <f t="shared" si="272"/>
        <v>0.29000000000000004</v>
      </c>
      <c r="AR103" s="357">
        <f t="shared" ref="AR103:AS103" si="273">+AR101-4%</f>
        <v>0.17499999999999999</v>
      </c>
      <c r="AS103" s="357">
        <f t="shared" si="273"/>
        <v>0.29000000000000004</v>
      </c>
      <c r="AV103" s="357">
        <f t="shared" ref="AV103:AW103" si="274">+AV101-4%</f>
        <v>0.17499999999999999</v>
      </c>
      <c r="AW103" s="357">
        <f t="shared" si="274"/>
        <v>0.29000000000000004</v>
      </c>
      <c r="AZ103" s="357">
        <f t="shared" ref="AZ103:BA103" si="275">+AZ101-4%</f>
        <v>0.17499999999999999</v>
      </c>
      <c r="BA103" s="357">
        <f t="shared" si="275"/>
        <v>0.29000000000000004</v>
      </c>
      <c r="BD103" s="357">
        <f t="shared" ref="BD103:BE103" si="276">+BD101-4%</f>
        <v>0.17499999999999999</v>
      </c>
      <c r="BE103" s="357">
        <f t="shared" si="276"/>
        <v>0.29000000000000004</v>
      </c>
      <c r="BH103" s="357">
        <f t="shared" ref="BH103:BI103" si="277">+BH101-4%</f>
        <v>0.17499999999999999</v>
      </c>
      <c r="BI103" s="357">
        <f t="shared" si="277"/>
        <v>0.29000000000000004</v>
      </c>
      <c r="BL103" s="357">
        <f t="shared" ref="BL103:BM103" si="278">+BL101-4%</f>
        <v>0.17499999999999999</v>
      </c>
      <c r="BM103" s="357">
        <f t="shared" si="278"/>
        <v>0.29000000000000004</v>
      </c>
      <c r="BP103" s="357">
        <f t="shared" ref="BP103:BQ103" si="279">+BP101-4%</f>
        <v>0.17499999999999999</v>
      </c>
      <c r="BQ103" s="357">
        <f t="shared" si="279"/>
        <v>0.29000000000000004</v>
      </c>
    </row>
    <row r="104" spans="2:71">
      <c r="D104" s="357"/>
      <c r="E104" s="357"/>
      <c r="F104" s="357"/>
      <c r="H104" s="357"/>
      <c r="I104" s="357"/>
      <c r="J104" s="357"/>
      <c r="L104" s="357"/>
      <c r="M104" s="357"/>
      <c r="N104" s="357"/>
      <c r="P104" s="357"/>
      <c r="Q104" s="357"/>
      <c r="R104" s="357"/>
      <c r="T104" s="357"/>
      <c r="U104" s="357"/>
      <c r="V104" s="357"/>
      <c r="X104" s="357"/>
      <c r="Y104" s="357"/>
      <c r="Z104" s="357"/>
      <c r="AB104" s="357"/>
      <c r="AC104" s="357"/>
      <c r="AD104" s="357"/>
      <c r="AF104" s="898" t="s">
        <v>718</v>
      </c>
      <c r="AG104" s="897">
        <v>3.0232558139534883E-2</v>
      </c>
      <c r="AJ104" s="898" t="s">
        <v>717</v>
      </c>
      <c r="AK104" s="897">
        <f>20%*12%</f>
        <v>2.4E-2</v>
      </c>
      <c r="AN104" s="357"/>
      <c r="AO104" s="357"/>
      <c r="AR104" s="357"/>
      <c r="AS104" s="357"/>
      <c r="AV104" s="357"/>
      <c r="AW104" s="357"/>
      <c r="AZ104" s="357"/>
      <c r="BA104" s="357"/>
      <c r="BD104" s="357"/>
      <c r="BE104" s="357"/>
      <c r="BH104" s="357"/>
      <c r="BI104" s="357"/>
      <c r="BL104" s="357"/>
      <c r="BM104" s="357"/>
      <c r="BP104" s="357"/>
      <c r="BQ104" s="357"/>
    </row>
    <row r="105" spans="2:71" s="354" customFormat="1">
      <c r="B105" s="151" t="str">
        <f>+$B$13</f>
        <v>Profit share %</v>
      </c>
      <c r="C105" s="151" t="s">
        <v>64</v>
      </c>
      <c r="D105" s="663">
        <f>+D33</f>
        <v>0</v>
      </c>
      <c r="E105" s="663">
        <f>+E33</f>
        <v>0</v>
      </c>
      <c r="F105" s="663">
        <f>+F33</f>
        <v>0</v>
      </c>
      <c r="G105" s="151"/>
      <c r="H105" s="663">
        <f>+H33</f>
        <v>0</v>
      </c>
      <c r="I105" s="663">
        <f>+I33</f>
        <v>0</v>
      </c>
      <c r="J105" s="663">
        <f>+J33</f>
        <v>0</v>
      </c>
      <c r="K105" s="151"/>
      <c r="L105" s="663">
        <f>+L33</f>
        <v>0</v>
      </c>
      <c r="M105" s="663">
        <f>+M33</f>
        <v>0</v>
      </c>
      <c r="N105" s="663">
        <f>+N33</f>
        <v>0</v>
      </c>
      <c r="O105" s="151"/>
      <c r="P105" s="663">
        <f>+P33</f>
        <v>0</v>
      </c>
      <c r="Q105" s="663">
        <f>+Q33</f>
        <v>0</v>
      </c>
      <c r="R105" s="663">
        <f>+R33</f>
        <v>0</v>
      </c>
      <c r="S105" s="151"/>
      <c r="T105" s="663">
        <f>+T33</f>
        <v>0.98143598143598165</v>
      </c>
      <c r="U105" s="663">
        <f>+U33</f>
        <v>0.97906455096784917</v>
      </c>
      <c r="V105" s="663">
        <f>+V33</f>
        <v>0.97961783439490457</v>
      </c>
      <c r="W105" s="135"/>
      <c r="X105" s="663">
        <f>+X33</f>
        <v>0.97448979591836737</v>
      </c>
      <c r="Y105" s="663">
        <f>+Y33</f>
        <v>0.97253221735087025</v>
      </c>
      <c r="Z105" s="663">
        <f>+Z33</f>
        <v>0.97330409592017386</v>
      </c>
      <c r="AA105" s="135"/>
      <c r="AB105" s="663">
        <f>+AB33</f>
        <v>0.953125</v>
      </c>
      <c r="AC105" s="663">
        <f>+AC33</f>
        <v>0.94845360824742264</v>
      </c>
      <c r="AD105" s="663">
        <f>+AD33</f>
        <v>0.94981751824817517</v>
      </c>
      <c r="AE105" s="135"/>
      <c r="AF105" s="587">
        <v>0.95299999999999996</v>
      </c>
      <c r="AG105" s="587">
        <v>0.95299999999999996</v>
      </c>
      <c r="AH105" s="663">
        <f>+AH33</f>
        <v>0.95300000000000018</v>
      </c>
      <c r="AI105" s="135"/>
      <c r="AJ105" s="587">
        <v>0.95299999999999996</v>
      </c>
      <c r="AK105" s="587">
        <v>0.95299999999999996</v>
      </c>
      <c r="AL105" s="663">
        <f t="shared" ref="AL105" si="280">+AL33</f>
        <v>0.95300000000000007</v>
      </c>
      <c r="AM105" s="135"/>
      <c r="AN105" s="587">
        <v>0.95299999999999996</v>
      </c>
      <c r="AO105" s="587">
        <v>0.95299999999999996</v>
      </c>
      <c r="AP105" s="663">
        <f t="shared" ref="AP105" si="281">+AP33</f>
        <v>0.95299999999999985</v>
      </c>
      <c r="AQ105" s="135"/>
      <c r="AR105" s="587">
        <v>0.95299999999999996</v>
      </c>
      <c r="AS105" s="587">
        <v>0.95299999999999996</v>
      </c>
      <c r="AT105" s="663">
        <f t="shared" ref="AT105" si="282">+AT33</f>
        <v>0.95299999999999985</v>
      </c>
      <c r="AU105" s="135"/>
      <c r="AV105" s="587">
        <v>0.95299999999999996</v>
      </c>
      <c r="AW105" s="587">
        <v>0.95299999999999996</v>
      </c>
      <c r="AX105" s="663">
        <f t="shared" ref="AX105" si="283">+AX33</f>
        <v>0.95299999999999985</v>
      </c>
      <c r="AY105" s="135"/>
      <c r="AZ105" s="587">
        <v>0.95299999999999996</v>
      </c>
      <c r="BA105" s="587">
        <v>0.95299999999999996</v>
      </c>
      <c r="BB105" s="663">
        <f t="shared" ref="BB105" si="284">+BB33</f>
        <v>0.95299999999999996</v>
      </c>
      <c r="BC105" s="135"/>
      <c r="BD105" s="587">
        <v>0.95299999999999996</v>
      </c>
      <c r="BE105" s="587">
        <v>0.95299999999999996</v>
      </c>
      <c r="BF105" s="663">
        <f t="shared" ref="BF105" si="285">+BF33</f>
        <v>0.95300000000000007</v>
      </c>
      <c r="BG105" s="135"/>
      <c r="BH105" s="587">
        <v>0.95299999999999996</v>
      </c>
      <c r="BI105" s="587">
        <v>0.95299999999999996</v>
      </c>
      <c r="BJ105" s="663">
        <f t="shared" ref="BJ105" si="286">+BJ33</f>
        <v>0.95300000000000018</v>
      </c>
      <c r="BK105" s="135"/>
      <c r="BL105" s="587">
        <v>0.95299999999999996</v>
      </c>
      <c r="BM105" s="587">
        <v>0.95299999999999996</v>
      </c>
      <c r="BN105" s="663">
        <f t="shared" ref="BN105" si="287">+BN33</f>
        <v>0.95299999999999996</v>
      </c>
      <c r="BO105" s="135"/>
      <c r="BP105" s="587">
        <v>0.95299999999999996</v>
      </c>
      <c r="BQ105" s="587">
        <v>0.95299999999999996</v>
      </c>
      <c r="BR105" s="663">
        <f t="shared" ref="BR105" si="288">+BR33</f>
        <v>0</v>
      </c>
    </row>
    <row r="106" spans="2:71">
      <c r="C106" s="128" t="s">
        <v>65</v>
      </c>
      <c r="D106" s="357"/>
      <c r="E106" s="357"/>
      <c r="F106" s="357"/>
      <c r="H106" s="357"/>
      <c r="I106" s="357"/>
      <c r="J106" s="357"/>
      <c r="L106" s="357"/>
      <c r="M106" s="357"/>
      <c r="N106" s="357"/>
      <c r="P106" s="357"/>
      <c r="Q106" s="357"/>
      <c r="R106" s="357"/>
      <c r="T106" s="357"/>
      <c r="U106" s="357"/>
      <c r="V106" s="357"/>
      <c r="X106" s="357"/>
      <c r="Y106" s="357"/>
      <c r="Z106" s="357"/>
      <c r="AB106" s="357"/>
      <c r="AC106" s="357"/>
      <c r="AD106" s="357"/>
      <c r="AF106" s="357">
        <f>+AF105+2%</f>
        <v>0.97299999999999998</v>
      </c>
      <c r="AG106" s="357">
        <f>+AG105+2%</f>
        <v>0.97299999999999998</v>
      </c>
      <c r="AJ106" s="357">
        <f>+AJ105+2%</f>
        <v>0.97299999999999998</v>
      </c>
      <c r="AK106" s="357">
        <f>+AK105+2%</f>
        <v>0.97299999999999998</v>
      </c>
      <c r="AN106" s="357">
        <f>+AN105+2%</f>
        <v>0.97299999999999998</v>
      </c>
      <c r="AO106" s="357">
        <f>+AO105+2%</f>
        <v>0.97299999999999998</v>
      </c>
      <c r="AR106" s="357">
        <f>+AR105+2%</f>
        <v>0.97299999999999998</v>
      </c>
      <c r="AS106" s="357">
        <f>+AS105+2%</f>
        <v>0.97299999999999998</v>
      </c>
      <c r="AV106" s="357">
        <f>+AV105+2%</f>
        <v>0.97299999999999998</v>
      </c>
      <c r="AW106" s="357">
        <f>+AW105+2%</f>
        <v>0.97299999999999998</v>
      </c>
      <c r="AZ106" s="357">
        <f>+AZ105+2%</f>
        <v>0.97299999999999998</v>
      </c>
      <c r="BA106" s="357">
        <f>+BA105+2%</f>
        <v>0.97299999999999998</v>
      </c>
      <c r="BD106" s="357">
        <f>+BD105+2%</f>
        <v>0.97299999999999998</v>
      </c>
      <c r="BE106" s="357">
        <f>+BE105+2%</f>
        <v>0.97299999999999998</v>
      </c>
      <c r="BH106" s="357">
        <f>+BH105+2%</f>
        <v>0.97299999999999998</v>
      </c>
      <c r="BI106" s="357">
        <f>+BI105+2%</f>
        <v>0.97299999999999998</v>
      </c>
      <c r="BL106" s="357">
        <f>+BL105+2%</f>
        <v>0.97299999999999998</v>
      </c>
      <c r="BM106" s="357">
        <f>+BM105+2%</f>
        <v>0.97299999999999998</v>
      </c>
      <c r="BP106" s="357">
        <f>+BP105+2%</f>
        <v>0.97299999999999998</v>
      </c>
      <c r="BQ106" s="357">
        <f>+BQ105+2%</f>
        <v>0.97299999999999998</v>
      </c>
    </row>
    <row r="107" spans="2:71">
      <c r="C107" s="128" t="s">
        <v>66</v>
      </c>
      <c r="D107" s="357"/>
      <c r="E107" s="357"/>
      <c r="F107" s="357"/>
      <c r="H107" s="357"/>
      <c r="I107" s="357"/>
      <c r="J107" s="357"/>
      <c r="L107" s="357"/>
      <c r="M107" s="357"/>
      <c r="N107" s="357"/>
      <c r="P107" s="357"/>
      <c r="Q107" s="357"/>
      <c r="R107" s="357"/>
      <c r="T107" s="357"/>
      <c r="U107" s="357"/>
      <c r="V107" s="357"/>
      <c r="X107" s="357"/>
      <c r="Y107" s="357"/>
      <c r="Z107" s="357"/>
      <c r="AB107" s="357"/>
      <c r="AC107" s="357"/>
      <c r="AD107" s="357"/>
      <c r="AF107" s="357">
        <f>+AF105-2%</f>
        <v>0.93299999999999994</v>
      </c>
      <c r="AG107" s="357">
        <f>+AG105-2%</f>
        <v>0.93299999999999994</v>
      </c>
      <c r="AJ107" s="357">
        <f>+AJ105-2%</f>
        <v>0.93299999999999994</v>
      </c>
      <c r="AK107" s="357">
        <f>+AK105-2%</f>
        <v>0.93299999999999994</v>
      </c>
      <c r="AN107" s="357">
        <f>+AN105-2%</f>
        <v>0.93299999999999994</v>
      </c>
      <c r="AO107" s="357">
        <f>+AO105-2%</f>
        <v>0.93299999999999994</v>
      </c>
      <c r="AR107" s="357">
        <f>+AR105-2%</f>
        <v>0.93299999999999994</v>
      </c>
      <c r="AS107" s="357">
        <f>+AS105-2%</f>
        <v>0.93299999999999994</v>
      </c>
      <c r="AV107" s="357">
        <f>+AV105-2%</f>
        <v>0.93299999999999994</v>
      </c>
      <c r="AW107" s="357">
        <f>+AW105-2%</f>
        <v>0.93299999999999994</v>
      </c>
      <c r="AZ107" s="357">
        <f>+AZ105-2%</f>
        <v>0.93299999999999994</v>
      </c>
      <c r="BA107" s="357">
        <f>+BA105-2%</f>
        <v>0.93299999999999994</v>
      </c>
      <c r="BD107" s="357">
        <f>+BD105-2%</f>
        <v>0.93299999999999994</v>
      </c>
      <c r="BE107" s="357">
        <f>+BE105-2%</f>
        <v>0.93299999999999994</v>
      </c>
      <c r="BH107" s="357">
        <f>+BH105-2%</f>
        <v>0.93299999999999994</v>
      </c>
      <c r="BI107" s="357">
        <f>+BI105-2%</f>
        <v>0.93299999999999994</v>
      </c>
      <c r="BL107" s="357">
        <f>+BL105-2%</f>
        <v>0.93299999999999994</v>
      </c>
      <c r="BM107" s="357">
        <f>+BM105-2%</f>
        <v>0.93299999999999994</v>
      </c>
      <c r="BP107" s="357">
        <f>+BP105-2%</f>
        <v>0.93299999999999994</v>
      </c>
      <c r="BQ107" s="357">
        <f>+BQ105-2%</f>
        <v>0.93299999999999994</v>
      </c>
    </row>
    <row r="111" spans="2:71">
      <c r="B111" s="355" t="s">
        <v>564</v>
      </c>
      <c r="D111" s="583"/>
      <c r="E111" s="583"/>
      <c r="F111" s="583"/>
      <c r="G111" s="583"/>
      <c r="H111" s="583"/>
      <c r="I111" s="583"/>
      <c r="J111" s="583"/>
      <c r="K111" s="583"/>
      <c r="L111" s="583"/>
      <c r="M111" s="583"/>
      <c r="N111" s="583"/>
      <c r="O111" s="583"/>
      <c r="P111" s="583"/>
      <c r="Q111" s="583"/>
      <c r="R111" s="583"/>
      <c r="S111" s="583"/>
      <c r="T111" s="583"/>
      <c r="U111" s="583"/>
      <c r="V111" s="583"/>
      <c r="W111" s="583"/>
      <c r="X111" s="583"/>
      <c r="Y111" s="583"/>
      <c r="Z111" s="583"/>
      <c r="AA111" s="583"/>
      <c r="AB111" s="583"/>
      <c r="AC111" s="583"/>
      <c r="AD111" s="583"/>
      <c r="AE111" s="583"/>
      <c r="AF111" s="583"/>
      <c r="AG111" s="583"/>
      <c r="AH111" s="583"/>
      <c r="AI111" s="583"/>
      <c r="AJ111" s="583"/>
      <c r="AK111" s="583"/>
      <c r="AL111" s="583"/>
      <c r="AM111" s="583"/>
      <c r="AN111" s="583"/>
      <c r="AO111" s="583"/>
      <c r="AP111" s="583"/>
      <c r="AQ111" s="583"/>
      <c r="AR111" s="583"/>
      <c r="AS111" s="583"/>
      <c r="AT111" s="583"/>
      <c r="AU111" s="583"/>
      <c r="AV111" s="583"/>
      <c r="AW111" s="583"/>
      <c r="AX111" s="583"/>
      <c r="AY111" s="583"/>
      <c r="AZ111" s="583"/>
      <c r="BA111" s="583"/>
      <c r="BB111" s="583"/>
      <c r="BC111" s="583"/>
      <c r="BD111" s="583"/>
      <c r="BE111" s="583"/>
      <c r="BF111" s="583"/>
      <c r="BG111" s="583"/>
      <c r="BH111" s="583"/>
      <c r="BI111" s="583"/>
      <c r="BJ111" s="583"/>
      <c r="BK111" s="583"/>
      <c r="BL111" s="583"/>
      <c r="BM111" s="583"/>
      <c r="BN111" s="583"/>
      <c r="BO111" s="583"/>
      <c r="BP111" s="583"/>
      <c r="BQ111" s="583"/>
      <c r="BR111" s="583"/>
    </row>
    <row r="112" spans="2:71">
      <c r="B112" s="128" t="s">
        <v>566</v>
      </c>
      <c r="D112" s="583">
        <f>'P&amp;L'!P13</f>
        <v>267.62400000000002</v>
      </c>
      <c r="E112" s="583">
        <f>'P&amp;L'!Q13</f>
        <v>278.52100000000002</v>
      </c>
      <c r="F112" s="583">
        <f>'P&amp;L'!R13</f>
        <v>546.14499999999998</v>
      </c>
      <c r="G112" s="583"/>
      <c r="H112" s="583">
        <f>'P&amp;L'!T13</f>
        <v>274.59000000000003</v>
      </c>
      <c r="I112" s="583">
        <f>'P&amp;L'!U13</f>
        <v>313.61499999999995</v>
      </c>
      <c r="J112" s="583">
        <f>'P&amp;L'!V13</f>
        <v>588.20499999999993</v>
      </c>
      <c r="K112" s="583"/>
      <c r="L112" s="583">
        <f>'P&amp;L'!X13</f>
        <v>313.08199999999999</v>
      </c>
      <c r="M112" s="583">
        <f>'P&amp;L'!Y13</f>
        <v>342.233</v>
      </c>
      <c r="N112" s="583">
        <f>'P&amp;L'!Z13</f>
        <v>655.31500000000005</v>
      </c>
      <c r="O112" s="583"/>
      <c r="P112" s="583">
        <f>'P&amp;L'!AB13</f>
        <v>328.25900000000001</v>
      </c>
      <c r="Q112" s="583">
        <f>'P&amp;L'!AC13</f>
        <v>363.20300000000003</v>
      </c>
      <c r="R112" s="583">
        <f>'P&amp;L'!AD13</f>
        <v>691.46199999999988</v>
      </c>
      <c r="S112" s="583"/>
      <c r="T112" s="583">
        <f>'P&amp;L'!AF13</f>
        <v>467.25300000000004</v>
      </c>
      <c r="U112" s="583">
        <f>'P&amp;L'!AG13</f>
        <v>646.96299999999997</v>
      </c>
      <c r="V112" s="583">
        <f>'P&amp;L'!AH13</f>
        <v>1114.2160000000001</v>
      </c>
      <c r="W112" s="583"/>
      <c r="X112" s="583">
        <f>'P&amp;L'!AJ13</f>
        <v>637.27500000000009</v>
      </c>
      <c r="Y112" s="583">
        <f>'P&amp;L'!AK13</f>
        <v>697.80899999999997</v>
      </c>
      <c r="Z112" s="583">
        <f>'P&amp;L'!AL13</f>
        <v>1335.106</v>
      </c>
      <c r="AA112" s="583"/>
      <c r="AB112" s="583">
        <f>'P&amp;L'!AN13</f>
        <v>714.10799999999995</v>
      </c>
      <c r="AC112" s="583">
        <f>'P&amp;L'!AO13</f>
        <v>789.53499999999997</v>
      </c>
      <c r="AD112" s="583">
        <f>'P&amp;L'!AP13</f>
        <v>1503.6649999999997</v>
      </c>
      <c r="AE112" s="583"/>
      <c r="AF112" s="583">
        <f>'P&amp;L'!AR13</f>
        <v>765.27170300870944</v>
      </c>
      <c r="AG112" s="583">
        <f>'P&amp;L'!AS13</f>
        <v>824.2747074909048</v>
      </c>
      <c r="AH112" s="583">
        <f>'P&amp;L'!AT13</f>
        <v>1589.546410499614</v>
      </c>
      <c r="AI112" s="583"/>
      <c r="AJ112" s="583">
        <f>'P&amp;L'!AV13</f>
        <v>798.75017124232409</v>
      </c>
      <c r="AK112" s="583">
        <f>'P&amp;L'!AW13</f>
        <v>863.16410515451025</v>
      </c>
      <c r="AL112" s="583">
        <f>'P&amp;L'!AX13</f>
        <v>1661.9142763968343</v>
      </c>
      <c r="AM112" s="583"/>
      <c r="AN112" s="583">
        <f>'P&amp;L'!AZ13</f>
        <v>833.07504811974991</v>
      </c>
      <c r="AO112" s="583">
        <f>'P&amp;L'!BA13</f>
        <v>902.13918476399749</v>
      </c>
      <c r="AP112" s="583">
        <f>'P&amp;L'!BB13</f>
        <v>1735.2142328837474</v>
      </c>
      <c r="AQ112" s="583"/>
      <c r="AR112" s="583">
        <f>'P&amp;L'!BD13</f>
        <v>864.48339005910509</v>
      </c>
      <c r="AS112" s="583">
        <f>'P&amp;L'!BE13</f>
        <v>937.92478167963543</v>
      </c>
      <c r="AT112" s="583">
        <f>'P&amp;L'!BF13</f>
        <v>1802.4081717387403</v>
      </c>
      <c r="AU112" s="583"/>
      <c r="AV112" s="583">
        <f>'P&amp;L'!BH13</f>
        <v>897.36165393386796</v>
      </c>
      <c r="AW112" s="583">
        <f>'P&amp;L'!BI13</f>
        <v>975.40269230083493</v>
      </c>
      <c r="AX112" s="583">
        <f>'P&amp;L'!BJ13</f>
        <v>1872.764346234703</v>
      </c>
      <c r="AY112" s="583"/>
      <c r="AZ112" s="583">
        <f>'P&amp;L'!BL13</f>
        <v>931.78267076662439</v>
      </c>
      <c r="BA112" s="583">
        <f>'P&amp;L'!BM13</f>
        <v>1014.6569252673177</v>
      </c>
      <c r="BB112" s="583">
        <f>'P&amp;L'!BN13</f>
        <v>1946.4395960339421</v>
      </c>
      <c r="BC112" s="583"/>
      <c r="BD112" s="583">
        <f>'P&amp;L'!BP13</f>
        <v>967.82298574827018</v>
      </c>
      <c r="BE112" s="583">
        <f>'P&amp;L'!BQ13</f>
        <v>1055.7757663772306</v>
      </c>
      <c r="BF112" s="583">
        <f>'P&amp;L'!BR13</f>
        <v>2023.5987521255008</v>
      </c>
      <c r="BG112" s="583"/>
      <c r="BH112" s="583">
        <f>'P&amp;L'!BT13</f>
        <v>1005.5630507614466</v>
      </c>
      <c r="BI112" s="583">
        <f>'P&amp;L'!BU13</f>
        <v>1098.851999667241</v>
      </c>
      <c r="BJ112" s="583">
        <f>'P&amp;L'!BV13</f>
        <v>2104.4150504286877</v>
      </c>
      <c r="BK112" s="583"/>
      <c r="BL112" s="583">
        <f>'P&amp;L'!BX13</f>
        <v>1045.0874269964631</v>
      </c>
      <c r="BM112" s="583">
        <f>'P&amp;L'!BY13</f>
        <v>1143.9831400465157</v>
      </c>
      <c r="BN112" s="583">
        <f>'P&amp;L'!BZ13</f>
        <v>2189.0705670429784</v>
      </c>
      <c r="BO112" s="583"/>
      <c r="BP112" s="583">
        <f>'P&amp;L'!CB13</f>
        <v>0</v>
      </c>
      <c r="BQ112" s="583">
        <f>'P&amp;L'!CC13</f>
        <v>0</v>
      </c>
      <c r="BR112" s="583">
        <f>'P&amp;L'!CD13</f>
        <v>0</v>
      </c>
    </row>
    <row r="113" spans="2:70">
      <c r="B113" s="314" t="s">
        <v>261</v>
      </c>
      <c r="D113" s="583"/>
      <c r="E113" s="584"/>
      <c r="F113" s="584"/>
      <c r="G113" s="584"/>
      <c r="H113" s="583"/>
      <c r="I113" s="584"/>
      <c r="J113" s="584"/>
      <c r="K113" s="584"/>
      <c r="L113" s="583"/>
      <c r="M113" s="584"/>
      <c r="N113" s="584"/>
      <c r="O113" s="584"/>
      <c r="P113" s="584">
        <f>+P112/L112-1</f>
        <v>4.8476118077692254E-2</v>
      </c>
      <c r="Q113" s="584">
        <f>+Q112/M112-1</f>
        <v>6.1274044291462326E-2</v>
      </c>
      <c r="R113" s="584">
        <f>+R112/N112-1</f>
        <v>5.5159732342461076E-2</v>
      </c>
      <c r="S113" s="583"/>
      <c r="T113" s="584">
        <f t="shared" ref="T113" si="289">+T112/P112-1</f>
        <v>0.42342784203936534</v>
      </c>
      <c r="U113" s="584">
        <f>+U112/Q112-1</f>
        <v>0.7812710798093625</v>
      </c>
      <c r="V113" s="584">
        <f>+V112/R112-1</f>
        <v>0.61139151536888559</v>
      </c>
      <c r="W113" s="583"/>
      <c r="X113" s="584">
        <f t="shared" ref="X113" si="290">+X112/T112-1</f>
        <v>0.36387567335041204</v>
      </c>
      <c r="Y113" s="584">
        <f>+Y112/U112-1</f>
        <v>7.8591820552334601E-2</v>
      </c>
      <c r="Z113" s="584">
        <f>+Z112/V112-1</f>
        <v>0.19824701853141558</v>
      </c>
      <c r="AA113" s="583"/>
      <c r="AB113" s="584">
        <f t="shared" ref="AB113" si="291">+AB112/X112-1</f>
        <v>0.12056490526068009</v>
      </c>
      <c r="AC113" s="584">
        <f>+AC112/Y112-1</f>
        <v>0.13144857690284883</v>
      </c>
      <c r="AD113" s="584">
        <f>+AD112/Z112-1</f>
        <v>0.12625139876534131</v>
      </c>
      <c r="AE113" s="583"/>
      <c r="AF113" s="584">
        <f t="shared" ref="AF113:AH113" si="292">+AF112/AB112-1</f>
        <v>7.1647009988278443E-2</v>
      </c>
      <c r="AG113" s="584">
        <f t="shared" si="292"/>
        <v>4.4000212138670003E-2</v>
      </c>
      <c r="AH113" s="584">
        <f t="shared" si="292"/>
        <v>5.7114723359002362E-2</v>
      </c>
      <c r="AI113" s="583"/>
      <c r="AJ113" s="584">
        <f t="shared" ref="AJ113:AL113" si="293">+AJ112/AF112-1</f>
        <v>4.3747166009133975E-2</v>
      </c>
      <c r="AK113" s="584">
        <f t="shared" si="293"/>
        <v>4.7180141899519024E-2</v>
      </c>
      <c r="AL113" s="584">
        <f t="shared" si="293"/>
        <v>4.5527368952048564E-2</v>
      </c>
      <c r="AM113" s="583"/>
      <c r="AN113" s="584">
        <f t="shared" ref="AN113:AP113" si="294">+AN112/AJ112-1</f>
        <v>4.2973232574134101E-2</v>
      </c>
      <c r="AO113" s="584">
        <f t="shared" si="294"/>
        <v>4.51537307642218E-2</v>
      </c>
      <c r="AP113" s="584">
        <f t="shared" si="294"/>
        <v>4.4105738501647229E-2</v>
      </c>
      <c r="AQ113" s="583"/>
      <c r="AR113" s="584">
        <f t="shared" ref="AR113:AT113" si="295">+AR112/AN112-1</f>
        <v>3.7701695675850244E-2</v>
      </c>
      <c r="AS113" s="584">
        <f t="shared" si="295"/>
        <v>3.9667489806464395E-2</v>
      </c>
      <c r="AT113" s="584">
        <f t="shared" si="295"/>
        <v>3.8723713522867742E-2</v>
      </c>
      <c r="AU113" s="583"/>
      <c r="AV113" s="584">
        <f t="shared" ref="AV113:AX113" si="296">+AV112/AR112-1</f>
        <v>3.8032267887200266E-2</v>
      </c>
      <c r="AW113" s="584">
        <f t="shared" si="296"/>
        <v>3.9958332857016554E-2</v>
      </c>
      <c r="AX113" s="584">
        <f t="shared" si="296"/>
        <v>3.9034540343928725E-2</v>
      </c>
      <c r="AY113" s="583"/>
      <c r="AZ113" s="584">
        <f t="shared" ref="AZ113:BB113" si="297">+AZ112/AV112-1</f>
        <v>3.8358020628428857E-2</v>
      </c>
      <c r="BA113" s="584">
        <f t="shared" si="297"/>
        <v>4.0244130220604246E-2</v>
      </c>
      <c r="BB113" s="584">
        <f t="shared" si="297"/>
        <v>3.9340374002402978E-2</v>
      </c>
      <c r="BC113" s="583"/>
      <c r="BD113" s="584">
        <f t="shared" ref="BD113:BF113" si="298">+BD112/AZ112-1</f>
        <v>3.8678885229743054E-2</v>
      </c>
      <c r="BE113" s="584">
        <f t="shared" si="298"/>
        <v>4.0524871102693094E-2</v>
      </c>
      <c r="BF113" s="584">
        <f t="shared" si="298"/>
        <v>3.9641176766429309E-2</v>
      </c>
      <c r="BG113" s="583"/>
      <c r="BH113" s="584">
        <f t="shared" ref="BH113" si="299">+BH112/BD112-1</f>
        <v>3.8994801290028969E-2</v>
      </c>
      <c r="BI113" s="584">
        <f t="shared" ref="BI113" si="300">+BI112/BE112-1</f>
        <v>4.0800551274084773E-2</v>
      </c>
      <c r="BJ113" s="584">
        <f t="shared" ref="BJ113" si="301">+BJ112/BF112-1</f>
        <v>3.9936918432224244E-2</v>
      </c>
      <c r="BK113" s="583"/>
      <c r="BL113" s="584">
        <f t="shared" ref="BL113" si="302">+BL112/BH112-1</f>
        <v>3.9305716538696744E-2</v>
      </c>
      <c r="BM113" s="584">
        <f t="shared" ref="BM113" si="303">+BM112/BI112-1</f>
        <v>4.1071172817578327E-2</v>
      </c>
      <c r="BN113" s="584">
        <f t="shared" ref="BN113" si="304">+BN112/BJ112-1</f>
        <v>4.0227576112918273E-2</v>
      </c>
      <c r="BO113" s="583"/>
      <c r="BP113" s="584">
        <f t="shared" ref="BP113" si="305">+BP112/BL112-1</f>
        <v>-1</v>
      </c>
      <c r="BQ113" s="584">
        <f t="shared" ref="BQ113" si="306">+BQ112/BM112-1</f>
        <v>-1</v>
      </c>
      <c r="BR113" s="584">
        <f t="shared" ref="BR113" si="307">+BR112/BN112-1</f>
        <v>-1</v>
      </c>
    </row>
    <row r="114" spans="2:70">
      <c r="D114" s="583"/>
      <c r="E114" s="583"/>
      <c r="F114" s="583"/>
      <c r="G114" s="583"/>
      <c r="H114" s="583"/>
      <c r="I114" s="583"/>
      <c r="J114" s="583"/>
      <c r="K114" s="583"/>
      <c r="L114" s="583"/>
      <c r="M114" s="583"/>
      <c r="N114" s="583"/>
      <c r="O114" s="583"/>
      <c r="P114" s="583"/>
      <c r="Q114" s="583"/>
      <c r="R114" s="583"/>
      <c r="S114" s="583"/>
      <c r="T114" s="583"/>
      <c r="U114" s="583"/>
      <c r="V114" s="583"/>
      <c r="W114" s="583"/>
      <c r="X114" s="583"/>
      <c r="Y114" s="583"/>
      <c r="Z114" s="583"/>
      <c r="AA114" s="583"/>
      <c r="AB114" s="583"/>
      <c r="AC114" s="583"/>
      <c r="AD114" s="583"/>
      <c r="AE114" s="583"/>
      <c r="AF114" s="583"/>
      <c r="AG114" s="583"/>
      <c r="AH114" s="583"/>
      <c r="AI114" s="583"/>
      <c r="AJ114" s="583"/>
      <c r="AK114" s="583"/>
      <c r="AL114" s="583"/>
      <c r="AM114" s="583"/>
      <c r="AN114" s="583"/>
      <c r="AO114" s="583"/>
      <c r="AP114" s="583"/>
      <c r="AQ114" s="583"/>
      <c r="AR114" s="583"/>
      <c r="AS114" s="583"/>
      <c r="AT114" s="583"/>
      <c r="AU114" s="583"/>
      <c r="AV114" s="583"/>
      <c r="AW114" s="583"/>
      <c r="AX114" s="583"/>
      <c r="AY114" s="583"/>
      <c r="AZ114" s="583"/>
      <c r="BA114" s="583"/>
      <c r="BB114" s="583"/>
      <c r="BC114" s="583"/>
      <c r="BD114" s="583"/>
      <c r="BE114" s="583"/>
      <c r="BF114" s="583"/>
      <c r="BG114" s="583"/>
      <c r="BH114" s="583"/>
      <c r="BI114" s="583"/>
      <c r="BJ114" s="583"/>
      <c r="BK114" s="583"/>
      <c r="BL114" s="583"/>
      <c r="BM114" s="583"/>
      <c r="BN114" s="583"/>
      <c r="BO114" s="583"/>
      <c r="BP114" s="583"/>
      <c r="BQ114" s="583"/>
      <c r="BR114" s="583"/>
    </row>
    <row r="115" spans="2:70">
      <c r="B115" s="128" t="s">
        <v>535</v>
      </c>
      <c r="D115" s="585">
        <f>'P&amp;L'!P22</f>
        <v>60.447000000000045</v>
      </c>
      <c r="E115" s="585">
        <f>'P&amp;L'!Q22</f>
        <v>75.714999999999989</v>
      </c>
      <c r="F115" s="585">
        <f>'P&amp;L'!R22</f>
        <v>136.16200000000001</v>
      </c>
      <c r="G115" s="583"/>
      <c r="H115" s="585">
        <f>'P&amp;L'!T22</f>
        <v>63.169000000000054</v>
      </c>
      <c r="I115" s="585">
        <f>'P&amp;L'!U22</f>
        <v>89.814999999999984</v>
      </c>
      <c r="J115" s="585">
        <f>'P&amp;L'!V22</f>
        <v>152.98399999999998</v>
      </c>
      <c r="K115" s="583"/>
      <c r="L115" s="585">
        <f>'P&amp;L'!X22</f>
        <v>90.816000000000031</v>
      </c>
      <c r="M115" s="585">
        <f>'P&amp;L'!Y22</f>
        <v>102.95299999999996</v>
      </c>
      <c r="N115" s="585">
        <f>'P&amp;L'!Z22</f>
        <v>193.76900000000003</v>
      </c>
      <c r="O115" s="583"/>
      <c r="P115" s="585">
        <f>'P&amp;L'!AB22</f>
        <v>92.924000000000007</v>
      </c>
      <c r="Q115" s="585">
        <f>'P&amp;L'!AC22</f>
        <v>123.37200000000001</v>
      </c>
      <c r="R115" s="585">
        <f>'P&amp;L'!AD22</f>
        <v>216.29599999999991</v>
      </c>
      <c r="S115" s="583"/>
      <c r="T115" s="585">
        <f>'P&amp;L'!AF22</f>
        <v>133.93799999999999</v>
      </c>
      <c r="U115" s="585">
        <f>'P&amp;L'!AG22</f>
        <v>210.24100000000001</v>
      </c>
      <c r="V115" s="585">
        <f>'P&amp;L'!AH22</f>
        <v>344.17900000000014</v>
      </c>
      <c r="W115" s="583"/>
      <c r="X115" s="585">
        <f>'P&amp;L'!AJ22</f>
        <v>193.39700000000008</v>
      </c>
      <c r="Y115" s="585">
        <f>'P&amp;L'!AK22</f>
        <v>236.99700000000004</v>
      </c>
      <c r="Z115" s="585">
        <f>'P&amp;L'!AL22</f>
        <v>430.41600000000011</v>
      </c>
      <c r="AA115" s="583"/>
      <c r="AB115" s="585">
        <f>'P&amp;L'!AN22</f>
        <v>214.24300000000005</v>
      </c>
      <c r="AC115" s="585">
        <f>'P&amp;L'!AO22</f>
        <v>282.24599999999981</v>
      </c>
      <c r="AD115" s="585">
        <f>'P&amp;L'!AP22</f>
        <v>496.51099999999974</v>
      </c>
      <c r="AE115" s="583"/>
      <c r="AF115" s="585">
        <f>'P&amp;L'!AR22</f>
        <v>239.21875250000005</v>
      </c>
      <c r="AG115" s="585">
        <f>'P&amp;L'!AS22</f>
        <v>301.25348500000007</v>
      </c>
      <c r="AH115" s="585">
        <f>'P&amp;L'!AT22</f>
        <v>540.47223749999989</v>
      </c>
      <c r="AI115" s="583"/>
      <c r="AJ115" s="585">
        <f>'P&amp;L'!AV22</f>
        <v>253.77307684961087</v>
      </c>
      <c r="AK115" s="585">
        <f>'P&amp;L'!AW22</f>
        <v>323.04072824116923</v>
      </c>
      <c r="AL115" s="585">
        <f>'P&amp;L'!AX22</f>
        <v>576.81380509078008</v>
      </c>
      <c r="AM115" s="583"/>
      <c r="AN115" s="585">
        <f>'P&amp;L'!AZ22</f>
        <v>270.58035852509772</v>
      </c>
      <c r="AO115" s="585">
        <f>'P&amp;L'!BA22</f>
        <v>344.40898186621092</v>
      </c>
      <c r="AP115" s="585">
        <f>'P&amp;L'!BB22</f>
        <v>614.98934039130882</v>
      </c>
      <c r="AQ115" s="583"/>
      <c r="AR115" s="585">
        <f>'P&amp;L'!BD22</f>
        <v>280.79182049936276</v>
      </c>
      <c r="AS115" s="585">
        <f>'P&amp;L'!BE22</f>
        <v>358.18486635572413</v>
      </c>
      <c r="AT115" s="585">
        <f>'P&amp;L'!BF22</f>
        <v>638.97668685508654</v>
      </c>
      <c r="AU115" s="583"/>
      <c r="AV115" s="585">
        <f>'P&amp;L'!BH22</f>
        <v>291.48353734868277</v>
      </c>
      <c r="AW115" s="585">
        <f>'P&amp;L'!BI22</f>
        <v>372.61557657930121</v>
      </c>
      <c r="AX115" s="585">
        <f>'P&amp;L'!BJ22</f>
        <v>664.09911392798404</v>
      </c>
      <c r="AY115" s="583"/>
      <c r="AZ115" s="585">
        <f>'P&amp;L'!BL22</f>
        <v>302.6794815838482</v>
      </c>
      <c r="BA115" s="585">
        <f>'P&amp;L'!BM22</f>
        <v>387.73379959786126</v>
      </c>
      <c r="BB115" s="585">
        <f>'P&amp;L'!BN22</f>
        <v>690.41328118170941</v>
      </c>
      <c r="BC115" s="583"/>
      <c r="BD115" s="585">
        <f>'P&amp;L'!BP22</f>
        <v>314.40486161390555</v>
      </c>
      <c r="BE115" s="585">
        <f>'P&amp;L'!BQ22</f>
        <v>403.57389893701873</v>
      </c>
      <c r="BF115" s="585">
        <f>'P&amp;L'!BR22</f>
        <v>717.97876055092422</v>
      </c>
      <c r="BG115" s="583"/>
      <c r="BH115" s="585">
        <f>'P&amp;L'!BT22</f>
        <v>326.68618668848615</v>
      </c>
      <c r="BI115" s="585">
        <f>'P&amp;L'!BU22</f>
        <v>420.17200203733648</v>
      </c>
      <c r="BJ115" s="585">
        <f>'P&amp;L'!BV22</f>
        <v>746.85818872582263</v>
      </c>
      <c r="BK115" s="583"/>
      <c r="BL115" s="585">
        <f>'P&amp;L'!BX22</f>
        <v>339.55133529827975</v>
      </c>
      <c r="BM115" s="585">
        <f>'P&amp;L'!BY22</f>
        <v>437.56609232390173</v>
      </c>
      <c r="BN115" s="585">
        <f>'P&amp;L'!BZ22</f>
        <v>777.11742762218114</v>
      </c>
      <c r="BO115" s="583"/>
      <c r="BP115" s="585">
        <f>'P&amp;L'!CB22</f>
        <v>0</v>
      </c>
      <c r="BQ115" s="585">
        <f>'P&amp;L'!CC22</f>
        <v>0</v>
      </c>
      <c r="BR115" s="585">
        <f>'P&amp;L'!CD22</f>
        <v>0</v>
      </c>
    </row>
    <row r="116" spans="2:70">
      <c r="B116" s="314" t="s">
        <v>261</v>
      </c>
      <c r="D116" s="584"/>
      <c r="E116" s="584"/>
      <c r="F116" s="584"/>
      <c r="G116" s="584"/>
      <c r="H116" s="584"/>
      <c r="I116" s="584"/>
      <c r="J116" s="584"/>
      <c r="K116" s="584"/>
      <c r="L116" s="584"/>
      <c r="M116" s="584"/>
      <c r="N116" s="584"/>
      <c r="O116" s="584"/>
      <c r="P116" s="584">
        <f>+P115/L115-1</f>
        <v>2.3211768851303383E-2</v>
      </c>
      <c r="Q116" s="584">
        <f>+Q115/M115-1</f>
        <v>0.19833322001301634</v>
      </c>
      <c r="R116" s="584">
        <f>+R115/N115-1</f>
        <v>0.11625698641165449</v>
      </c>
      <c r="S116" s="583"/>
      <c r="T116" s="584">
        <f t="shared" ref="T116" si="308">+T115/P115-1</f>
        <v>0.44137144333003286</v>
      </c>
      <c r="U116" s="584">
        <f>+U115/Q115-1</f>
        <v>0.70412249132704341</v>
      </c>
      <c r="V116" s="584">
        <f>+V115/R115-1</f>
        <v>0.59124070717905219</v>
      </c>
      <c r="W116" s="583"/>
      <c r="X116" s="584">
        <f t="shared" ref="X116" si="309">+X115/T115-1</f>
        <v>0.44392928071197191</v>
      </c>
      <c r="Y116" s="584">
        <f>+Y115/U115-1</f>
        <v>0.1272634738228986</v>
      </c>
      <c r="Z116" s="584">
        <f>+Z115/V115-1</f>
        <v>0.2505585756248927</v>
      </c>
      <c r="AA116" s="583"/>
      <c r="AB116" s="584">
        <f t="shared" ref="AB116" si="310">+AB115/X115-1</f>
        <v>0.10778864201616356</v>
      </c>
      <c r="AC116" s="584">
        <f>+AC115/Y115-1</f>
        <v>0.19092646742363728</v>
      </c>
      <c r="AD116" s="584">
        <f>+AD115/Z115-1</f>
        <v>0.15356074123638441</v>
      </c>
      <c r="AE116" s="583"/>
      <c r="AF116" s="584">
        <f t="shared" ref="AF116:AH116" si="311">+AF115/AB115-1</f>
        <v>0.11657674929869355</v>
      </c>
      <c r="AG116" s="584">
        <f t="shared" si="311"/>
        <v>6.734368246139999E-2</v>
      </c>
      <c r="AH116" s="584">
        <f t="shared" si="311"/>
        <v>8.8540309278143159E-2</v>
      </c>
      <c r="AI116" s="583"/>
      <c r="AJ116" s="584">
        <f t="shared" ref="AJ116:AL116" si="312">+AJ115/AF115-1</f>
        <v>6.0841067840661012E-2</v>
      </c>
      <c r="AK116" s="584">
        <f t="shared" si="312"/>
        <v>7.2321962486738167E-2</v>
      </c>
      <c r="AL116" s="584">
        <f t="shared" si="312"/>
        <v>6.7240396581480733E-2</v>
      </c>
      <c r="AM116" s="583"/>
      <c r="AN116" s="584">
        <f t="shared" ref="AN116:AP116" si="313">+AN115/AJ115-1</f>
        <v>6.6229569677507705E-2</v>
      </c>
      <c r="AO116" s="584">
        <f t="shared" si="313"/>
        <v>6.6147243232713926E-2</v>
      </c>
      <c r="AP116" s="584">
        <f t="shared" si="313"/>
        <v>6.6183463300641066E-2</v>
      </c>
      <c r="AQ116" s="583"/>
      <c r="AR116" s="584">
        <f t="shared" ref="AR116:AT116" si="314">+AR115/AN115-1</f>
        <v>3.7739110221919114E-2</v>
      </c>
      <c r="AS116" s="584">
        <f t="shared" si="314"/>
        <v>3.9998621449613081E-2</v>
      </c>
      <c r="AT116" s="584">
        <f t="shared" si="314"/>
        <v>3.900449144129059E-2</v>
      </c>
      <c r="AU116" s="583"/>
      <c r="AV116" s="584">
        <f t="shared" ref="AV116:AX116" si="315">+AV115/AR115-1</f>
        <v>3.8077023861684323E-2</v>
      </c>
      <c r="AW116" s="584">
        <f t="shared" si="315"/>
        <v>4.0288442028272309E-2</v>
      </c>
      <c r="AX116" s="584">
        <f t="shared" si="315"/>
        <v>3.9316656757142354E-2</v>
      </c>
      <c r="AY116" s="583"/>
      <c r="AZ116" s="584">
        <f t="shared" ref="AZ116:BB116" si="316">+AZ115/AV115-1</f>
        <v>3.8410211214681578E-2</v>
      </c>
      <c r="BA116" s="584">
        <f t="shared" si="316"/>
        <v>4.0573244836807243E-2</v>
      </c>
      <c r="BB116" s="584">
        <f t="shared" si="316"/>
        <v>3.9623855388216889E-2</v>
      </c>
      <c r="BC116" s="583"/>
      <c r="BD116" s="584">
        <f t="shared" ref="BD116:BF116" si="317">+BD115/AZ115-1</f>
        <v>3.8738602196294547E-2</v>
      </c>
      <c r="BE116" s="584">
        <f t="shared" si="317"/>
        <v>4.0853026884904109E-2</v>
      </c>
      <c r="BF116" s="584">
        <f t="shared" si="317"/>
        <v>3.9926056060268555E-2</v>
      </c>
      <c r="BG116" s="583"/>
      <c r="BH116" s="584">
        <f t="shared" ref="BH116" si="318">+BH115/BD115-1</f>
        <v>3.9062134763241163E-2</v>
      </c>
      <c r="BI116" s="584">
        <f t="shared" ref="BI116" si="319">+BI115/BE115-1</f>
        <v>4.1127791326534879E-2</v>
      </c>
      <c r="BJ116" s="584">
        <f t="shared" ref="BJ116" si="320">+BJ115/BF115-1</f>
        <v>4.0223234671647567E-2</v>
      </c>
      <c r="BK116" s="583"/>
      <c r="BL116" s="584">
        <f t="shared" ref="BL116" si="321">+BL115/BH115-1</f>
        <v>3.938075478551295E-2</v>
      </c>
      <c r="BM116" s="584">
        <f t="shared" ref="BM116" si="322">+BM115/BI115-1</f>
        <v>4.1397547200252571E-2</v>
      </c>
      <c r="BN116" s="584">
        <f t="shared" ref="BN116" si="323">+BN115/BJ115-1</f>
        <v>4.0515374073868404E-2</v>
      </c>
      <c r="BO116" s="583"/>
      <c r="BP116" s="584">
        <f t="shared" ref="BP116" si="324">+BP115/BL115-1</f>
        <v>-1</v>
      </c>
      <c r="BQ116" s="584">
        <f t="shared" ref="BQ116" si="325">+BQ115/BM115-1</f>
        <v>-1</v>
      </c>
      <c r="BR116" s="584">
        <f t="shared" ref="BR116" si="326">+BR115/BN115-1</f>
        <v>-1</v>
      </c>
    </row>
    <row r="117" spans="2:70" s="354" customFormat="1">
      <c r="B117" s="408" t="s">
        <v>567</v>
      </c>
      <c r="D117" s="596"/>
      <c r="E117" s="596"/>
      <c r="F117" s="596"/>
      <c r="G117" s="596"/>
      <c r="H117" s="596"/>
      <c r="I117" s="596"/>
      <c r="J117" s="596"/>
      <c r="K117" s="596"/>
      <c r="L117" s="596"/>
      <c r="M117" s="596"/>
      <c r="N117" s="596"/>
      <c r="O117" s="596"/>
      <c r="P117" s="596">
        <f>+P115/P112</f>
        <v>0.28308134735071999</v>
      </c>
      <c r="Q117" s="596">
        <f t="shared" ref="Q117:R117" si="327">+Q115/Q112</f>
        <v>0.33967781103129657</v>
      </c>
      <c r="R117" s="596">
        <f t="shared" si="327"/>
        <v>0.31280966994570913</v>
      </c>
      <c r="S117" s="597"/>
      <c r="T117" s="596">
        <f t="shared" ref="T117:V117" si="328">+T115/T112</f>
        <v>0.28664984494481571</v>
      </c>
      <c r="U117" s="596">
        <f t="shared" si="328"/>
        <v>0.32496603360624954</v>
      </c>
      <c r="V117" s="596">
        <f t="shared" si="328"/>
        <v>0.30889791566446728</v>
      </c>
      <c r="W117" s="597"/>
      <c r="X117" s="596">
        <f t="shared" ref="X117:Z117" si="329">+X115/X112</f>
        <v>0.3034749519438234</v>
      </c>
      <c r="Y117" s="596">
        <f t="shared" si="329"/>
        <v>0.33963018533724854</v>
      </c>
      <c r="Z117" s="596">
        <f t="shared" si="329"/>
        <v>0.32238339128129162</v>
      </c>
      <c r="AA117" s="597"/>
      <c r="AB117" s="596">
        <f t="shared" ref="AB117:AD117" si="330">+AB115/AB112</f>
        <v>0.30001484369311093</v>
      </c>
      <c r="AC117" s="596">
        <f t="shared" si="330"/>
        <v>0.35748383542211531</v>
      </c>
      <c r="AD117" s="596">
        <f t="shared" si="330"/>
        <v>0.33020054333910798</v>
      </c>
      <c r="AE117" s="597"/>
      <c r="AF117" s="596">
        <f t="shared" ref="AF117:AH117" si="331">+AF115/AF112</f>
        <v>0.31259322873104789</v>
      </c>
      <c r="AG117" s="596">
        <f t="shared" si="331"/>
        <v>0.36547704577399537</v>
      </c>
      <c r="AH117" s="596">
        <f t="shared" si="331"/>
        <v>0.34001664495604306</v>
      </c>
      <c r="AI117" s="597"/>
      <c r="AJ117" s="596">
        <f t="shared" ref="AJ117:AL117" si="332">+AJ115/AJ112</f>
        <v>0.31771270415492836</v>
      </c>
      <c r="AK117" s="596">
        <f t="shared" si="332"/>
        <v>0.37425180949032105</v>
      </c>
      <c r="AL117" s="596">
        <f t="shared" si="332"/>
        <v>0.34707795298645572</v>
      </c>
      <c r="AM117" s="597"/>
      <c r="AN117" s="596">
        <f t="shared" ref="AN117:AP117" si="333">+AN115/AN112</f>
        <v>0.32479709857568956</v>
      </c>
      <c r="AO117" s="596">
        <f t="shared" si="333"/>
        <v>0.38176922994017759</v>
      </c>
      <c r="AP117" s="596">
        <f t="shared" si="333"/>
        <v>0.35441695252191419</v>
      </c>
      <c r="AQ117" s="597"/>
      <c r="AR117" s="596">
        <f t="shared" ref="AR117:AT117" si="334">+AR115/AR112</f>
        <v>0.32480880920125593</v>
      </c>
      <c r="AS117" s="596">
        <f t="shared" si="334"/>
        <v>0.38189082253940104</v>
      </c>
      <c r="AT117" s="596">
        <f t="shared" si="334"/>
        <v>0.35451275514284919</v>
      </c>
      <c r="AU117" s="597"/>
      <c r="AV117" s="596">
        <f t="shared" ref="AV117:AX117" si="335">+AV115/AV112</f>
        <v>0.32482281371270183</v>
      </c>
      <c r="AW117" s="596">
        <f t="shared" si="335"/>
        <v>0.38201204437969566</v>
      </c>
      <c r="AX117" s="596">
        <f t="shared" si="335"/>
        <v>0.35460901168008258</v>
      </c>
      <c r="AY117" s="597"/>
      <c r="AZ117" s="596">
        <f t="shared" ref="AZ117:BB117" si="336">+AZ115/AZ112</f>
        <v>0.32483914015573889</v>
      </c>
      <c r="BA117" s="596">
        <f t="shared" si="336"/>
        <v>0.38213290615023437</v>
      </c>
      <c r="BB117" s="596">
        <f t="shared" si="336"/>
        <v>0.35470573173115305</v>
      </c>
      <c r="BC117" s="597"/>
      <c r="BD117" s="596">
        <f t="shared" ref="BD117:BF117" si="337">+BD115/BD112</f>
        <v>0.3248578161954111</v>
      </c>
      <c r="BE117" s="596">
        <f t="shared" si="337"/>
        <v>0.38225342140768653</v>
      </c>
      <c r="BF117" s="596">
        <f t="shared" si="337"/>
        <v>0.3548029271103228</v>
      </c>
      <c r="BG117" s="597"/>
      <c r="BH117" s="596">
        <f t="shared" ref="BH117:BJ117" si="338">+BH115/BH112</f>
        <v>0.32487886904864716</v>
      </c>
      <c r="BI117" s="596">
        <f t="shared" si="338"/>
        <v>0.38237360642249796</v>
      </c>
      <c r="BJ117" s="596">
        <f t="shared" si="338"/>
        <v>0.35490061172755877</v>
      </c>
      <c r="BK117" s="597"/>
      <c r="BL117" s="596">
        <f t="shared" ref="BL117:BN117" si="339">+BL115/BL112</f>
        <v>0.32490232541992764</v>
      </c>
      <c r="BM117" s="596">
        <f t="shared" si="339"/>
        <v>0.38249348002288719</v>
      </c>
      <c r="BN117" s="596">
        <f t="shared" si="339"/>
        <v>0.35499880146482454</v>
      </c>
      <c r="BO117" s="597"/>
      <c r="BP117" s="596" t="e">
        <f t="shared" ref="BP117:BR117" si="340">+BP115/BP112</f>
        <v>#DIV/0!</v>
      </c>
      <c r="BQ117" s="596" t="e">
        <f t="shared" si="340"/>
        <v>#DIV/0!</v>
      </c>
      <c r="BR117" s="596" t="e">
        <f t="shared" si="340"/>
        <v>#DIV/0!</v>
      </c>
    </row>
    <row r="118" spans="2:70">
      <c r="D118" s="583"/>
      <c r="E118" s="583"/>
      <c r="F118" s="583"/>
      <c r="G118" s="583"/>
      <c r="H118" s="583"/>
      <c r="I118" s="583"/>
      <c r="J118" s="583"/>
      <c r="K118" s="583"/>
      <c r="L118" s="583"/>
      <c r="M118" s="583"/>
      <c r="N118" s="583"/>
      <c r="O118" s="583"/>
      <c r="P118" s="583"/>
      <c r="Q118" s="583"/>
      <c r="R118" s="583"/>
      <c r="S118" s="583"/>
      <c r="T118" s="583"/>
      <c r="U118" s="583"/>
      <c r="V118" s="583"/>
      <c r="W118" s="583"/>
      <c r="X118" s="583"/>
      <c r="Y118" s="583"/>
      <c r="Z118" s="583"/>
      <c r="AA118" s="583"/>
      <c r="AB118" s="583"/>
      <c r="AC118" s="583"/>
      <c r="AD118" s="583"/>
      <c r="AE118" s="583"/>
      <c r="AF118" s="583"/>
      <c r="AG118" s="583"/>
      <c r="AH118" s="583"/>
      <c r="AI118" s="583"/>
      <c r="AJ118" s="583"/>
      <c r="AK118" s="583"/>
      <c r="AL118" s="583"/>
      <c r="AM118" s="583"/>
      <c r="AN118" s="583"/>
      <c r="AO118" s="583"/>
      <c r="AP118" s="583"/>
      <c r="AQ118" s="583"/>
      <c r="AR118" s="583"/>
      <c r="AS118" s="583"/>
      <c r="AT118" s="583"/>
      <c r="AU118" s="583"/>
      <c r="AV118" s="583"/>
      <c r="AW118" s="583"/>
      <c r="AX118" s="583"/>
      <c r="AY118" s="583"/>
      <c r="AZ118" s="583"/>
      <c r="BA118" s="583"/>
      <c r="BB118" s="583"/>
      <c r="BC118" s="583"/>
      <c r="BD118" s="583"/>
      <c r="BE118" s="583"/>
      <c r="BF118" s="583"/>
      <c r="BG118" s="583"/>
      <c r="BH118" s="583"/>
      <c r="BI118" s="583"/>
      <c r="BJ118" s="583"/>
      <c r="BK118" s="583"/>
      <c r="BL118" s="583"/>
      <c r="BM118" s="583"/>
      <c r="BN118" s="583"/>
      <c r="BO118" s="583"/>
      <c r="BP118" s="583"/>
      <c r="BQ118" s="583"/>
      <c r="BR118" s="583"/>
    </row>
    <row r="119" spans="2:70">
      <c r="B119" s="148" t="s">
        <v>163</v>
      </c>
      <c r="D119" s="585">
        <f>'P&amp;L'!P28</f>
        <v>55.247000000000021</v>
      </c>
      <c r="E119" s="585">
        <f>'P&amp;L'!Q28</f>
        <v>71.415000000000006</v>
      </c>
      <c r="F119" s="585">
        <f>'P&amp;L'!R28</f>
        <v>126.66199999999999</v>
      </c>
      <c r="G119" s="583"/>
      <c r="H119" s="585">
        <f>'P&amp;L'!T28</f>
        <v>57.369000000000028</v>
      </c>
      <c r="I119" s="585">
        <f>'P&amp;L'!U28</f>
        <v>86.615000000000009</v>
      </c>
      <c r="J119" s="585">
        <f>'P&amp;L'!V28</f>
        <v>143.98399999999998</v>
      </c>
      <c r="K119" s="583"/>
      <c r="L119" s="585">
        <f>'P&amp;L'!X28</f>
        <v>84.783000000000015</v>
      </c>
      <c r="M119" s="585">
        <f>'P&amp;L'!Y28</f>
        <v>97.654000000000011</v>
      </c>
      <c r="N119" s="585">
        <f>'P&amp;L'!Z28</f>
        <v>182.43700000000007</v>
      </c>
      <c r="O119" s="583"/>
      <c r="P119" s="585">
        <f>'P&amp;L'!AB28</f>
        <v>87.829000000000022</v>
      </c>
      <c r="Q119" s="585">
        <f>'P&amp;L'!AC28</f>
        <v>118.87799999999999</v>
      </c>
      <c r="R119" s="585">
        <f>'P&amp;L'!AD28</f>
        <v>206.70699999999991</v>
      </c>
      <c r="S119" s="583"/>
      <c r="T119" s="585">
        <f>'P&amp;L'!AF28</f>
        <v>118.35099999999997</v>
      </c>
      <c r="U119" s="585">
        <f>'P&amp;L'!AG28</f>
        <v>178.41500000000002</v>
      </c>
      <c r="V119" s="585">
        <f>'P&amp;L'!AH28</f>
        <v>296.76600000000008</v>
      </c>
      <c r="W119" s="583"/>
      <c r="X119" s="585">
        <f>'P&amp;L'!AJ28</f>
        <v>163.30100000000007</v>
      </c>
      <c r="Y119" s="585">
        <f>'P&amp;L'!AK28</f>
        <v>208.15800000000002</v>
      </c>
      <c r="Z119" s="585">
        <f>'P&amp;L'!AL28</f>
        <v>371.48100000000005</v>
      </c>
      <c r="AA119" s="583"/>
      <c r="AB119" s="585">
        <f>'P&amp;L'!AN28</f>
        <v>185.71199999999999</v>
      </c>
      <c r="AC119" s="585">
        <f>'P&amp;L'!AO28</f>
        <v>251.44799999999981</v>
      </c>
      <c r="AD119" s="585">
        <f>'P&amp;L'!AP28</f>
        <v>437.18199999999968</v>
      </c>
      <c r="AE119" s="583"/>
      <c r="AF119" s="585">
        <f>'P&amp;L'!AR28</f>
        <v>208.42075250000011</v>
      </c>
      <c r="AG119" s="585">
        <f>'P&amp;L'!AS28</f>
        <v>270.45548500000012</v>
      </c>
      <c r="AH119" s="585">
        <f>'P&amp;L'!AT28</f>
        <v>478.8762375</v>
      </c>
      <c r="AI119" s="583"/>
      <c r="AJ119" s="585">
        <f>'P&amp;L'!AV28</f>
        <v>223.5910368496109</v>
      </c>
      <c r="AK119" s="585">
        <f>'P&amp;L'!AW28</f>
        <v>292.85868824116926</v>
      </c>
      <c r="AL119" s="585">
        <f>'P&amp;L'!AX28</f>
        <v>516.44972509078013</v>
      </c>
      <c r="AM119" s="583"/>
      <c r="AN119" s="585">
        <f>'P&amp;L'!AZ28</f>
        <v>241.00195932509774</v>
      </c>
      <c r="AO119" s="585">
        <f>'P&amp;L'!BA28</f>
        <v>314.830582666211</v>
      </c>
      <c r="AP119" s="585">
        <f>'P&amp;L'!BB28</f>
        <v>555.83254199130886</v>
      </c>
      <c r="AQ119" s="583"/>
      <c r="AR119" s="585">
        <f>'P&amp;L'!BD28</f>
        <v>251.21342129936278</v>
      </c>
      <c r="AS119" s="585">
        <f>'P&amp;L'!BE28</f>
        <v>328.60646715572415</v>
      </c>
      <c r="AT119" s="585">
        <f>'P&amp;L'!BF28</f>
        <v>579.8198884550867</v>
      </c>
      <c r="AU119" s="583"/>
      <c r="AV119" s="585">
        <f>'P&amp;L'!BH28</f>
        <v>261.90513814868285</v>
      </c>
      <c r="AW119" s="585">
        <f>'P&amp;L'!BI28</f>
        <v>343.03717737930123</v>
      </c>
      <c r="AX119" s="585">
        <f>'P&amp;L'!BJ28</f>
        <v>604.94231552798408</v>
      </c>
      <c r="AY119" s="583"/>
      <c r="AZ119" s="585">
        <f>'P&amp;L'!BL28</f>
        <v>273.10108238384822</v>
      </c>
      <c r="BA119" s="585">
        <f>'P&amp;L'!BM28</f>
        <v>358.15540039786134</v>
      </c>
      <c r="BB119" s="585">
        <f>'P&amp;L'!BN28</f>
        <v>631.25648278170945</v>
      </c>
      <c r="BC119" s="583"/>
      <c r="BD119" s="585">
        <f>'P&amp;L'!BP28</f>
        <v>284.82646241390563</v>
      </c>
      <c r="BE119" s="585">
        <f>'P&amp;L'!BQ28</f>
        <v>373.99549973701875</v>
      </c>
      <c r="BF119" s="585">
        <f>'P&amp;L'!BR28</f>
        <v>658.82196215092438</v>
      </c>
      <c r="BG119" s="583"/>
      <c r="BH119" s="585">
        <f>'P&amp;L'!BT28</f>
        <v>297.10778748848617</v>
      </c>
      <c r="BI119" s="585">
        <f>'P&amp;L'!BU28</f>
        <v>390.5936028373365</v>
      </c>
      <c r="BJ119" s="585">
        <f>'P&amp;L'!BV28</f>
        <v>687.70139032582267</v>
      </c>
      <c r="BK119" s="583"/>
      <c r="BL119" s="585">
        <f>'P&amp;L'!BX28</f>
        <v>309.97293609827983</v>
      </c>
      <c r="BM119" s="585">
        <f>'P&amp;L'!BY28</f>
        <v>407.98769312390181</v>
      </c>
      <c r="BN119" s="585">
        <f>'P&amp;L'!BZ28</f>
        <v>717.96062922218118</v>
      </c>
      <c r="BO119" s="583"/>
      <c r="BP119" s="585">
        <f>'P&amp;L'!CB28</f>
        <v>0</v>
      </c>
      <c r="BQ119" s="585">
        <f>'P&amp;L'!CC28</f>
        <v>0</v>
      </c>
      <c r="BR119" s="585">
        <f>'P&amp;L'!CD28</f>
        <v>0</v>
      </c>
    </row>
    <row r="120" spans="2:70">
      <c r="B120" s="314" t="s">
        <v>261</v>
      </c>
      <c r="D120" s="584"/>
      <c r="E120" s="584"/>
      <c r="F120" s="584"/>
      <c r="G120" s="584"/>
      <c r="H120" s="584"/>
      <c r="I120" s="584"/>
      <c r="J120" s="584"/>
      <c r="K120" s="584"/>
      <c r="L120" s="584"/>
      <c r="M120" s="584"/>
      <c r="N120" s="584"/>
      <c r="O120" s="584"/>
      <c r="P120" s="584">
        <f>+P119/L119-1</f>
        <v>3.5927013670193464E-2</v>
      </c>
      <c r="Q120" s="584">
        <f>+Q119/M119-1</f>
        <v>0.21733876748520253</v>
      </c>
      <c r="R120" s="584">
        <f>+R119/N119-1</f>
        <v>0.13303222482281463</v>
      </c>
      <c r="S120" s="583"/>
      <c r="T120" s="584">
        <f t="shared" ref="T120" si="341">+T119/P119-1</f>
        <v>0.34751619624497532</v>
      </c>
      <c r="U120" s="584">
        <f>+U119/Q119-1</f>
        <v>0.50082437456888607</v>
      </c>
      <c r="V120" s="584">
        <f>+V119/R119-1</f>
        <v>0.43568432612345109</v>
      </c>
      <c r="W120" s="583"/>
      <c r="X120" s="584">
        <f t="shared" ref="X120" si="342">+X119/T119-1</f>
        <v>0.37980245202828966</v>
      </c>
      <c r="Y120" s="584">
        <f>+Y119/U119-1</f>
        <v>0.16670683518762441</v>
      </c>
      <c r="Z120" s="584">
        <f>+Z119/V119-1</f>
        <v>0.25176401609348775</v>
      </c>
      <c r="AA120" s="583"/>
      <c r="AB120" s="584">
        <f t="shared" ref="AB120" si="343">+AB119/X119-1</f>
        <v>0.13723737147965975</v>
      </c>
      <c r="AC120" s="584">
        <f>+AC119/Y119-1</f>
        <v>0.20796702504827969</v>
      </c>
      <c r="AD120" s="584">
        <f>+AD119/Z119-1</f>
        <v>0.17686234289236769</v>
      </c>
      <c r="AE120" s="583"/>
      <c r="AF120" s="584">
        <f t="shared" ref="AF120:AH120" si="344">+AF119/AB119-1</f>
        <v>0.12227940305419205</v>
      </c>
      <c r="AG120" s="584">
        <f t="shared" si="344"/>
        <v>7.5592110496008447E-2</v>
      </c>
      <c r="AH120" s="584">
        <f t="shared" si="344"/>
        <v>9.5370434967588791E-2</v>
      </c>
      <c r="AI120" s="583"/>
      <c r="AJ120" s="584">
        <f t="shared" ref="AJ120:AL120" si="345">+AJ119/AF119-1</f>
        <v>7.2786822653904348E-2</v>
      </c>
      <c r="AK120" s="584">
        <f t="shared" si="345"/>
        <v>8.283508556378183E-2</v>
      </c>
      <c r="AL120" s="584">
        <f t="shared" si="345"/>
        <v>7.8461791687419291E-2</v>
      </c>
      <c r="AM120" s="583"/>
      <c r="AN120" s="584">
        <f t="shared" ref="AN120:AP120" si="346">+AN119/AJ119-1</f>
        <v>7.7869501035489064E-2</v>
      </c>
      <c r="AO120" s="584">
        <f t="shared" si="346"/>
        <v>7.5025585059466993E-2</v>
      </c>
      <c r="AP120" s="584">
        <f t="shared" si="346"/>
        <v>7.625682614819107E-2</v>
      </c>
      <c r="AQ120" s="583"/>
      <c r="AR120" s="584">
        <f t="shared" ref="AR120:AT120" si="347">+AR119/AN119-1</f>
        <v>4.2370867037186066E-2</v>
      </c>
      <c r="AS120" s="584">
        <f t="shared" si="347"/>
        <v>4.3756500314706015E-2</v>
      </c>
      <c r="AT120" s="584">
        <f t="shared" si="347"/>
        <v>4.3155707252838127E-2</v>
      </c>
      <c r="AU120" s="583"/>
      <c r="AV120" s="584">
        <f t="shared" ref="AV120:AX120" si="348">+AV119/AR119-1</f>
        <v>4.2560293132503979E-2</v>
      </c>
      <c r="AW120" s="584">
        <f t="shared" si="348"/>
        <v>4.3914869809115631E-2</v>
      </c>
      <c r="AX120" s="584">
        <f t="shared" si="348"/>
        <v>4.3327984384660123E-2</v>
      </c>
      <c r="AY120" s="583"/>
      <c r="AZ120" s="584">
        <f t="shared" ref="AZ120:BB120" si="349">+AZ119/AV119-1</f>
        <v>4.2748089305561621E-2</v>
      </c>
      <c r="BA120" s="584">
        <f t="shared" si="349"/>
        <v>4.4071675070494365E-2</v>
      </c>
      <c r="BB120" s="584">
        <f t="shared" si="349"/>
        <v>4.3498638759893682E-2</v>
      </c>
      <c r="BC120" s="583"/>
      <c r="BD120" s="584">
        <f t="shared" ref="BD120:BF120" si="350">+BD119/AZ119-1</f>
        <v>4.2934212957739915E-2</v>
      </c>
      <c r="BE120" s="584">
        <f t="shared" si="350"/>
        <v>4.4226889561238547E-2</v>
      </c>
      <c r="BF120" s="584">
        <f t="shared" si="350"/>
        <v>4.3667637673587612E-2</v>
      </c>
      <c r="BG120" s="583"/>
      <c r="BH120" s="584">
        <f t="shared" ref="BH120" si="351">+BH119/BD119-1</f>
        <v>4.3118623777075538E-2</v>
      </c>
      <c r="BI120" s="584">
        <f t="shared" ref="BI120" si="352">+BI119/BE119-1</f>
        <v>4.4380488834729226E-2</v>
      </c>
      <c r="BJ120" s="584">
        <f t="shared" ref="BJ120" si="353">+BJ119/BF119-1</f>
        <v>4.3834950614901613E-2</v>
      </c>
      <c r="BK120" s="583"/>
      <c r="BL120" s="584">
        <f t="shared" ref="BL120" si="354">+BL119/BH119-1</f>
        <v>4.3301283748047981E-2</v>
      </c>
      <c r="BM120" s="584">
        <f t="shared" ref="BM120" si="355">+BM119/BI119-1</f>
        <v>4.4532450506643562E-2</v>
      </c>
      <c r="BN120" s="584">
        <f t="shared" ref="BN120" si="356">+BN119/BJ119-1</f>
        <v>4.4000549252957155E-2</v>
      </c>
      <c r="BO120" s="583"/>
      <c r="BP120" s="584">
        <f t="shared" ref="BP120" si="357">+BP119/BL119-1</f>
        <v>-1</v>
      </c>
      <c r="BQ120" s="584">
        <f t="shared" ref="BQ120" si="358">+BQ119/BM119-1</f>
        <v>-1</v>
      </c>
      <c r="BR120" s="584">
        <f t="shared" ref="BR120" si="359">+BR119/BN119-1</f>
        <v>-1</v>
      </c>
    </row>
    <row r="122" spans="2:70">
      <c r="B122" s="148" t="s">
        <v>536</v>
      </c>
      <c r="D122" s="128">
        <f>+'P&amp;L'!P34</f>
        <v>29.104000000000024</v>
      </c>
      <c r="E122" s="128">
        <f>+'P&amp;L'!Q34</f>
        <v>41.814999999999998</v>
      </c>
      <c r="F122" s="128">
        <f>+'P&amp;L'!R34</f>
        <v>70.59099999999998</v>
      </c>
      <c r="H122" s="128">
        <f>+'P&amp;L'!T34</f>
        <v>32.388000000000034</v>
      </c>
      <c r="I122" s="128">
        <f>+'P&amp;L'!U34</f>
        <v>41.671000000000014</v>
      </c>
      <c r="J122" s="128">
        <f>+'P&amp;L'!V34</f>
        <v>74.058999999999983</v>
      </c>
      <c r="L122" s="128">
        <f>+'P&amp;L'!X34</f>
        <v>43.806000000000004</v>
      </c>
      <c r="M122" s="128">
        <f>+'P&amp;L'!Y34</f>
        <v>50.666000000000011</v>
      </c>
      <c r="N122" s="128">
        <f>+'P&amp;L'!Z34</f>
        <v>94.472000000000079</v>
      </c>
      <c r="P122" s="128">
        <f>+'P&amp;L'!AB34</f>
        <v>43.829000000000015</v>
      </c>
      <c r="Q122" s="128">
        <f>+'P&amp;L'!AC34</f>
        <v>62.277999999999992</v>
      </c>
      <c r="R122" s="128">
        <f>+'P&amp;L'!AD34</f>
        <v>106.10699999999991</v>
      </c>
      <c r="T122" s="128">
        <f>+'P&amp;L'!AF34</f>
        <v>66.010999999999967</v>
      </c>
      <c r="U122" s="128">
        <f>+'P&amp;L'!AG34</f>
        <v>114.73500000000003</v>
      </c>
      <c r="V122" s="128">
        <f>+'P&amp;L'!AH34</f>
        <v>180.74600000000004</v>
      </c>
      <c r="X122" s="128">
        <f>+'P&amp;L'!AJ34</f>
        <v>101.10100000000006</v>
      </c>
      <c r="Y122" s="128">
        <f>+'P&amp;L'!AK34</f>
        <v>138.90900000000002</v>
      </c>
      <c r="Z122" s="128">
        <f>+'P&amp;L'!AL34</f>
        <v>240.03200000000004</v>
      </c>
      <c r="AB122" s="128">
        <f>+'P&amp;L'!AN34</f>
        <v>114.51199999999996</v>
      </c>
      <c r="AC122" s="128">
        <f>+'P&amp;L'!AO34</f>
        <v>169.44799999999987</v>
      </c>
      <c r="AD122" s="128">
        <f>+'P&amp;L'!AP34</f>
        <v>283.98199999999974</v>
      </c>
      <c r="AF122" s="128">
        <f>+'P&amp;L'!AR34</f>
        <v>132.01684136500012</v>
      </c>
      <c r="AG122" s="128">
        <f>+'P&amp;L'!AS34</f>
        <v>184.4304316700001</v>
      </c>
      <c r="AH122" s="128">
        <f>+'P&amp;L'!AT34</f>
        <v>316.44727303499997</v>
      </c>
      <c r="AJ122" s="128">
        <f>+'P&amp;L'!AV34</f>
        <v>142.25830418576817</v>
      </c>
      <c r="AK122" s="128">
        <f>+'P&amp;L'!AW34</f>
        <v>201.0444337912015</v>
      </c>
      <c r="AL122" s="128">
        <f>+'P&amp;L'!AX34</f>
        <v>343.30273797696964</v>
      </c>
      <c r="AN122" s="128">
        <f>+'P&amp;L'!AZ34</f>
        <v>154.52023262603285</v>
      </c>
      <c r="AO122" s="128">
        <f>+'P&amp;L'!BA34</f>
        <v>216.95083520603947</v>
      </c>
      <c r="AP122" s="128">
        <f>+'P&amp;L'!BB34</f>
        <v>371.47106783207244</v>
      </c>
      <c r="AR122" s="128">
        <f>+'P&amp;L'!BD34</f>
        <v>161.42867203248585</v>
      </c>
      <c r="AS122" s="128">
        <f>+'P&amp;L'!BE34</f>
        <v>226.78502282143924</v>
      </c>
      <c r="AT122" s="128">
        <f>+'P&amp;L'!BF34</f>
        <v>388.21369485392484</v>
      </c>
      <c r="AV122" s="128">
        <f>+'P&amp;L'!BH34</f>
        <v>168.65943610628065</v>
      </c>
      <c r="AW122" s="128">
        <f>+'P&amp;L'!BI34</f>
        <v>237.0831538625896</v>
      </c>
      <c r="AX122" s="128">
        <f>+'P&amp;L'!BJ34</f>
        <v>405.74258996887022</v>
      </c>
      <c r="AZ122" s="128">
        <f>+'P&amp;L'!BL34</f>
        <v>176.22834640274971</v>
      </c>
      <c r="BA122" s="128">
        <f>+'P&amp;L'!BM34</f>
        <v>247.86803129151707</v>
      </c>
      <c r="BB122" s="128">
        <f>+'P&amp;L'!BN34</f>
        <v>424.09637769426672</v>
      </c>
      <c r="BD122" s="128">
        <f>+'P&amp;L'!BP34</f>
        <v>184.15202330705634</v>
      </c>
      <c r="BE122" s="128">
        <f>+'P&amp;L'!BQ34</f>
        <v>259.16360469963035</v>
      </c>
      <c r="BF122" s="128">
        <f>+'P&amp;L'!BR34</f>
        <v>443.31562800668667</v>
      </c>
      <c r="BH122" s="128">
        <f>+'P&amp;L'!BT34</f>
        <v>192.44792704678557</v>
      </c>
      <c r="BI122" s="128">
        <f>+'P&amp;L'!BU34</f>
        <v>270.99502878421276</v>
      </c>
      <c r="BJ122" s="128">
        <f>+'P&amp;L'!BV34</f>
        <v>463.44295583099836</v>
      </c>
      <c r="BL122" s="128">
        <f>+'P&amp;L'!BX34</f>
        <v>201.13440083471428</v>
      </c>
      <c r="BM122" s="128">
        <f>+'P&amp;L'!BY34</f>
        <v>283.38872483816408</v>
      </c>
      <c r="BN122" s="128">
        <f>+'P&amp;L'!BZ34</f>
        <v>484.52312567287788</v>
      </c>
      <c r="BP122" s="128">
        <f>+'P&amp;L'!CB34</f>
        <v>0</v>
      </c>
      <c r="BQ122" s="128">
        <f>+'P&amp;L'!CC34</f>
        <v>0</v>
      </c>
      <c r="BR122" s="128">
        <f>+'P&amp;L'!CD34</f>
        <v>0</v>
      </c>
    </row>
    <row r="123" spans="2:70">
      <c r="B123" s="314" t="s">
        <v>261</v>
      </c>
      <c r="D123" s="584"/>
      <c r="E123" s="584"/>
      <c r="F123" s="584"/>
      <c r="G123" s="584"/>
      <c r="H123" s="584"/>
      <c r="I123" s="584"/>
      <c r="J123" s="584"/>
      <c r="K123" s="584"/>
      <c r="L123" s="584"/>
      <c r="M123" s="584"/>
      <c r="N123" s="584"/>
      <c r="O123" s="584"/>
      <c r="P123" s="584">
        <f>+P122/L122-1</f>
        <v>5.2504223165805719E-4</v>
      </c>
      <c r="Q123" s="584">
        <f>+Q122/M122-1</f>
        <v>0.22918722614771214</v>
      </c>
      <c r="R123" s="584">
        <f>+R122/N122-1</f>
        <v>0.12315818443559801</v>
      </c>
      <c r="S123" s="583"/>
      <c r="T123" s="584">
        <f t="shared" ref="T123" si="360">+T122/P122-1</f>
        <v>0.50610326496155378</v>
      </c>
      <c r="U123" s="584">
        <f>+U122/Q122-1</f>
        <v>0.84230386332252238</v>
      </c>
      <c r="V123" s="584">
        <f>+V122/R122-1</f>
        <v>0.7034314418464398</v>
      </c>
      <c r="W123" s="583"/>
      <c r="X123" s="584">
        <f t="shared" ref="X123" si="361">+X122/T122-1</f>
        <v>0.53157807032161464</v>
      </c>
      <c r="Y123" s="584">
        <f>+Y122/U122-1</f>
        <v>0.21069420839325392</v>
      </c>
      <c r="Z123" s="584">
        <f>+Z122/V122-1</f>
        <v>0.32800725880517412</v>
      </c>
      <c r="AA123" s="583"/>
      <c r="AB123" s="584">
        <f t="shared" ref="AB123" si="362">+AB122/X122-1</f>
        <v>0.1326495286891316</v>
      </c>
      <c r="AC123" s="584">
        <f>+AC122/Y122-1</f>
        <v>0.2198489658697409</v>
      </c>
      <c r="AD123" s="584">
        <f>+AD122/Z122-1</f>
        <v>0.18310058658845363</v>
      </c>
      <c r="AE123" s="583"/>
      <c r="AF123" s="584">
        <f t="shared" ref="AF123:AH123" si="363">+AF122/AB122-1</f>
        <v>0.15286468985783297</v>
      </c>
      <c r="AG123" s="584">
        <f t="shared" si="363"/>
        <v>8.8419052865777337E-2</v>
      </c>
      <c r="AH123" s="584">
        <f t="shared" si="363"/>
        <v>0.1143215874069492</v>
      </c>
      <c r="AI123" s="583"/>
      <c r="AJ123" s="584">
        <f t="shared" ref="AJ123:AL123" si="364">+AJ122/AF122-1</f>
        <v>7.7576941811934752E-2</v>
      </c>
      <c r="AK123" s="584">
        <f t="shared" si="364"/>
        <v>9.0082758960997822E-2</v>
      </c>
      <c r="AL123" s="584">
        <f t="shared" si="364"/>
        <v>8.4865528100156462E-2</v>
      </c>
      <c r="AM123" s="583"/>
      <c r="AN123" s="584">
        <f t="shared" ref="AN123:AP123" si="365">+AN122/AJ122-1</f>
        <v>8.6194816608051505E-2</v>
      </c>
      <c r="AO123" s="584">
        <f t="shared" si="365"/>
        <v>7.9118835149436961E-2</v>
      </c>
      <c r="AP123" s="584">
        <f t="shared" si="365"/>
        <v>8.2050990974014582E-2</v>
      </c>
      <c r="AQ123" s="583"/>
      <c r="AR123" s="584">
        <f t="shared" ref="AR123:AT123" si="366">+AR122/AN122-1</f>
        <v>4.4708963279732394E-2</v>
      </c>
      <c r="AS123" s="584">
        <f t="shared" si="366"/>
        <v>4.5329106965917854E-2</v>
      </c>
      <c r="AT123" s="584">
        <f t="shared" si="366"/>
        <v>4.5071146777495796E-2</v>
      </c>
      <c r="AU123" s="583"/>
      <c r="AV123" s="584">
        <f t="shared" ref="AV123:AX123" si="367">+AV122/AR122-1</f>
        <v>4.4792315904944591E-2</v>
      </c>
      <c r="AW123" s="584">
        <f t="shared" si="367"/>
        <v>4.5409220207891066E-2</v>
      </c>
      <c r="AX123" s="584">
        <f t="shared" si="367"/>
        <v>4.5152696433187645E-2</v>
      </c>
      <c r="AY123" s="583"/>
      <c r="AZ123" s="584">
        <f t="shared" ref="AZ123:BB123" si="368">+AZ122/AV122-1</f>
        <v>4.4876886056345544E-2</v>
      </c>
      <c r="BA123" s="584">
        <f t="shared" si="368"/>
        <v>4.5489851358980316E-2</v>
      </c>
      <c r="BB123" s="584">
        <f t="shared" si="368"/>
        <v>4.5235053403697822E-2</v>
      </c>
      <c r="BC123" s="583"/>
      <c r="BD123" s="584">
        <f t="shared" ref="BD123:BF123" si="369">+BD122/AZ122-1</f>
        <v>4.4962556058932623E-2</v>
      </c>
      <c r="BE123" s="584">
        <f t="shared" si="369"/>
        <v>4.5570916706191067E-2</v>
      </c>
      <c r="BF123" s="584">
        <f t="shared" si="369"/>
        <v>4.5318119473011009E-2</v>
      </c>
      <c r="BG123" s="583"/>
      <c r="BH123" s="584">
        <f t="shared" ref="BH123" si="370">+BH122/BD122-1</f>
        <v>4.5049213094425777E-2</v>
      </c>
      <c r="BI123" s="584">
        <f t="shared" ref="BI123" si="371">+BI122/BE122-1</f>
        <v>4.5652336477936428E-2</v>
      </c>
      <c r="BJ123" s="584">
        <f t="shared" ref="BJ123" si="372">+BJ122/BF122-1</f>
        <v>4.5401800777499668E-2</v>
      </c>
      <c r="BK123" s="583"/>
      <c r="BL123" s="584">
        <f t="shared" ref="BL123" si="373">+BL122/BH122-1</f>
        <v>4.513674904805276E-2</v>
      </c>
      <c r="BM123" s="584">
        <f t="shared" ref="BM123" si="374">+BM122/BI122-1</f>
        <v>4.5734034714784988E-2</v>
      </c>
      <c r="BN123" s="584">
        <f t="shared" ref="BN123" si="375">+BN122/BJ122-1</f>
        <v>4.5486007666425188E-2</v>
      </c>
      <c r="BO123" s="583"/>
      <c r="BP123" s="584">
        <f t="shared" ref="BP123" si="376">+BP122/BL122-1</f>
        <v>-1</v>
      </c>
      <c r="BQ123" s="584">
        <f t="shared" ref="BQ123" si="377">+BQ122/BM122-1</f>
        <v>-1</v>
      </c>
      <c r="BR123" s="584">
        <f t="shared" ref="BR123" si="378">+BR122/BN122-1</f>
        <v>-1</v>
      </c>
    </row>
  </sheetData>
  <dataValidations count="1">
    <dataValidation type="list" allowBlank="1" showInputMessage="1" showErrorMessage="1" sqref="B4" xr:uid="{096B37C4-D49A-4635-AAAB-286705B85229}">
      <formula1>$AF$2:$AF$4</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5C7C0-E0E1-4ED4-8294-1A67234EDEA1}">
  <sheetPr codeName="Sheet29">
    <tabColor rgb="FF0000FF"/>
    <pageSetUpPr autoPageBreaks="0"/>
  </sheetPr>
  <dimension ref="B2:W99"/>
  <sheetViews>
    <sheetView showGridLines="0" topLeftCell="A54" zoomScaleNormal="100" workbookViewId="0">
      <selection activeCell="D81" sqref="D81"/>
    </sheetView>
  </sheetViews>
  <sheetFormatPr defaultRowHeight="14.4" outlineLevelRow="1"/>
  <cols>
    <col min="1" max="1" width="2.33203125" customWidth="1"/>
    <col min="2" max="2" width="35.6640625" customWidth="1"/>
    <col min="3" max="3" width="18" customWidth="1"/>
    <col min="4" max="4" width="19.33203125" customWidth="1"/>
    <col min="5" max="5" width="13.6640625" customWidth="1"/>
    <col min="6" max="6" width="15.88671875" customWidth="1"/>
    <col min="7" max="7" width="12.44140625" customWidth="1"/>
    <col min="8" max="8" width="16.6640625" customWidth="1"/>
    <col min="9" max="9" width="21" customWidth="1"/>
    <col min="10" max="10" width="17.33203125" customWidth="1"/>
    <col min="11" max="11" width="9.44140625" customWidth="1"/>
  </cols>
  <sheetData>
    <row r="2" spans="2:23" ht="15.6">
      <c r="B2" s="223" t="s">
        <v>568</v>
      </c>
    </row>
    <row r="4" spans="2:23" ht="27.6">
      <c r="B4" s="638" t="s">
        <v>569</v>
      </c>
      <c r="C4" s="639" t="s">
        <v>588</v>
      </c>
      <c r="D4" s="639" t="s">
        <v>570</v>
      </c>
      <c r="E4" s="639" t="s">
        <v>617</v>
      </c>
      <c r="F4" s="639" t="s">
        <v>618</v>
      </c>
      <c r="G4" s="639" t="s">
        <v>619</v>
      </c>
      <c r="H4" s="639" t="s">
        <v>653</v>
      </c>
      <c r="J4" s="600"/>
      <c r="K4" s="600"/>
      <c r="L4" s="128"/>
      <c r="M4" s="128"/>
      <c r="N4" s="128"/>
      <c r="O4" s="128"/>
      <c r="P4" s="128"/>
      <c r="Q4" s="128"/>
      <c r="R4" s="128"/>
      <c r="S4" s="128"/>
      <c r="T4" s="128"/>
      <c r="U4" s="128"/>
      <c r="V4" s="128"/>
      <c r="W4" s="128"/>
    </row>
    <row r="5" spans="2:23">
      <c r="B5" s="598"/>
      <c r="C5" s="599" t="s">
        <v>97</v>
      </c>
      <c r="D5" s="599" t="str">
        <f>+C5</f>
        <v>FY26E</v>
      </c>
      <c r="E5" s="599" t="str">
        <f t="shared" ref="E5:H5" si="0">+D5</f>
        <v>FY26E</v>
      </c>
      <c r="F5" s="599" t="str">
        <f t="shared" si="0"/>
        <v>FY26E</v>
      </c>
      <c r="G5" s="599" t="str">
        <f t="shared" si="0"/>
        <v>FY26E</v>
      </c>
      <c r="H5" s="599" t="str">
        <f t="shared" si="0"/>
        <v>FY26E</v>
      </c>
      <c r="J5" s="600"/>
      <c r="K5" s="600"/>
      <c r="L5" s="128"/>
      <c r="M5" s="128"/>
      <c r="N5" s="128"/>
      <c r="O5" s="128"/>
      <c r="P5" s="128"/>
      <c r="Q5" s="128"/>
      <c r="R5" s="128"/>
      <c r="S5" s="128"/>
      <c r="T5" s="128"/>
      <c r="U5" s="128"/>
      <c r="V5" s="128"/>
      <c r="W5" s="128"/>
    </row>
    <row r="6" spans="2:23">
      <c r="B6" s="534" t="s">
        <v>176</v>
      </c>
      <c r="C6" s="602">
        <f>'P&amp;L'!AT221</f>
        <v>633.07195603225819</v>
      </c>
      <c r="D6" s="603">
        <f>+C6/SUM($C$6:$C$10)</f>
        <v>0.39890355441581687</v>
      </c>
      <c r="E6" s="602">
        <f>+'P&amp;L'!AT231</f>
        <v>241.38459737500006</v>
      </c>
      <c r="F6" s="712">
        <f>'P&amp;L'!$AT$241</f>
        <v>0.59999999999999987</v>
      </c>
      <c r="G6" s="136">
        <f>+F6*E6</f>
        <v>144.830758425</v>
      </c>
      <c r="H6" s="603">
        <f>+E6/SUM($E$6:$E$10)</f>
        <v>0.42821531132314916</v>
      </c>
      <c r="J6" s="600"/>
      <c r="K6" s="128"/>
      <c r="L6" s="128"/>
      <c r="M6" s="128"/>
      <c r="N6" s="128"/>
      <c r="O6" s="128"/>
      <c r="P6" s="128"/>
      <c r="Q6" s="128"/>
      <c r="R6" s="128"/>
      <c r="S6" s="128"/>
      <c r="T6" s="128"/>
      <c r="U6" s="128"/>
      <c r="V6" s="128"/>
      <c r="W6" s="128"/>
    </row>
    <row r="7" spans="2:23">
      <c r="B7" s="534" t="s">
        <v>183</v>
      </c>
      <c r="C7" s="602">
        <f>+'P&amp;L'!AT267</f>
        <v>116.38</v>
      </c>
      <c r="D7" s="603">
        <f t="shared" ref="D7:D10" si="1">+C7/SUM($C$6:$C$10)</f>
        <v>7.3331941528218966E-2</v>
      </c>
      <c r="E7" s="602">
        <f>+'P&amp;L'!AT273</f>
        <v>53.54316</v>
      </c>
      <c r="F7" s="712">
        <f>'P&amp;L'!$AT$282</f>
        <v>0.40999999999999992</v>
      </c>
      <c r="G7" s="136">
        <f t="shared" ref="G7:G10" si="2">+F7*E7</f>
        <v>21.952695599999995</v>
      </c>
      <c r="H7" s="603">
        <f>+E7/SUM($E$6:$E$10)</f>
        <v>9.4985351915415198E-2</v>
      </c>
      <c r="J7" s="600"/>
      <c r="K7" s="128"/>
      <c r="L7" s="128"/>
      <c r="M7" s="128"/>
      <c r="N7" s="128"/>
      <c r="O7" s="128"/>
      <c r="P7" s="128"/>
      <c r="Q7" s="128"/>
      <c r="R7" s="128"/>
      <c r="S7" s="128"/>
      <c r="T7" s="128"/>
      <c r="U7" s="128"/>
      <c r="V7" s="128"/>
      <c r="W7" s="128"/>
    </row>
    <row r="8" spans="2:23">
      <c r="B8" s="534" t="s">
        <v>187</v>
      </c>
      <c r="C8" s="602">
        <f>+'P&amp;L'!AT302</f>
        <v>236.01313842743997</v>
      </c>
      <c r="D8" s="603">
        <f t="shared" si="1"/>
        <v>0.14871371083564597</v>
      </c>
      <c r="E8" s="602">
        <f>+'P&amp;L'!AT313</f>
        <v>104.91082225000001</v>
      </c>
      <c r="F8" s="712">
        <f>'P&amp;L'!$AT$323</f>
        <v>0.76500000000000012</v>
      </c>
      <c r="G8" s="136">
        <f t="shared" si="2"/>
        <v>80.256779021250026</v>
      </c>
      <c r="H8" s="603">
        <f>+E8/SUM($E$6:$E$10)</f>
        <v>0.18611137951424273</v>
      </c>
      <c r="J8" s="600"/>
      <c r="K8" s="128"/>
      <c r="L8" s="128"/>
      <c r="M8" s="128"/>
      <c r="N8" s="128"/>
      <c r="O8" s="128"/>
      <c r="P8" s="128"/>
      <c r="Q8" s="128"/>
      <c r="R8" s="128"/>
      <c r="S8" s="128"/>
      <c r="T8" s="128"/>
      <c r="U8" s="128"/>
      <c r="V8" s="128"/>
      <c r="W8" s="128"/>
    </row>
    <row r="9" spans="2:23">
      <c r="B9" s="534" t="s">
        <v>188</v>
      </c>
      <c r="C9" s="602">
        <f>+'P&amp;L'!AT356</f>
        <v>105.23402603991596</v>
      </c>
      <c r="D9" s="603">
        <f t="shared" si="1"/>
        <v>6.6308776803043395E-2</v>
      </c>
      <c r="E9" s="602">
        <f>+'P&amp;L'!AT366</f>
        <v>36.303672875000004</v>
      </c>
      <c r="F9" s="712">
        <f>'P&amp;L'!$AT$377</f>
        <v>0.76999999999999991</v>
      </c>
      <c r="G9" s="136">
        <f t="shared" si="2"/>
        <v>27.953828113749999</v>
      </c>
      <c r="H9" s="603">
        <f>+E9/SUM($E$6:$E$10)</f>
        <v>6.4402570633746464E-2</v>
      </c>
      <c r="J9" s="600"/>
      <c r="K9" s="128"/>
      <c r="L9" s="128"/>
      <c r="M9" s="128"/>
      <c r="N9" s="128"/>
      <c r="O9" s="128"/>
      <c r="P9" s="128"/>
      <c r="Q9" s="128"/>
      <c r="R9" s="128"/>
      <c r="S9" s="128"/>
      <c r="T9" s="128"/>
      <c r="U9" s="128"/>
      <c r="V9" s="128"/>
      <c r="W9" s="128"/>
    </row>
    <row r="10" spans="2:23">
      <c r="B10" s="534" t="s">
        <v>698</v>
      </c>
      <c r="C10" s="602">
        <f>+'P&amp;L'!AT421</f>
        <v>496.33100000000002</v>
      </c>
      <c r="D10" s="603">
        <f t="shared" si="1"/>
        <v>0.31274201641727489</v>
      </c>
      <c r="E10" s="602">
        <f>+'P&amp;L'!AT426</f>
        <v>127.55687499999999</v>
      </c>
      <c r="F10" s="712">
        <f>'P&amp;L'!$AT$436</f>
        <v>0.95300000000000018</v>
      </c>
      <c r="G10" s="136">
        <f t="shared" si="2"/>
        <v>121.56170187500001</v>
      </c>
      <c r="H10" s="603">
        <f>+E10/SUM($E$6:$E$10)</f>
        <v>0.22628538661344652</v>
      </c>
      <c r="J10" s="600"/>
      <c r="K10" s="128"/>
      <c r="L10" s="128"/>
      <c r="M10" s="128"/>
      <c r="N10" s="128"/>
      <c r="O10" s="128"/>
      <c r="P10" s="128"/>
      <c r="Q10" s="128"/>
      <c r="R10" s="128"/>
      <c r="S10" s="128"/>
      <c r="T10" s="128"/>
      <c r="U10" s="128"/>
      <c r="V10" s="128"/>
      <c r="W10" s="128"/>
    </row>
    <row r="11" spans="2:23">
      <c r="B11" s="604" t="s">
        <v>363</v>
      </c>
      <c r="C11" s="605">
        <f>+SUM(C6:C10)</f>
        <v>1587.030120499614</v>
      </c>
      <c r="D11" s="606">
        <f>+SUM(D6:D10)</f>
        <v>1</v>
      </c>
      <c r="E11" s="605">
        <f>+SUM(E6:E10)</f>
        <v>563.69912750000003</v>
      </c>
      <c r="F11" s="700">
        <f>+G11/E11</f>
        <v>0.70348833923820475</v>
      </c>
      <c r="G11" s="699">
        <f>+SUM(G6:G10)</f>
        <v>396.55576303500004</v>
      </c>
      <c r="H11" s="606">
        <f>+SUM(H6:H10)</f>
        <v>1</v>
      </c>
      <c r="J11" s="600"/>
      <c r="K11" s="128"/>
      <c r="L11" s="128"/>
      <c r="M11" s="128"/>
      <c r="N11" s="128"/>
      <c r="O11" s="128"/>
      <c r="P11" s="128"/>
      <c r="Q11" s="128"/>
      <c r="R11" s="128"/>
      <c r="S11" s="128"/>
      <c r="T11" s="128"/>
      <c r="U11" s="128"/>
      <c r="V11" s="128"/>
      <c r="W11" s="128"/>
    </row>
    <row r="12" spans="2:23">
      <c r="B12" s="354"/>
      <c r="C12" s="607"/>
      <c r="D12" s="603"/>
      <c r="E12" s="608"/>
      <c r="F12" s="603"/>
      <c r="G12" s="603"/>
      <c r="H12" s="600"/>
      <c r="J12" s="600"/>
      <c r="K12" s="128"/>
      <c r="L12" s="128"/>
      <c r="M12" s="128"/>
      <c r="N12" s="128"/>
      <c r="O12" s="128"/>
      <c r="P12" s="128"/>
      <c r="Q12" s="128"/>
      <c r="R12" s="128"/>
      <c r="S12" s="128"/>
      <c r="T12" s="128"/>
      <c r="U12" s="128"/>
      <c r="V12" s="128"/>
      <c r="W12" s="128"/>
    </row>
    <row r="13" spans="2:23">
      <c r="B13" s="609" t="s">
        <v>572</v>
      </c>
      <c r="C13" s="600"/>
      <c r="F13" s="600"/>
      <c r="G13" s="610"/>
      <c r="I13" s="601" t="s">
        <v>571</v>
      </c>
      <c r="J13" s="600"/>
      <c r="K13" s="128"/>
      <c r="L13" s="128"/>
      <c r="M13" s="128"/>
      <c r="N13" s="128"/>
      <c r="O13" s="128"/>
      <c r="P13" s="128"/>
      <c r="Q13" s="128"/>
      <c r="R13" s="128"/>
      <c r="S13" s="128"/>
      <c r="T13" s="128"/>
      <c r="U13" s="128"/>
      <c r="V13" s="128"/>
      <c r="W13" s="128"/>
    </row>
    <row r="14" spans="2:23">
      <c r="B14" s="128" t="s">
        <v>590</v>
      </c>
      <c r="C14" s="600"/>
      <c r="F14" s="600"/>
      <c r="G14" s="602">
        <f>+'P&amp;L'!AT21</f>
        <v>-23.226890000000001</v>
      </c>
      <c r="I14" s="600"/>
      <c r="J14" s="600"/>
      <c r="K14" s="128"/>
      <c r="L14" s="128"/>
      <c r="M14" s="128"/>
      <c r="N14" s="128"/>
      <c r="O14" s="128"/>
      <c r="P14" s="128"/>
      <c r="Q14" s="128"/>
      <c r="R14" s="128"/>
      <c r="S14" s="128"/>
      <c r="T14" s="128"/>
      <c r="U14" s="128"/>
      <c r="V14" s="128"/>
      <c r="W14" s="128"/>
    </row>
    <row r="15" spans="2:23">
      <c r="B15" s="128" t="s">
        <v>591</v>
      </c>
      <c r="C15" s="600"/>
      <c r="F15" s="138">
        <f>+F11</f>
        <v>0.70348833923820475</v>
      </c>
      <c r="G15" s="610">
        <f>+G14*F15</f>
        <v>-16.339846271768465</v>
      </c>
      <c r="I15" s="600"/>
      <c r="J15" s="600"/>
      <c r="K15" s="128"/>
      <c r="L15" s="128"/>
      <c r="M15" s="128"/>
      <c r="N15" s="128"/>
      <c r="O15" s="128"/>
      <c r="P15" s="128"/>
      <c r="Q15" s="128"/>
      <c r="R15" s="128"/>
      <c r="S15" s="128"/>
      <c r="T15" s="128"/>
      <c r="U15" s="128"/>
      <c r="V15" s="128"/>
      <c r="W15" s="128"/>
    </row>
    <row r="16" spans="2:23">
      <c r="B16" s="128" t="s">
        <v>589</v>
      </c>
      <c r="C16" s="600"/>
      <c r="F16" s="600"/>
      <c r="G16" s="610">
        <f>+G15</f>
        <v>-16.339846271768465</v>
      </c>
      <c r="I16" s="600"/>
      <c r="J16" s="600"/>
      <c r="K16" s="128"/>
      <c r="L16" s="128"/>
      <c r="M16" s="128"/>
      <c r="N16" s="128"/>
      <c r="O16" s="128"/>
      <c r="P16" s="128"/>
      <c r="Q16" s="128"/>
      <c r="R16" s="128"/>
      <c r="S16" s="128"/>
      <c r="T16" s="128"/>
      <c r="U16" s="128"/>
      <c r="V16" s="128"/>
      <c r="W16" s="128"/>
    </row>
    <row r="17" spans="2:23">
      <c r="B17" s="128" t="s">
        <v>592</v>
      </c>
      <c r="C17" s="600"/>
      <c r="F17" s="600"/>
      <c r="G17" s="602">
        <f>+BS!AT81+BS!AT82</f>
        <v>2.1803248818843954</v>
      </c>
      <c r="I17" s="600" t="s">
        <v>596</v>
      </c>
      <c r="J17" s="600"/>
      <c r="K17" s="128"/>
      <c r="L17" s="128"/>
      <c r="M17" s="128"/>
      <c r="N17" s="128"/>
      <c r="O17" s="128"/>
      <c r="P17" s="128"/>
      <c r="Q17" s="128"/>
      <c r="R17" s="128"/>
      <c r="S17" s="128"/>
      <c r="T17" s="128"/>
      <c r="U17" s="128"/>
      <c r="V17" s="128"/>
      <c r="W17" s="128"/>
    </row>
    <row r="18" spans="2:23">
      <c r="B18" s="128"/>
      <c r="C18" s="600"/>
      <c r="D18" s="600"/>
      <c r="E18" s="600"/>
      <c r="F18" s="600"/>
      <c r="G18" s="600"/>
      <c r="H18" s="600"/>
      <c r="I18" s="600"/>
      <c r="J18" s="600"/>
      <c r="K18" s="128"/>
      <c r="L18" s="128"/>
      <c r="M18" s="128"/>
      <c r="N18" s="128"/>
      <c r="O18" s="128"/>
      <c r="P18" s="128"/>
      <c r="Q18" s="128"/>
      <c r="R18" s="128"/>
      <c r="S18" s="128"/>
      <c r="T18" s="128"/>
      <c r="U18" s="128"/>
      <c r="V18" s="128"/>
      <c r="W18" s="128"/>
    </row>
    <row r="19" spans="2:23" ht="27.6">
      <c r="B19" s="598" t="s">
        <v>595</v>
      </c>
      <c r="C19" s="644"/>
      <c r="D19" s="644"/>
      <c r="E19" s="639" t="s">
        <v>593</v>
      </c>
      <c r="F19" s="599" t="s">
        <v>594</v>
      </c>
      <c r="G19" s="600"/>
      <c r="H19" s="600"/>
      <c r="I19" s="600"/>
      <c r="J19" s="600"/>
      <c r="K19" s="128"/>
      <c r="L19" s="128"/>
      <c r="M19" s="128"/>
      <c r="N19" s="128"/>
      <c r="O19" s="128"/>
      <c r="P19" s="128"/>
      <c r="Q19" s="128"/>
      <c r="R19" s="128"/>
      <c r="S19" s="128"/>
      <c r="T19" s="128"/>
      <c r="U19" s="128"/>
      <c r="V19" s="128"/>
      <c r="W19" s="128"/>
    </row>
    <row r="20" spans="2:23">
      <c r="B20" s="534" t="s">
        <v>176</v>
      </c>
      <c r="D20" s="701">
        <f>+H6</f>
        <v>0.42821531132314916</v>
      </c>
      <c r="E20" s="697">
        <f>+D20*$G$14</f>
        <v>-9.9461099324185405</v>
      </c>
      <c r="F20" s="610">
        <f>+D20*$G$17</f>
        <v>0.93364849808173478</v>
      </c>
      <c r="G20" s="600"/>
      <c r="H20" s="600"/>
      <c r="I20" s="600"/>
      <c r="J20" s="600"/>
      <c r="K20" s="128"/>
      <c r="L20" s="128"/>
      <c r="M20" s="128"/>
      <c r="N20" s="128"/>
      <c r="O20" s="128"/>
      <c r="P20" s="128"/>
      <c r="Q20" s="128"/>
      <c r="R20" s="128"/>
      <c r="S20" s="128"/>
      <c r="T20" s="128"/>
      <c r="U20" s="128"/>
      <c r="V20" s="128"/>
      <c r="W20" s="128"/>
    </row>
    <row r="21" spans="2:23">
      <c r="B21" s="534" t="s">
        <v>183</v>
      </c>
      <c r="D21" s="701">
        <f>+H7</f>
        <v>9.4985351915415198E-2</v>
      </c>
      <c r="E21" s="610">
        <f>+D21*$G$14</f>
        <v>-2.2062143205506382</v>
      </c>
      <c r="F21" s="610">
        <f>+D21*$G$17</f>
        <v>0.20709892619572537</v>
      </c>
      <c r="G21" s="600"/>
      <c r="H21" s="600"/>
      <c r="I21" s="600"/>
      <c r="J21" s="600"/>
      <c r="K21" s="128"/>
      <c r="L21" s="128"/>
      <c r="M21" s="128"/>
      <c r="N21" s="128"/>
      <c r="O21" s="128"/>
      <c r="P21" s="128"/>
      <c r="Q21" s="128"/>
      <c r="R21" s="128"/>
      <c r="S21" s="128"/>
      <c r="T21" s="128"/>
      <c r="U21" s="128"/>
      <c r="V21" s="128"/>
      <c r="W21" s="128"/>
    </row>
    <row r="22" spans="2:23">
      <c r="B22" s="534" t="s">
        <v>187</v>
      </c>
      <c r="D22" s="701">
        <f>+H8</f>
        <v>0.18611137951424273</v>
      </c>
      <c r="E22" s="610">
        <f>+D22*$G$14</f>
        <v>-4.3227885397255692</v>
      </c>
      <c r="F22" s="610">
        <f>+D22*$G$17</f>
        <v>0.40578327155673316</v>
      </c>
      <c r="G22" s="600"/>
      <c r="H22" s="600"/>
      <c r="I22" s="600"/>
      <c r="J22" s="600"/>
      <c r="K22" s="128"/>
      <c r="L22" s="128"/>
      <c r="M22" s="128"/>
      <c r="N22" s="128"/>
      <c r="O22" s="128"/>
      <c r="P22" s="128"/>
      <c r="Q22" s="128"/>
      <c r="R22" s="128"/>
      <c r="S22" s="128"/>
      <c r="T22" s="128"/>
      <c r="U22" s="128"/>
      <c r="V22" s="128"/>
      <c r="W22" s="128"/>
    </row>
    <row r="23" spans="2:23">
      <c r="B23" s="534" t="s">
        <v>188</v>
      </c>
      <c r="D23" s="701">
        <f>+H9</f>
        <v>6.4402570633746464E-2</v>
      </c>
      <c r="E23" s="610">
        <f>+D23*$G$14</f>
        <v>-1.4958714238272595</v>
      </c>
      <c r="F23" s="610">
        <f>+D23*$G$17</f>
        <v>0.1404185272100747</v>
      </c>
      <c r="G23" s="600"/>
      <c r="H23" s="600"/>
      <c r="I23" s="600"/>
      <c r="J23" s="600"/>
      <c r="K23" s="128"/>
      <c r="L23" s="128"/>
      <c r="M23" s="128"/>
      <c r="N23" s="128"/>
      <c r="O23" s="128"/>
      <c r="P23" s="128"/>
      <c r="Q23" s="128"/>
      <c r="R23" s="128"/>
      <c r="S23" s="128"/>
      <c r="T23" s="128"/>
      <c r="U23" s="128"/>
      <c r="V23" s="128"/>
      <c r="W23" s="128"/>
    </row>
    <row r="24" spans="2:23">
      <c r="B24" s="534" t="s">
        <v>698</v>
      </c>
      <c r="D24" s="611">
        <f>1-SUM(D20:D23)</f>
        <v>0.22628538661344644</v>
      </c>
      <c r="E24" s="610">
        <f>+D24*$G$14</f>
        <v>-5.255905783477993</v>
      </c>
      <c r="F24" s="610">
        <f>+D24*$G$17</f>
        <v>0.49337565884012735</v>
      </c>
      <c r="G24" s="600"/>
      <c r="H24" s="600"/>
      <c r="I24" s="600"/>
      <c r="J24" s="600"/>
      <c r="K24" s="128"/>
      <c r="L24" s="128"/>
      <c r="M24" s="128"/>
      <c r="N24" s="128"/>
      <c r="O24" s="128"/>
      <c r="P24" s="128"/>
      <c r="Q24" s="128"/>
      <c r="R24" s="128"/>
      <c r="S24" s="128"/>
      <c r="T24" s="128"/>
      <c r="U24" s="128"/>
      <c r="V24" s="128"/>
      <c r="W24" s="128"/>
    </row>
    <row r="25" spans="2:23">
      <c r="B25" s="640" t="s">
        <v>363</v>
      </c>
      <c r="C25" s="641"/>
      <c r="D25" s="642"/>
      <c r="E25" s="643">
        <f>SUM(E20:E24)</f>
        <v>-23.226890000000001</v>
      </c>
      <c r="F25" s="643">
        <f>SUM(F20:F24)</f>
        <v>2.1803248818843954</v>
      </c>
      <c r="G25" s="600"/>
      <c r="H25" s="600"/>
      <c r="I25" s="600"/>
      <c r="J25" s="600"/>
      <c r="K25" s="128"/>
      <c r="L25" s="128"/>
      <c r="M25" s="128"/>
      <c r="N25" s="128"/>
      <c r="O25" s="128"/>
      <c r="P25" s="128"/>
      <c r="Q25" s="128"/>
      <c r="R25" s="128"/>
      <c r="S25" s="128"/>
      <c r="T25" s="128"/>
      <c r="U25" s="128"/>
      <c r="V25" s="128"/>
      <c r="W25" s="128"/>
    </row>
    <row r="26" spans="2:23">
      <c r="B26" s="128"/>
      <c r="C26" s="600"/>
      <c r="D26" s="610"/>
      <c r="E26" s="600"/>
      <c r="F26" s="600"/>
      <c r="G26" s="600"/>
      <c r="H26" s="600"/>
      <c r="I26" s="600"/>
      <c r="J26" s="600"/>
      <c r="K26" s="128"/>
      <c r="L26" s="128"/>
      <c r="M26" s="128"/>
      <c r="N26" s="128"/>
      <c r="O26" s="128"/>
      <c r="P26" s="128"/>
      <c r="Q26" s="128"/>
      <c r="R26" s="128"/>
      <c r="S26" s="128"/>
      <c r="T26" s="128"/>
      <c r="U26" s="128"/>
      <c r="V26" s="128"/>
      <c r="W26" s="128"/>
    </row>
    <row r="27" spans="2:23">
      <c r="B27" s="609" t="s">
        <v>573</v>
      </c>
      <c r="C27" s="600"/>
      <c r="D27" s="600"/>
      <c r="E27" s="612"/>
      <c r="F27" s="600"/>
      <c r="G27" s="600"/>
      <c r="H27" s="600"/>
      <c r="I27" s="600"/>
      <c r="J27" s="600"/>
      <c r="K27" s="128"/>
      <c r="L27" s="128"/>
      <c r="M27" s="128"/>
      <c r="N27" s="128"/>
      <c r="O27" s="128"/>
      <c r="P27" s="128"/>
      <c r="Q27" s="128"/>
      <c r="R27" s="128"/>
      <c r="S27" s="128"/>
      <c r="T27" s="128"/>
      <c r="U27" s="128"/>
      <c r="V27" s="128"/>
      <c r="W27" s="128"/>
    </row>
    <row r="28" spans="2:23">
      <c r="B28" s="534" t="s">
        <v>176</v>
      </c>
      <c r="C28" s="600"/>
      <c r="D28" s="600"/>
      <c r="E28" s="610">
        <f>+G6+E20+F20</f>
        <v>135.81829699066319</v>
      </c>
      <c r="F28" s="600"/>
      <c r="G28" s="600"/>
      <c r="H28" s="600"/>
      <c r="I28" s="600"/>
      <c r="J28" s="600"/>
      <c r="K28" s="128"/>
      <c r="L28" s="128"/>
      <c r="M28" s="128"/>
      <c r="N28" s="128"/>
      <c r="O28" s="128"/>
      <c r="P28" s="128"/>
      <c r="Q28" s="128"/>
      <c r="R28" s="128"/>
      <c r="S28" s="128"/>
      <c r="T28" s="128"/>
      <c r="U28" s="128"/>
      <c r="V28" s="128"/>
      <c r="W28" s="128"/>
    </row>
    <row r="29" spans="2:23">
      <c r="B29" s="534" t="s">
        <v>183</v>
      </c>
      <c r="C29" s="600"/>
      <c r="D29" s="600"/>
      <c r="E29" s="610">
        <f t="shared" ref="E29:E32" si="3">+G7+E21+F21</f>
        <v>19.953580205645082</v>
      </c>
      <c r="F29" s="600"/>
      <c r="G29" s="600"/>
      <c r="H29" s="600"/>
      <c r="I29" s="600"/>
      <c r="J29" s="600"/>
      <c r="K29" s="128"/>
      <c r="L29" s="128"/>
      <c r="M29" s="128"/>
      <c r="N29" s="128"/>
      <c r="O29" s="128"/>
      <c r="P29" s="128"/>
      <c r="Q29" s="128"/>
      <c r="R29" s="128"/>
      <c r="S29" s="128"/>
      <c r="T29" s="128"/>
      <c r="U29" s="128"/>
      <c r="V29" s="128"/>
      <c r="W29" s="128"/>
    </row>
    <row r="30" spans="2:23">
      <c r="B30" s="534" t="s">
        <v>187</v>
      </c>
      <c r="C30" s="600"/>
      <c r="D30" s="600"/>
      <c r="E30" s="610">
        <f t="shared" si="3"/>
        <v>76.33977375308119</v>
      </c>
      <c r="F30" s="600"/>
      <c r="G30" s="600"/>
      <c r="H30" s="600"/>
      <c r="I30" s="600"/>
      <c r="J30" s="600"/>
      <c r="K30" s="128"/>
      <c r="L30" s="128"/>
      <c r="M30" s="128"/>
      <c r="N30" s="128"/>
      <c r="O30" s="128"/>
      <c r="P30" s="128"/>
      <c r="Q30" s="128"/>
      <c r="R30" s="128"/>
      <c r="S30" s="128"/>
      <c r="T30" s="128"/>
      <c r="U30" s="128"/>
      <c r="V30" s="128"/>
      <c r="W30" s="128"/>
    </row>
    <row r="31" spans="2:23">
      <c r="B31" s="534" t="s">
        <v>188</v>
      </c>
      <c r="C31" s="600"/>
      <c r="D31" s="600"/>
      <c r="E31" s="610">
        <f t="shared" si="3"/>
        <v>26.598375217132812</v>
      </c>
      <c r="F31" s="600"/>
      <c r="G31" s="600"/>
      <c r="H31" s="600"/>
      <c r="I31" s="600"/>
      <c r="J31" s="600"/>
      <c r="K31" s="128"/>
      <c r="L31" s="128"/>
      <c r="M31" s="128"/>
      <c r="N31" s="128"/>
      <c r="O31" s="128"/>
      <c r="P31" s="128"/>
      <c r="Q31" s="128"/>
      <c r="R31" s="128"/>
      <c r="S31" s="128"/>
      <c r="T31" s="128"/>
      <c r="U31" s="128"/>
      <c r="V31" s="128"/>
      <c r="W31" s="128"/>
    </row>
    <row r="32" spans="2:23">
      <c r="B32" s="534" t="s">
        <v>698</v>
      </c>
      <c r="C32" s="600"/>
      <c r="D32" s="600"/>
      <c r="E32" s="610">
        <f t="shared" si="3"/>
        <v>116.79917175036213</v>
      </c>
      <c r="F32" s="600"/>
      <c r="G32" s="600"/>
      <c r="H32" s="600"/>
      <c r="I32" s="612" t="s">
        <v>620</v>
      </c>
      <c r="J32" s="600"/>
      <c r="K32" s="128"/>
      <c r="L32" s="128"/>
      <c r="M32" s="128"/>
      <c r="N32" s="128"/>
      <c r="O32" s="128"/>
      <c r="P32" s="128"/>
      <c r="Q32" s="128"/>
      <c r="R32" s="128"/>
      <c r="S32" s="128"/>
      <c r="T32" s="128"/>
      <c r="U32" s="128"/>
      <c r="V32" s="128"/>
      <c r="W32" s="128"/>
    </row>
    <row r="33" spans="2:23" s="39" customFormat="1">
      <c r="B33" s="604" t="s">
        <v>574</v>
      </c>
      <c r="C33" s="645"/>
      <c r="D33" s="645"/>
      <c r="E33" s="643">
        <f>+SUM(E28:E32)</f>
        <v>375.50919791688437</v>
      </c>
      <c r="G33" s="612"/>
      <c r="H33" s="612"/>
      <c r="I33" s="500">
        <f>BS!$AT$83</f>
        <v>376.01766953363267</v>
      </c>
      <c r="J33" s="612"/>
      <c r="K33" s="354"/>
      <c r="L33" s="354"/>
      <c r="M33" s="354"/>
      <c r="N33" s="354"/>
      <c r="O33" s="354"/>
      <c r="P33" s="354"/>
      <c r="Q33" s="354"/>
      <c r="R33" s="354"/>
      <c r="S33" s="354"/>
      <c r="T33" s="354"/>
      <c r="U33" s="354"/>
      <c r="V33" s="354"/>
      <c r="W33" s="354"/>
    </row>
    <row r="34" spans="2:23" s="39" customFormat="1">
      <c r="B34" s="826" t="s">
        <v>575</v>
      </c>
      <c r="C34" s="613"/>
      <c r="D34" s="614"/>
      <c r="E34" s="827">
        <f>+G11+G14-E33+G17</f>
        <v>3.5527136788005009E-14</v>
      </c>
      <c r="G34" s="612"/>
      <c r="H34" s="612"/>
      <c r="I34" s="827">
        <f>+E33-I33</f>
        <v>-0.50847161674829522</v>
      </c>
      <c r="J34" s="612"/>
      <c r="K34" s="354"/>
      <c r="L34" s="354"/>
      <c r="M34" s="354"/>
      <c r="N34" s="354"/>
      <c r="O34" s="354"/>
      <c r="P34" s="354"/>
      <c r="Q34" s="354"/>
      <c r="R34" s="354"/>
      <c r="S34" s="354"/>
      <c r="T34" s="354"/>
      <c r="U34" s="354"/>
      <c r="V34" s="354"/>
      <c r="W34" s="354"/>
    </row>
    <row r="35" spans="2:23">
      <c r="B35" s="128"/>
      <c r="C35" s="128"/>
      <c r="D35" s="128"/>
      <c r="E35" s="128"/>
      <c r="F35" s="128"/>
      <c r="G35" s="128"/>
      <c r="H35" s="128"/>
      <c r="I35" s="128"/>
      <c r="J35" s="128"/>
      <c r="K35" s="128"/>
      <c r="L35" s="128"/>
      <c r="M35" s="128"/>
      <c r="N35" s="128"/>
      <c r="O35" s="128"/>
      <c r="P35" s="128"/>
      <c r="Q35" s="128"/>
      <c r="R35" s="128"/>
      <c r="S35" s="128"/>
      <c r="T35" s="128"/>
      <c r="U35" s="128"/>
      <c r="V35" s="128"/>
      <c r="W35" s="128"/>
    </row>
    <row r="36" spans="2:23" ht="43.2">
      <c r="B36" s="615"/>
      <c r="C36" s="616" t="s">
        <v>576</v>
      </c>
      <c r="D36" s="698" t="s">
        <v>577</v>
      </c>
      <c r="E36" s="698" t="s">
        <v>578</v>
      </c>
      <c r="F36" s="698" t="s">
        <v>72</v>
      </c>
      <c r="G36" s="698" t="s">
        <v>597</v>
      </c>
      <c r="H36" s="698" t="s">
        <v>598</v>
      </c>
      <c r="I36" s="128"/>
      <c r="J36" s="128"/>
      <c r="L36" s="128"/>
      <c r="M36" s="128"/>
      <c r="N36" s="128"/>
      <c r="O36" s="128"/>
      <c r="P36" s="128"/>
      <c r="Q36" s="128"/>
      <c r="R36" s="128"/>
      <c r="S36" s="128"/>
      <c r="T36" s="128"/>
      <c r="U36" s="128"/>
      <c r="V36" s="128"/>
      <c r="W36" s="128"/>
    </row>
    <row r="37" spans="2:23">
      <c r="B37" s="618" t="s">
        <v>579</v>
      </c>
      <c r="C37" s="617" t="str">
        <f>+C5</f>
        <v>FY26E</v>
      </c>
      <c r="D37" s="617" t="str">
        <f>+D5</f>
        <v>FY26E</v>
      </c>
      <c r="E37" s="617" t="str">
        <f>+E5</f>
        <v>FY26E</v>
      </c>
      <c r="F37" s="617"/>
      <c r="G37" s="617" t="s">
        <v>580</v>
      </c>
      <c r="H37" s="619"/>
      <c r="J37" s="128"/>
      <c r="K37" s="848" t="s">
        <v>697</v>
      </c>
      <c r="M37" s="128"/>
      <c r="N37" s="128"/>
      <c r="O37" s="128"/>
      <c r="P37" s="128"/>
      <c r="Q37" s="128"/>
      <c r="R37" s="128"/>
      <c r="S37" s="128"/>
      <c r="T37" s="128"/>
      <c r="U37" s="128"/>
      <c r="V37" s="128"/>
      <c r="W37" s="128"/>
    </row>
    <row r="38" spans="2:23">
      <c r="B38" s="620" t="s">
        <v>176</v>
      </c>
      <c r="C38" s="621">
        <f>+E28</f>
        <v>135.81829699066319</v>
      </c>
      <c r="D38" s="622">
        <f>+C38/SUM($C$38:$C$42)</f>
        <v>0.36169099916621844</v>
      </c>
      <c r="E38" s="623">
        <v>13</v>
      </c>
      <c r="F38" s="621">
        <f>+C38*E38</f>
        <v>1765.6378608786215</v>
      </c>
      <c r="G38" s="622">
        <f>('P&amp;L'!AP240/'P&amp;L'!AH240)^(1/2)-1</f>
        <v>0.13749423285175055</v>
      </c>
      <c r="H38" s="624">
        <f>+E38/(G38*100)</f>
        <v>0.94549420221987779</v>
      </c>
      <c r="I38" s="209"/>
      <c r="J38" s="128"/>
      <c r="K38" s="847">
        <v>13</v>
      </c>
      <c r="M38" s="600"/>
      <c r="N38" s="128"/>
      <c r="O38" s="128"/>
      <c r="P38" s="128"/>
      <c r="Q38" s="128"/>
      <c r="R38" s="128"/>
      <c r="S38" s="128"/>
      <c r="T38" s="128"/>
      <c r="U38" s="128"/>
      <c r="V38" s="128"/>
      <c r="W38" s="128"/>
    </row>
    <row r="39" spans="2:23">
      <c r="B39" s="620" t="s">
        <v>183</v>
      </c>
      <c r="C39" s="621">
        <f t="shared" ref="C39:C42" si="4">+E29</f>
        <v>19.953580205645082</v>
      </c>
      <c r="D39" s="622">
        <f t="shared" ref="D39:D42" si="5">+C39/SUM($C$38:$C$42)</f>
        <v>5.3137394014145106E-2</v>
      </c>
      <c r="E39" s="623">
        <v>14</v>
      </c>
      <c r="F39" s="621">
        <f t="shared" ref="F39:F42" si="6">+C39*E39</f>
        <v>279.35012287903112</v>
      </c>
      <c r="G39" s="622">
        <f>('P&amp;L'!AP281/'P&amp;L'!AH281)^(1/2)-1</f>
        <v>0.2371130578684868</v>
      </c>
      <c r="H39" s="624">
        <f t="shared" ref="H39:H41" si="7">+E39/(G39*100)</f>
        <v>0.59043563968396073</v>
      </c>
      <c r="I39" s="209"/>
      <c r="K39" s="847">
        <v>14</v>
      </c>
      <c r="M39" s="600"/>
      <c r="N39" s="128"/>
      <c r="O39" s="128"/>
      <c r="P39" s="128"/>
      <c r="Q39" s="128"/>
      <c r="R39" s="128"/>
      <c r="S39" s="128"/>
      <c r="T39" s="128"/>
      <c r="U39" s="128"/>
      <c r="V39" s="128"/>
      <c r="W39" s="128"/>
    </row>
    <row r="40" spans="2:23">
      <c r="B40" s="620" t="s">
        <v>187</v>
      </c>
      <c r="C40" s="621">
        <f t="shared" si="4"/>
        <v>76.33977375308119</v>
      </c>
      <c r="D40" s="622">
        <f t="shared" si="5"/>
        <v>0.20329668135047471</v>
      </c>
      <c r="E40" s="623">
        <v>12</v>
      </c>
      <c r="F40" s="621">
        <f t="shared" si="6"/>
        <v>916.07728503697422</v>
      </c>
      <c r="G40" s="622">
        <f>('P&amp;L'!AP322/'P&amp;L'!AH322)^(1/2)-1</f>
        <v>0.43222974807886572</v>
      </c>
      <c r="H40" s="624">
        <f t="shared" si="7"/>
        <v>0.27763012734168518</v>
      </c>
      <c r="I40" s="209"/>
      <c r="K40" s="847">
        <v>12</v>
      </c>
      <c r="M40" s="600"/>
      <c r="N40" s="128"/>
      <c r="O40" s="128"/>
      <c r="P40" s="128"/>
      <c r="Q40" s="128"/>
      <c r="R40" s="128"/>
      <c r="S40" s="128"/>
      <c r="T40" s="128"/>
      <c r="U40" s="128"/>
      <c r="V40" s="128"/>
      <c r="W40" s="128"/>
    </row>
    <row r="41" spans="2:23">
      <c r="B41" s="620" t="s">
        <v>188</v>
      </c>
      <c r="C41" s="621">
        <f t="shared" si="4"/>
        <v>26.598375217132812</v>
      </c>
      <c r="D41" s="622">
        <f t="shared" si="5"/>
        <v>7.083281944806083E-2</v>
      </c>
      <c r="E41" s="623">
        <v>13.25</v>
      </c>
      <c r="F41" s="621">
        <f t="shared" si="6"/>
        <v>352.42847162700974</v>
      </c>
      <c r="G41" s="622">
        <f>('P&amp;L'!AP376/'P&amp;L'!AH376)^(1/2)-1</f>
        <v>0.27372588196111569</v>
      </c>
      <c r="H41" s="624">
        <f t="shared" si="7"/>
        <v>0.48406091178042993</v>
      </c>
      <c r="I41" s="209"/>
      <c r="K41" s="847">
        <v>13.25</v>
      </c>
      <c r="M41" s="600"/>
      <c r="N41" s="128"/>
      <c r="O41" s="128"/>
      <c r="P41" s="128"/>
      <c r="Q41" s="128"/>
      <c r="R41" s="128"/>
      <c r="S41" s="128"/>
      <c r="T41" s="128"/>
      <c r="U41" s="128"/>
      <c r="V41" s="128"/>
      <c r="W41" s="128"/>
    </row>
    <row r="42" spans="2:23">
      <c r="B42" s="620" t="s">
        <v>700</v>
      </c>
      <c r="C42" s="621">
        <f t="shared" si="4"/>
        <v>116.79917175036213</v>
      </c>
      <c r="D42" s="622">
        <f t="shared" si="5"/>
        <v>0.31104210602110094</v>
      </c>
      <c r="E42" s="623">
        <v>13.25</v>
      </c>
      <c r="F42" s="621">
        <f t="shared" si="6"/>
        <v>1547.5890256922983</v>
      </c>
      <c r="G42" s="622">
        <f>('P&amp;L'!AP435/'P&amp;L'!AH435)^(1/2)-1</f>
        <v>0.16348876738606721</v>
      </c>
      <c r="H42" s="624">
        <f>+E42/(G42*100)</f>
        <v>0.81045323246648859</v>
      </c>
      <c r="I42" s="209" t="s">
        <v>648</v>
      </c>
      <c r="K42" s="847">
        <v>12</v>
      </c>
      <c r="M42" s="600"/>
      <c r="N42" s="128"/>
      <c r="O42" s="128"/>
      <c r="P42" s="128"/>
      <c r="Q42" s="128"/>
      <c r="R42" s="128"/>
      <c r="S42" s="128"/>
      <c r="T42" s="128"/>
      <c r="U42" s="128"/>
      <c r="V42" s="128"/>
      <c r="W42" s="128"/>
    </row>
    <row r="43" spans="2:23">
      <c r="B43" s="625" t="s">
        <v>581</v>
      </c>
      <c r="C43" s="626">
        <f>SUM(C38:C42)</f>
        <v>375.50919791688437</v>
      </c>
      <c r="D43" s="627">
        <f>SUM(D38:D42)</f>
        <v>1</v>
      </c>
      <c r="E43" s="628">
        <f>+F43/C43</f>
        <v>12.945309444030961</v>
      </c>
      <c r="F43" s="626">
        <f>SUM(F38:F42)</f>
        <v>4861.0827661139347</v>
      </c>
      <c r="G43" s="627">
        <f>('P&amp;L'!AP34/'P&amp;L'!AH34)^(1/2)-1</f>
        <v>0.25346167348113435</v>
      </c>
      <c r="H43" s="628">
        <f>+E43/(G43*100)</f>
        <v>0.5107403129725846</v>
      </c>
      <c r="I43" s="600"/>
      <c r="J43" s="600"/>
      <c r="K43" s="851">
        <v>12.556506811504587</v>
      </c>
      <c r="L43" s="600"/>
      <c r="M43" s="600"/>
      <c r="N43" s="128"/>
      <c r="O43" s="128"/>
      <c r="P43" s="128"/>
      <c r="Q43" s="128"/>
      <c r="R43" s="128"/>
      <c r="S43" s="128"/>
      <c r="T43" s="128"/>
      <c r="U43" s="128"/>
      <c r="V43" s="128"/>
      <c r="W43" s="128"/>
    </row>
    <row r="44" spans="2:23">
      <c r="C44" s="295"/>
      <c r="D44" s="295"/>
      <c r="E44" s="295"/>
      <c r="F44" s="621"/>
      <c r="G44" s="295"/>
      <c r="H44" s="295"/>
      <c r="I44" s="600"/>
      <c r="J44" s="600"/>
      <c r="K44" s="600"/>
      <c r="L44" s="600"/>
      <c r="M44" s="600"/>
      <c r="N44" s="128"/>
      <c r="O44" s="128"/>
      <c r="P44" s="128"/>
      <c r="Q44" s="128"/>
      <c r="R44" s="128"/>
      <c r="S44" s="128"/>
      <c r="T44" s="128"/>
      <c r="U44" s="128"/>
      <c r="V44" s="128"/>
      <c r="W44" s="128"/>
    </row>
    <row r="45" spans="2:23">
      <c r="B45" t="s">
        <v>582</v>
      </c>
      <c r="C45" s="295"/>
      <c r="D45" s="295"/>
      <c r="E45" s="295"/>
      <c r="F45" s="629">
        <f>-BS!AT46-BS!AT38</f>
        <v>-868.61845749999998</v>
      </c>
      <c r="G45" s="696" t="s">
        <v>702</v>
      </c>
      <c r="H45" s="295"/>
      <c r="I45" s="600"/>
      <c r="J45" s="600"/>
      <c r="K45" s="600" t="s">
        <v>689</v>
      </c>
      <c r="L45" s="600"/>
      <c r="M45" s="600"/>
      <c r="N45" s="128"/>
      <c r="O45" s="128"/>
      <c r="P45" s="128"/>
      <c r="Q45" s="128"/>
      <c r="R45" s="128"/>
      <c r="S45" s="128"/>
      <c r="T45" s="128"/>
      <c r="U45" s="128"/>
      <c r="V45" s="128"/>
      <c r="W45" s="128"/>
    </row>
    <row r="46" spans="2:23">
      <c r="B46" t="s">
        <v>583</v>
      </c>
      <c r="C46" s="295"/>
      <c r="D46" s="295"/>
      <c r="E46" s="295"/>
      <c r="F46" s="629">
        <f>+BS!AT92</f>
        <v>449.58953350758975</v>
      </c>
      <c r="G46" s="864" t="s">
        <v>710</v>
      </c>
      <c r="H46" s="295"/>
      <c r="I46" s="600"/>
      <c r="J46" s="600"/>
      <c r="K46" s="600"/>
      <c r="L46" s="600"/>
      <c r="M46" s="600"/>
      <c r="N46" s="128"/>
      <c r="O46" s="128"/>
      <c r="P46" s="128"/>
      <c r="Q46" s="128"/>
      <c r="R46" s="128"/>
      <c r="S46" s="128"/>
      <c r="T46" s="128"/>
      <c r="U46" s="128"/>
      <c r="V46" s="128"/>
      <c r="W46" s="128"/>
    </row>
    <row r="47" spans="2:23">
      <c r="B47" s="39" t="s">
        <v>584</v>
      </c>
      <c r="C47" s="296"/>
      <c r="D47" s="296"/>
      <c r="E47" s="296"/>
      <c r="F47" s="630">
        <f>+F45+F46</f>
        <v>-419.02892399241023</v>
      </c>
      <c r="G47" s="702">
        <f>+F47/F43</f>
        <v>-8.6200738426717202E-2</v>
      </c>
      <c r="H47" s="295"/>
      <c r="I47" s="600"/>
      <c r="J47" s="600"/>
      <c r="K47" s="600"/>
      <c r="L47" s="600"/>
      <c r="M47" s="600"/>
      <c r="N47" s="128"/>
      <c r="O47" s="128"/>
      <c r="P47" s="128"/>
      <c r="Q47" s="128"/>
      <c r="R47" s="128"/>
      <c r="S47" s="128"/>
      <c r="T47" s="128"/>
      <c r="U47" s="128"/>
      <c r="V47" s="128"/>
      <c r="W47" s="128"/>
    </row>
    <row r="48" spans="2:23">
      <c r="C48" s="295"/>
      <c r="D48" s="295"/>
      <c r="E48" s="295"/>
      <c r="F48" s="621"/>
      <c r="G48" s="295"/>
      <c r="H48" s="295"/>
      <c r="I48" s="600"/>
      <c r="J48" s="600"/>
      <c r="K48" s="600"/>
      <c r="L48" s="600"/>
      <c r="M48" s="600"/>
      <c r="N48" s="128"/>
      <c r="O48" s="128"/>
      <c r="P48" s="128"/>
      <c r="Q48" s="128"/>
      <c r="R48" s="128"/>
      <c r="S48" s="128"/>
      <c r="T48" s="128"/>
      <c r="U48" s="128"/>
      <c r="V48" s="128"/>
      <c r="W48" s="128"/>
    </row>
    <row r="49" spans="2:23">
      <c r="B49" s="39" t="s">
        <v>140</v>
      </c>
      <c r="C49" s="296"/>
      <c r="D49" s="296"/>
      <c r="E49" s="296"/>
      <c r="F49" s="630">
        <f>+F43+F47</f>
        <v>4442.0538421215242</v>
      </c>
      <c r="G49" s="295"/>
      <c r="H49" s="295"/>
      <c r="I49" s="600"/>
      <c r="J49" s="600"/>
      <c r="K49" s="600"/>
      <c r="L49" s="600"/>
      <c r="M49" s="600"/>
      <c r="N49" s="128"/>
      <c r="O49" s="128"/>
      <c r="P49" s="128"/>
      <c r="Q49" s="128"/>
      <c r="R49" s="128"/>
      <c r="S49" s="128"/>
      <c r="T49" s="128"/>
      <c r="U49" s="128"/>
      <c r="V49" s="128"/>
      <c r="W49" s="128"/>
    </row>
    <row r="50" spans="2:23">
      <c r="B50" t="s">
        <v>585</v>
      </c>
      <c r="C50" s="295"/>
      <c r="D50" s="295"/>
      <c r="E50" s="295"/>
      <c r="F50" s="629">
        <f>+'P&amp;L'!AT140</f>
        <v>116.04639488072063</v>
      </c>
      <c r="G50" s="696" t="s">
        <v>702</v>
      </c>
      <c r="I50" s="600"/>
      <c r="J50" s="600"/>
      <c r="K50" s="600"/>
      <c r="L50" s="600"/>
      <c r="M50" s="600"/>
      <c r="N50" s="128"/>
      <c r="O50" s="128"/>
      <c r="P50" s="128"/>
      <c r="Q50" s="128"/>
      <c r="R50" s="128"/>
      <c r="S50" s="128"/>
      <c r="T50" s="128"/>
      <c r="U50" s="128"/>
      <c r="V50" s="128"/>
      <c r="W50" s="128"/>
    </row>
    <row r="51" spans="2:23">
      <c r="B51" s="631" t="s">
        <v>586</v>
      </c>
      <c r="C51" s="632"/>
      <c r="D51" s="632"/>
      <c r="E51" s="632"/>
      <c r="F51" s="633">
        <f>+F49/F50</f>
        <v>38.278257990584983</v>
      </c>
      <c r="G51" s="295"/>
      <c r="I51" s="600"/>
      <c r="J51" s="600"/>
      <c r="K51" s="600"/>
      <c r="L51" s="600"/>
      <c r="M51" s="600"/>
      <c r="N51" s="128"/>
      <c r="O51" s="128"/>
      <c r="P51" s="128"/>
      <c r="Q51" s="128"/>
      <c r="R51" s="128"/>
      <c r="S51" s="128"/>
      <c r="T51" s="128"/>
      <c r="U51" s="128"/>
      <c r="V51" s="128"/>
      <c r="W51" s="128"/>
    </row>
    <row r="52" spans="2:23">
      <c r="B52" t="s">
        <v>701</v>
      </c>
      <c r="C52" s="295"/>
      <c r="D52" s="295"/>
      <c r="E52" s="295"/>
      <c r="F52" s="634">
        <f>+(F51/Sum!$DA$3)-1</f>
        <v>4.678687416928673E-3</v>
      </c>
      <c r="G52" s="295"/>
      <c r="H52" s="295"/>
      <c r="I52" s="600"/>
      <c r="J52" s="600"/>
      <c r="K52" s="600"/>
      <c r="L52" s="600"/>
      <c r="M52" s="600"/>
      <c r="N52" s="128"/>
      <c r="O52" s="128"/>
      <c r="P52" s="128"/>
      <c r="Q52" s="128"/>
      <c r="R52" s="128"/>
      <c r="S52" s="128"/>
      <c r="T52" s="128"/>
      <c r="U52" s="128"/>
      <c r="V52" s="128"/>
      <c r="W52" s="128"/>
    </row>
    <row r="53" spans="2:23">
      <c r="C53" s="295"/>
      <c r="D53" s="295"/>
      <c r="E53" s="295"/>
      <c r="F53" s="295"/>
      <c r="G53" s="295"/>
      <c r="H53" s="295"/>
      <c r="I53" s="600"/>
      <c r="J53" s="600"/>
      <c r="K53" s="600"/>
      <c r="L53" s="600"/>
      <c r="M53" s="600"/>
      <c r="N53" s="128"/>
      <c r="O53" s="128"/>
      <c r="P53" s="128"/>
      <c r="Q53" s="128"/>
      <c r="R53" s="128"/>
      <c r="S53" s="128"/>
      <c r="T53" s="128"/>
      <c r="U53" s="128"/>
      <c r="V53" s="128"/>
      <c r="W53" s="128"/>
    </row>
    <row r="54" spans="2:23">
      <c r="B54" t="s">
        <v>715</v>
      </c>
      <c r="C54" s="295"/>
      <c r="D54" s="295"/>
      <c r="E54" s="295"/>
      <c r="F54" s="635">
        <f>+'P&amp;L'!AT148/100</f>
        <v>1.9165775154472597</v>
      </c>
      <c r="G54" s="295"/>
      <c r="I54" s="600"/>
      <c r="J54" s="600"/>
      <c r="K54" s="600"/>
      <c r="L54" s="600"/>
      <c r="M54" s="600"/>
      <c r="N54" s="128"/>
      <c r="O54" s="128"/>
      <c r="P54" s="128"/>
      <c r="Q54" s="128"/>
      <c r="R54" s="128"/>
      <c r="S54" s="128"/>
      <c r="T54" s="128"/>
      <c r="U54" s="128"/>
      <c r="V54" s="128"/>
      <c r="W54" s="128"/>
    </row>
    <row r="55" spans="2:23" hidden="1" outlineLevel="1">
      <c r="B55" s="295"/>
      <c r="C55" s="295"/>
      <c r="D55" s="295"/>
      <c r="E55" s="295"/>
      <c r="F55" s="295"/>
      <c r="G55" s="295"/>
      <c r="H55" s="295"/>
      <c r="I55" s="600"/>
      <c r="J55" s="600"/>
      <c r="K55" s="600"/>
      <c r="L55" s="600"/>
      <c r="M55" s="600"/>
      <c r="N55" s="128"/>
      <c r="O55" s="128"/>
      <c r="P55" s="128"/>
      <c r="Q55" s="128"/>
      <c r="R55" s="128"/>
      <c r="S55" s="128"/>
      <c r="T55" s="128"/>
      <c r="U55" s="128"/>
      <c r="V55" s="128"/>
      <c r="W55" s="128"/>
    </row>
    <row r="56" spans="2:23" collapsed="1">
      <c r="B56" s="39" t="s">
        <v>693</v>
      </c>
      <c r="C56" s="296"/>
      <c r="D56" s="296"/>
      <c r="E56" s="296"/>
      <c r="F56" s="636">
        <f>+F51/F54</f>
        <v>19.972194018801385</v>
      </c>
      <c r="G56" s="295"/>
      <c r="H56" s="295"/>
      <c r="I56" s="600"/>
      <c r="J56" s="600"/>
      <c r="K56" s="600"/>
      <c r="L56" s="600"/>
      <c r="M56" s="600"/>
      <c r="N56" s="128"/>
      <c r="O56" s="128"/>
      <c r="P56" s="128"/>
      <c r="Q56" s="128"/>
      <c r="R56" s="128"/>
      <c r="S56" s="128"/>
      <c r="T56" s="128"/>
      <c r="U56" s="128"/>
      <c r="V56" s="128"/>
      <c r="W56" s="128"/>
    </row>
    <row r="57" spans="2:23">
      <c r="B57" s="39"/>
      <c r="C57" s="296"/>
      <c r="D57" s="296"/>
      <c r="E57" s="296"/>
      <c r="F57" s="636"/>
      <c r="G57" s="295"/>
      <c r="H57" s="295"/>
      <c r="I57" s="600"/>
      <c r="J57" s="600"/>
      <c r="K57" s="600"/>
      <c r="L57" s="600"/>
      <c r="M57" s="600"/>
      <c r="N57" s="128"/>
      <c r="O57" s="128"/>
      <c r="P57" s="128"/>
      <c r="Q57" s="128"/>
      <c r="R57" s="128"/>
      <c r="S57" s="128"/>
      <c r="T57" s="128"/>
      <c r="U57" s="128"/>
      <c r="V57" s="128"/>
      <c r="W57" s="128"/>
    </row>
    <row r="58" spans="2:23">
      <c r="C58" s="295"/>
      <c r="D58" s="295"/>
      <c r="E58" s="295"/>
      <c r="F58" s="295"/>
      <c r="G58" s="295"/>
      <c r="H58" s="295"/>
      <c r="I58" s="600"/>
      <c r="J58" s="600"/>
      <c r="K58" s="600"/>
      <c r="L58" s="600"/>
      <c r="M58" s="600"/>
      <c r="N58" s="128"/>
      <c r="O58" s="128"/>
      <c r="P58" s="128"/>
      <c r="Q58" s="128"/>
      <c r="R58" s="128"/>
      <c r="S58" s="128"/>
      <c r="T58" s="128"/>
      <c r="U58" s="128"/>
      <c r="V58" s="128"/>
      <c r="W58" s="128"/>
    </row>
    <row r="59" spans="2:23">
      <c r="C59" s="295"/>
      <c r="D59" s="295"/>
      <c r="E59" s="295"/>
      <c r="F59" s="295"/>
      <c r="G59" s="295"/>
      <c r="H59" s="295"/>
      <c r="I59" s="600"/>
      <c r="J59" s="600"/>
      <c r="K59" s="600"/>
      <c r="L59" s="600"/>
      <c r="M59" s="600"/>
      <c r="N59" s="128"/>
      <c r="O59" s="128"/>
      <c r="P59" s="128"/>
      <c r="Q59" s="128"/>
      <c r="R59" s="128"/>
      <c r="S59" s="128"/>
      <c r="T59" s="128"/>
      <c r="U59" s="128"/>
      <c r="V59" s="128"/>
      <c r="W59" s="128"/>
    </row>
    <row r="60" spans="2:23">
      <c r="C60" s="295"/>
      <c r="D60" s="295"/>
      <c r="E60" s="295"/>
      <c r="F60" s="295"/>
      <c r="G60" s="295"/>
      <c r="H60" s="295"/>
      <c r="I60" s="600"/>
      <c r="J60" s="600"/>
      <c r="K60" s="600"/>
      <c r="L60" s="600"/>
      <c r="M60" s="600"/>
      <c r="N60" s="128"/>
      <c r="O60" s="128"/>
      <c r="P60" s="128"/>
      <c r="Q60" s="128"/>
      <c r="R60" s="128"/>
      <c r="S60" s="128"/>
      <c r="T60" s="128"/>
      <c r="U60" s="128"/>
      <c r="V60" s="128"/>
      <c r="W60" s="128"/>
    </row>
    <row r="61" spans="2:23">
      <c r="C61" s="295"/>
      <c r="D61" s="295"/>
      <c r="E61" s="295"/>
      <c r="F61" s="295"/>
      <c r="G61" s="295"/>
      <c r="H61" s="295"/>
      <c r="I61" s="600"/>
      <c r="J61" s="600"/>
      <c r="K61" s="600"/>
      <c r="L61" s="600"/>
      <c r="M61" s="600"/>
      <c r="N61" s="128"/>
      <c r="O61" s="128"/>
      <c r="P61" s="128"/>
      <c r="Q61" s="128"/>
      <c r="R61" s="128"/>
      <c r="S61" s="128"/>
      <c r="T61" s="128"/>
      <c r="U61" s="128"/>
      <c r="V61" s="128"/>
      <c r="W61" s="128"/>
    </row>
    <row r="62" spans="2:23">
      <c r="C62" s="295"/>
      <c r="D62" s="295"/>
      <c r="E62" s="295"/>
      <c r="F62" s="295"/>
      <c r="G62" s="295"/>
      <c r="H62" s="295"/>
      <c r="I62" s="600"/>
      <c r="J62" s="711" t="s">
        <v>629</v>
      </c>
      <c r="K62" s="600"/>
      <c r="L62" s="600"/>
      <c r="M62" s="600"/>
      <c r="N62" s="128"/>
      <c r="O62" s="128"/>
      <c r="P62" s="128"/>
      <c r="Q62" s="128"/>
      <c r="R62" s="128"/>
      <c r="S62" s="128"/>
      <c r="T62" s="128"/>
      <c r="U62" s="128"/>
      <c r="V62" s="128"/>
      <c r="W62" s="128"/>
    </row>
    <row r="63" spans="2:23" ht="15.75" customHeight="1">
      <c r="B63" s="710" t="s">
        <v>628</v>
      </c>
      <c r="C63" s="749">
        <f>+Sum!DA3</f>
        <v>38.1</v>
      </c>
      <c r="D63" s="837" t="s">
        <v>691</v>
      </c>
      <c r="E63" s="838">
        <f>+F66/C63-1</f>
        <v>0.18110236220472431</v>
      </c>
      <c r="F63" s="295"/>
      <c r="G63" s="295"/>
      <c r="H63" s="295"/>
      <c r="I63" s="600"/>
      <c r="J63" s="296" t="str">
        <f>+Scenarios!B4</f>
        <v>Base</v>
      </c>
      <c r="K63" s="600"/>
      <c r="L63" s="600"/>
      <c r="M63" s="600"/>
      <c r="N63" s="128"/>
      <c r="O63" s="128"/>
      <c r="P63" s="128"/>
      <c r="Q63" s="128"/>
      <c r="R63" s="128"/>
      <c r="S63" s="128"/>
      <c r="T63" s="128"/>
      <c r="U63" s="128"/>
      <c r="V63" s="128"/>
      <c r="W63" s="128"/>
    </row>
    <row r="64" spans="2:23">
      <c r="G64" s="128"/>
      <c r="I64" s="128"/>
      <c r="J64" s="128"/>
      <c r="K64" s="128"/>
      <c r="L64" s="128"/>
      <c r="M64" s="128"/>
      <c r="N64" s="128"/>
      <c r="O64" s="128"/>
      <c r="P64" s="128"/>
      <c r="Q64" s="128"/>
      <c r="R64" s="128"/>
      <c r="S64" s="128"/>
      <c r="T64" s="128"/>
      <c r="U64" s="128"/>
      <c r="V64" s="128"/>
      <c r="W64" s="128"/>
    </row>
    <row r="65" spans="2:7">
      <c r="B65" s="746" t="s">
        <v>647</v>
      </c>
      <c r="C65" s="617" t="s">
        <v>66</v>
      </c>
      <c r="D65" s="617" t="s">
        <v>64</v>
      </c>
      <c r="E65" s="617" t="s">
        <v>65</v>
      </c>
      <c r="F65" s="617" t="s">
        <v>62</v>
      </c>
    </row>
    <row r="66" spans="2:7">
      <c r="B66" s="39" t="s">
        <v>41</v>
      </c>
      <c r="C66" s="747">
        <f>+C75/C82</f>
        <v>24.499462173988388</v>
      </c>
      <c r="D66" s="747">
        <f t="shared" ref="D66:E66" si="8">+D75/D82</f>
        <v>38.278257990584983</v>
      </c>
      <c r="E66" s="874">
        <f t="shared" si="8"/>
        <v>54.746422177869995</v>
      </c>
      <c r="F66" s="884">
        <f>MROUND(SUMPRODUCT(C66:E66,$C$67:$E$67),0.05)</f>
        <v>45</v>
      </c>
      <c r="G66" s="210"/>
    </row>
    <row r="67" spans="2:7">
      <c r="B67" t="s">
        <v>587</v>
      </c>
      <c r="C67" s="637">
        <v>0.05</v>
      </c>
      <c r="D67" s="637">
        <v>0.5</v>
      </c>
      <c r="E67" s="875">
        <f>1-C67-D67</f>
        <v>0.44999999999999996</v>
      </c>
    </row>
    <row r="68" spans="2:7">
      <c r="B68" s="39" t="s">
        <v>646</v>
      </c>
      <c r="C68" s="634">
        <f>+C66/$C$63-1</f>
        <v>-0.35696949674571166</v>
      </c>
      <c r="D68" s="634">
        <f t="shared" ref="D68:F68" si="9">+D66/$C$63-1</f>
        <v>4.678687416928673E-3</v>
      </c>
      <c r="E68" s="876">
        <f t="shared" si="9"/>
        <v>0.43691396792309689</v>
      </c>
      <c r="F68" s="869">
        <f t="shared" si="9"/>
        <v>0.18110236220472431</v>
      </c>
    </row>
    <row r="69" spans="2:7">
      <c r="C69" s="637"/>
      <c r="D69" s="637"/>
      <c r="E69" s="875"/>
    </row>
    <row r="70" spans="2:7">
      <c r="B70" s="39" t="s">
        <v>644</v>
      </c>
      <c r="C70" s="744">
        <f>+D70*0.786</f>
        <v>10.175013223008335</v>
      </c>
      <c r="D70" s="745">
        <f>+E43</f>
        <v>12.945309444030961</v>
      </c>
      <c r="E70" s="877">
        <f>+D70*1.232</f>
        <v>15.948621235046144</v>
      </c>
      <c r="F70" s="870">
        <f>+(F75-F74)/F71</f>
        <v>15.022576827143562</v>
      </c>
    </row>
    <row r="71" spans="2:7">
      <c r="B71" t="s">
        <v>709</v>
      </c>
      <c r="C71" s="754">
        <v>326.13498929315119</v>
      </c>
      <c r="D71" s="754">
        <v>375.50919791688437</v>
      </c>
      <c r="E71" s="878">
        <v>421.67215780317372</v>
      </c>
      <c r="F71" s="754">
        <f>+D71</f>
        <v>375.50919791688437</v>
      </c>
    </row>
    <row r="72" spans="2:7" hidden="1" outlineLevel="1">
      <c r="B72" s="750" t="s">
        <v>582</v>
      </c>
      <c r="C72" s="755">
        <v>-868.61845749999998</v>
      </c>
      <c r="D72" s="755">
        <v>-868.61845749999998</v>
      </c>
      <c r="E72" s="879">
        <v>-868.61845749999998</v>
      </c>
      <c r="F72" s="871" t="s">
        <v>649</v>
      </c>
    </row>
    <row r="73" spans="2:7" hidden="1" outlineLevel="1">
      <c r="B73" s="750" t="s">
        <v>583</v>
      </c>
      <c r="C73" s="755">
        <v>393.26489076443977</v>
      </c>
      <c r="D73" s="755">
        <v>449.58953350758975</v>
      </c>
      <c r="E73" s="879">
        <v>496.65385369231831</v>
      </c>
      <c r="F73" s="871" t="s">
        <v>649</v>
      </c>
    </row>
    <row r="74" spans="2:7" collapsed="1">
      <c r="B74" t="s">
        <v>584</v>
      </c>
      <c r="C74" s="754">
        <f>+C72+C73</f>
        <v>-475.35356673556021</v>
      </c>
      <c r="D74" s="754">
        <f>+D72+D73</f>
        <v>-419.02892399241023</v>
      </c>
      <c r="E74" s="878">
        <f>+E72+E73</f>
        <v>-371.96460380768167</v>
      </c>
      <c r="F74" s="754">
        <f>+D74</f>
        <v>-419.02892399241023</v>
      </c>
    </row>
    <row r="75" spans="2:7">
      <c r="B75" s="39" t="s">
        <v>645</v>
      </c>
      <c r="C75" s="752">
        <f>(C70*C71)+C74</f>
        <v>2843.0742618079348</v>
      </c>
      <c r="D75" s="752">
        <f t="shared" ref="D75:E75" si="10">(D70*D71)+D74</f>
        <v>4442.0538421215242</v>
      </c>
      <c r="E75" s="880">
        <f t="shared" si="10"/>
        <v>6353.1249263597429</v>
      </c>
      <c r="F75" s="872">
        <f>SUMPRODUCT(C75:E75,$C$67:$E$67)</f>
        <v>5222.0868510130422</v>
      </c>
      <c r="G75" s="753">
        <f>+F70*F71+F74 - F75</f>
        <v>0</v>
      </c>
    </row>
    <row r="76" spans="2:7">
      <c r="B76" s="39"/>
      <c r="D76" s="630"/>
      <c r="E76" s="881"/>
      <c r="F76" s="541"/>
    </row>
    <row r="77" spans="2:7">
      <c r="B77" t="s">
        <v>692</v>
      </c>
      <c r="C77" s="541">
        <v>1.6201271726963864</v>
      </c>
      <c r="D77" s="541">
        <v>1.9165775154472597</v>
      </c>
      <c r="E77" s="882">
        <v>2.1936071454636399</v>
      </c>
      <c r="F77" s="541">
        <f>+D77</f>
        <v>1.9165775154472597</v>
      </c>
    </row>
    <row r="78" spans="2:7">
      <c r="C78" s="541"/>
      <c r="D78" s="541"/>
      <c r="E78" s="882"/>
      <c r="F78" s="541"/>
    </row>
    <row r="79" spans="2:7">
      <c r="B79" s="39" t="s">
        <v>716</v>
      </c>
      <c r="C79" s="636">
        <f>+C66/C77</f>
        <v>15.121937701479199</v>
      </c>
      <c r="D79" s="636">
        <f>+D66/D77</f>
        <v>19.972194018801385</v>
      </c>
      <c r="E79" s="883">
        <f>+E66/E77</f>
        <v>24.957259229887679</v>
      </c>
      <c r="F79" s="873">
        <f>+F66/D77</f>
        <v>23.479352980669102</v>
      </c>
      <c r="G79" s="210"/>
    </row>
    <row r="80" spans="2:7">
      <c r="B80" s="39"/>
      <c r="C80" s="751"/>
      <c r="D80" s="751"/>
      <c r="E80" s="751"/>
    </row>
    <row r="82" spans="2:6">
      <c r="B82" s="39" t="s">
        <v>585</v>
      </c>
      <c r="C82" s="748">
        <v>116.04639488072063</v>
      </c>
      <c r="D82" s="748">
        <v>116.04639488072063</v>
      </c>
      <c r="E82" s="748">
        <v>116.04639488072063</v>
      </c>
    </row>
    <row r="84" spans="2:6" ht="15.6">
      <c r="B84" s="828" t="s">
        <v>664</v>
      </c>
      <c r="C84" s="829">
        <v>23.64061184929017</v>
      </c>
      <c r="D84" s="829">
        <v>37.02014941394183</v>
      </c>
      <c r="E84" s="829">
        <v>53.005885506580093</v>
      </c>
      <c r="F84" s="829">
        <v>39</v>
      </c>
    </row>
    <row r="85" spans="2:6" ht="15.6">
      <c r="B85" s="830" t="s">
        <v>665</v>
      </c>
      <c r="C85" s="831">
        <f>+C66/C84-1</f>
        <v>3.6329445708656927E-2</v>
      </c>
      <c r="D85" s="831">
        <f>+D66/D84-1</f>
        <v>3.3984427306750664E-2</v>
      </c>
      <c r="E85" s="831">
        <f>+E66/E84-1</f>
        <v>3.2836668129501145E-2</v>
      </c>
      <c r="F85" s="831">
        <f>+F66/F84-1</f>
        <v>0.15384615384615374</v>
      </c>
    </row>
    <row r="86" spans="2:6" s="859" customFormat="1">
      <c r="B86" s="859" t="s">
        <v>705</v>
      </c>
      <c r="C86" s="860">
        <f>+C84/D84-1</f>
        <v>-0.36141230590530549</v>
      </c>
      <c r="D86" s="861"/>
      <c r="E86" s="860">
        <f>+E84/D84-1</f>
        <v>0.43181176590870307</v>
      </c>
    </row>
    <row r="87" spans="2:6">
      <c r="B87" s="617" t="s">
        <v>623</v>
      </c>
      <c r="C87" s="617"/>
      <c r="D87" s="617"/>
    </row>
    <row r="88" spans="2:6">
      <c r="B88" s="132" t="s">
        <v>35</v>
      </c>
      <c r="C88" s="133" t="s">
        <v>39</v>
      </c>
      <c r="D88" s="703">
        <v>0.05</v>
      </c>
    </row>
    <row r="89" spans="2:6">
      <c r="B89" s="132" t="s">
        <v>36</v>
      </c>
      <c r="C89" s="133" t="s">
        <v>39</v>
      </c>
      <c r="D89" s="703">
        <v>0.05</v>
      </c>
    </row>
    <row r="90" spans="2:6">
      <c r="B90" s="132" t="s">
        <v>37</v>
      </c>
      <c r="C90" s="133" t="s">
        <v>40</v>
      </c>
      <c r="D90" s="470">
        <v>0.95</v>
      </c>
    </row>
    <row r="91" spans="2:6">
      <c r="B91" s="132" t="s">
        <v>627</v>
      </c>
      <c r="C91" s="133" t="s">
        <v>39</v>
      </c>
      <c r="D91" s="703">
        <v>2.5000000000000001E-2</v>
      </c>
    </row>
    <row r="92" spans="2:6">
      <c r="B92" s="704" t="s">
        <v>38</v>
      </c>
      <c r="C92" s="705" t="s">
        <v>39</v>
      </c>
      <c r="D92" s="706">
        <f>D88+D89*D90+D91</f>
        <v>0.1225</v>
      </c>
    </row>
    <row r="93" spans="2:6">
      <c r="B93" s="132"/>
      <c r="C93" s="133"/>
      <c r="D93" s="167"/>
    </row>
    <row r="94" spans="2:6">
      <c r="B94" s="132" t="s">
        <v>625</v>
      </c>
      <c r="C94" s="133" t="s">
        <v>39</v>
      </c>
      <c r="D94" s="703">
        <v>0.25</v>
      </c>
    </row>
    <row r="95" spans="2:6">
      <c r="B95" s="132" t="s">
        <v>626</v>
      </c>
      <c r="C95" s="133" t="s">
        <v>39</v>
      </c>
      <c r="D95" s="137">
        <f>1-D94</f>
        <v>0.75</v>
      </c>
    </row>
    <row r="96" spans="2:6">
      <c r="B96" s="132" t="s">
        <v>624</v>
      </c>
      <c r="C96" s="133" t="s">
        <v>39</v>
      </c>
      <c r="D96" s="703">
        <v>0.09</v>
      </c>
    </row>
    <row r="97" spans="2:4">
      <c r="B97" s="132" t="s">
        <v>59</v>
      </c>
      <c r="C97" s="133" t="s">
        <v>39</v>
      </c>
      <c r="D97" s="703">
        <v>0.28000000000000003</v>
      </c>
    </row>
    <row r="98" spans="2:4" ht="15" thickBot="1">
      <c r="D98" s="295"/>
    </row>
    <row r="99" spans="2:4" ht="15" thickBot="1">
      <c r="B99" s="707" t="s">
        <v>622</v>
      </c>
      <c r="C99" s="708" t="s">
        <v>39</v>
      </c>
      <c r="D99" s="709">
        <f>MROUND((D92*D95)+(D94*(D96*(1-D97))),0.0005)</f>
        <v>0.108</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311425" r:id="rId4" name="Button 1">
              <controlPr defaultSize="0" print="0" autoFill="0" autoPict="0" macro="[0]!AUB_BBB_Refresh">
                <anchor moveWithCells="1" sizeWithCells="1">
                  <from>
                    <xdr:col>7</xdr:col>
                    <xdr:colOff>266700</xdr:colOff>
                    <xdr:row>64</xdr:row>
                    <xdr:rowOff>121920</xdr:rowOff>
                  </from>
                  <to>
                    <xdr:col>8</xdr:col>
                    <xdr:colOff>685800</xdr:colOff>
                    <xdr:row>66</xdr:row>
                    <xdr:rowOff>144780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FF668-D121-4BBF-8853-EB5035BBC794}">
  <dimension ref="A1:B44"/>
  <sheetViews>
    <sheetView workbookViewId="0"/>
  </sheetViews>
  <sheetFormatPr defaultRowHeight="14.4"/>
  <cols>
    <col min="1" max="1" width="29.109375" customWidth="1"/>
  </cols>
  <sheetData>
    <row r="1" spans="1:2">
      <c r="A1" s="939" t="s">
        <v>1073</v>
      </c>
      <c r="B1" s="949" t="s">
        <v>1074</v>
      </c>
    </row>
    <row r="2" spans="1:2">
      <c r="A2" s="939" t="s">
        <v>1075</v>
      </c>
      <c r="B2" s="939" t="s">
        <v>1076</v>
      </c>
    </row>
    <row r="3" spans="1:2">
      <c r="A3" s="939" t="s">
        <v>1077</v>
      </c>
      <c r="B3" s="939" t="s">
        <v>1078</v>
      </c>
    </row>
    <row r="4" spans="1:2">
      <c r="A4" s="939" t="s">
        <v>1079</v>
      </c>
      <c r="B4" s="939" t="s">
        <v>1080</v>
      </c>
    </row>
    <row r="5" spans="1:2">
      <c r="A5" s="939" t="s">
        <v>1081</v>
      </c>
      <c r="B5" s="939" t="s">
        <v>1082</v>
      </c>
    </row>
    <row r="6" spans="1:2">
      <c r="A6" s="939" t="s">
        <v>1083</v>
      </c>
      <c r="B6" s="939"/>
    </row>
    <row r="7" spans="1:2">
      <c r="A7" s="939" t="s">
        <v>1084</v>
      </c>
      <c r="B7" s="939" t="s">
        <v>397</v>
      </c>
    </row>
    <row r="8" spans="1:2">
      <c r="A8" s="939" t="s">
        <v>1085</v>
      </c>
      <c r="B8" s="939" t="s">
        <v>256</v>
      </c>
    </row>
    <row r="9" spans="1:2">
      <c r="A9" s="939" t="s">
        <v>1086</v>
      </c>
      <c r="B9" s="939" t="s">
        <v>1087</v>
      </c>
    </row>
    <row r="10" spans="1:2">
      <c r="A10" s="939" t="s">
        <v>1088</v>
      </c>
      <c r="B10" s="939"/>
    </row>
    <row r="11" spans="1:2">
      <c r="A11" s="939" t="s">
        <v>1089</v>
      </c>
      <c r="B11" s="939"/>
    </row>
    <row r="12" spans="1:2">
      <c r="A12" s="939" t="s">
        <v>1090</v>
      </c>
      <c r="B12" s="939"/>
    </row>
    <row r="13" spans="1:2">
      <c r="A13" s="939" t="s">
        <v>1091</v>
      </c>
      <c r="B13" s="939"/>
    </row>
    <row r="14" spans="1:2">
      <c r="A14" s="939" t="s">
        <v>1092</v>
      </c>
      <c r="B14" s="939"/>
    </row>
    <row r="15" spans="1:2">
      <c r="A15" s="939" t="s">
        <v>1093</v>
      </c>
      <c r="B15" s="939"/>
    </row>
    <row r="16" spans="1:2">
      <c r="A16" s="939" t="s">
        <v>1094</v>
      </c>
      <c r="B16" s="939"/>
    </row>
    <row r="17" spans="1:2">
      <c r="A17" s="939" t="s">
        <v>1095</v>
      </c>
      <c r="B17" s="939" t="s">
        <v>1096</v>
      </c>
    </row>
    <row r="18" spans="1:2">
      <c r="A18" s="939" t="s">
        <v>1097</v>
      </c>
      <c r="B18" s="939" t="s">
        <v>1098</v>
      </c>
    </row>
    <row r="19" spans="1:2">
      <c r="A19" s="939" t="s">
        <v>1099</v>
      </c>
      <c r="B19" s="939" t="s">
        <v>255</v>
      </c>
    </row>
    <row r="20" spans="1:2">
      <c r="A20" s="939" t="s">
        <v>1100</v>
      </c>
      <c r="B20" s="939"/>
    </row>
    <row r="21" spans="1:2">
      <c r="A21" s="939" t="s">
        <v>1101</v>
      </c>
      <c r="B21" s="939" t="s">
        <v>255</v>
      </c>
    </row>
    <row r="22" spans="1:2">
      <c r="A22" s="939" t="s">
        <v>1102</v>
      </c>
      <c r="B22" s="939" t="s">
        <v>1103</v>
      </c>
    </row>
    <row r="23" spans="1:2">
      <c r="A23" s="939" t="s">
        <v>1104</v>
      </c>
      <c r="B23" s="949" t="s">
        <v>1105</v>
      </c>
    </row>
    <row r="24" spans="1:2">
      <c r="A24" s="939" t="s">
        <v>1106</v>
      </c>
      <c r="B24" s="939" t="s">
        <v>92</v>
      </c>
    </row>
    <row r="25" spans="1:2">
      <c r="A25" s="939" t="s">
        <v>1107</v>
      </c>
      <c r="B25" s="939" t="s">
        <v>1108</v>
      </c>
    </row>
    <row r="26" spans="1:2">
      <c r="A26" s="939" t="s">
        <v>122</v>
      </c>
      <c r="B26" s="939" t="s">
        <v>1109</v>
      </c>
    </row>
    <row r="27" spans="1:2">
      <c r="A27" s="939" t="s">
        <v>1110</v>
      </c>
      <c r="B27" s="939" t="s">
        <v>1111</v>
      </c>
    </row>
    <row r="28" spans="1:2">
      <c r="A28" s="939" t="s">
        <v>1112</v>
      </c>
      <c r="B28" s="939" t="s">
        <v>1113</v>
      </c>
    </row>
    <row r="29" spans="1:2">
      <c r="A29" s="939" t="s">
        <v>1114</v>
      </c>
      <c r="B29" s="939"/>
    </row>
    <row r="30" spans="1:2">
      <c r="A30" s="939" t="s">
        <v>1115</v>
      </c>
      <c r="B30" s="939"/>
    </row>
    <row r="31" spans="1:2">
      <c r="A31" s="939" t="s">
        <v>1116</v>
      </c>
      <c r="B31" s="939"/>
    </row>
    <row r="32" spans="1:2">
      <c r="A32" s="939" t="s">
        <v>1117</v>
      </c>
      <c r="B32" s="939"/>
    </row>
    <row r="33" spans="1:2">
      <c r="A33" s="939" t="s">
        <v>1118</v>
      </c>
      <c r="B33" s="939"/>
    </row>
    <row r="34" spans="1:2">
      <c r="A34" s="939" t="s">
        <v>1119</v>
      </c>
      <c r="B34" s="939"/>
    </row>
    <row r="35" spans="1:2">
      <c r="A35" s="939" t="s">
        <v>1120</v>
      </c>
      <c r="B35" s="939" t="s">
        <v>1121</v>
      </c>
    </row>
    <row r="36" spans="1:2">
      <c r="A36" s="939" t="s">
        <v>1122</v>
      </c>
      <c r="B36" s="939" t="s">
        <v>1123</v>
      </c>
    </row>
    <row r="37" spans="1:2">
      <c r="A37" s="939" t="s">
        <v>1124</v>
      </c>
      <c r="B37" s="939" t="s">
        <v>1125</v>
      </c>
    </row>
    <row r="38" spans="1:2">
      <c r="A38" s="939" t="s">
        <v>1126</v>
      </c>
      <c r="B38" s="939" t="s">
        <v>1127</v>
      </c>
    </row>
    <row r="39" spans="1:2">
      <c r="A39" s="939" t="s">
        <v>1128</v>
      </c>
      <c r="B39" s="939" t="s">
        <v>1129</v>
      </c>
    </row>
    <row r="40" spans="1:2">
      <c r="A40" s="939" t="s">
        <v>1130</v>
      </c>
      <c r="B40" s="939" t="s">
        <v>1131</v>
      </c>
    </row>
    <row r="41" spans="1:2">
      <c r="A41" s="939" t="s">
        <v>1132</v>
      </c>
      <c r="B41" s="939" t="s">
        <v>1133</v>
      </c>
    </row>
    <row r="42" spans="1:2">
      <c r="A42" s="939" t="s">
        <v>1134</v>
      </c>
      <c r="B42" s="939"/>
    </row>
    <row r="43" spans="1:2">
      <c r="A43" s="939" t="s">
        <v>1135</v>
      </c>
      <c r="B43" s="939"/>
    </row>
    <row r="44" spans="1:2">
      <c r="A44" s="939" t="s">
        <v>1136</v>
      </c>
      <c r="B44" s="939" t="s">
        <v>1137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BA569-ED65-48C6-8DD6-74F9EB1121BE}">
  <dimension ref="A1:A13"/>
  <sheetViews>
    <sheetView workbookViewId="0"/>
  </sheetViews>
  <sheetFormatPr defaultRowHeight="14.4"/>
  <cols>
    <col min="1" max="1" width="28.5546875" customWidth="1"/>
  </cols>
  <sheetData>
    <row r="1" spans="1:1">
      <c r="A1" s="939" t="s">
        <v>1138</v>
      </c>
    </row>
    <row r="2" spans="1:1">
      <c r="A2" s="939" t="s">
        <v>1139</v>
      </c>
    </row>
    <row r="3" spans="1:1">
      <c r="A3" s="939" t="s">
        <v>1140</v>
      </c>
    </row>
    <row r="4" spans="1:1">
      <c r="A4" s="939" t="s">
        <v>1141</v>
      </c>
    </row>
    <row r="5" spans="1:1">
      <c r="A5" s="939" t="s">
        <v>1142</v>
      </c>
    </row>
    <row r="6" spans="1:1">
      <c r="A6" s="939" t="s">
        <v>1143</v>
      </c>
    </row>
    <row r="7" spans="1:1">
      <c r="A7" s="939" t="s">
        <v>1144</v>
      </c>
    </row>
    <row r="8" spans="1:1">
      <c r="A8" s="939" t="s">
        <v>1145</v>
      </c>
    </row>
    <row r="9" spans="1:1">
      <c r="A9" s="939" t="s">
        <v>1146</v>
      </c>
    </row>
    <row r="10" spans="1:1">
      <c r="A10" s="939" t="s">
        <v>1147</v>
      </c>
    </row>
    <row r="11" spans="1:1">
      <c r="A11" s="939" t="s">
        <v>1148</v>
      </c>
    </row>
    <row r="12" spans="1:1">
      <c r="A12" s="939" t="s">
        <v>1149</v>
      </c>
    </row>
    <row r="13" spans="1:1">
      <c r="A13" s="939" t="s">
        <v>1150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A5787F04-BA98-4E2C-8429-F1FE18EEB626}">
  <ds:schemaRefs>
    <ds:schemaRef ds:uri="thomsonreuters.linking.metadatachange"/>
  </ds:schemaRefs>
</ds:datastoreItem>
</file>

<file path=customXml/itemProps2.xml><?xml version="1.0" encoding="utf-8"?>
<ds:datastoreItem xmlns:ds="http://schemas.openxmlformats.org/officeDocument/2006/customXml" ds:itemID="{77FE80CF-C6C1-492E-9D1A-D5F42576131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31</vt:i4>
      </vt:variant>
    </vt:vector>
  </HeadingPairs>
  <TitlesOfParts>
    <vt:vector size="41" baseType="lpstr">
      <vt:lpstr>CircularReferenceAlert</vt:lpstr>
      <vt:lpstr>ImportantDisclosures</vt:lpstr>
      <vt:lpstr>Sum</vt:lpstr>
      <vt:lpstr>P&amp;L</vt:lpstr>
      <vt:lpstr>CF</vt:lpstr>
      <vt:lpstr>BS</vt:lpstr>
      <vt:lpstr>Scenarios</vt:lpstr>
      <vt:lpstr>SOTP</vt:lpstr>
      <vt:lpstr>IndexInformation</vt:lpstr>
      <vt:lpstr>ModPubIndex</vt:lpstr>
      <vt:lpstr>GQG_Sum</vt:lpstr>
      <vt:lpstr>Linking_1</vt:lpstr>
      <vt:lpstr>Linking_10</vt:lpstr>
      <vt:lpstr>Linking_12</vt:lpstr>
      <vt:lpstr>Linking_13</vt:lpstr>
      <vt:lpstr>Linking_15</vt:lpstr>
      <vt:lpstr>Linking_18</vt:lpstr>
      <vt:lpstr>Linking_21</vt:lpstr>
      <vt:lpstr>Linking_22</vt:lpstr>
      <vt:lpstr>Linking_24</vt:lpstr>
      <vt:lpstr>Linking_25</vt:lpstr>
      <vt:lpstr>Linking_26</vt:lpstr>
      <vt:lpstr>Linking_29</vt:lpstr>
      <vt:lpstr>Linking_32</vt:lpstr>
      <vt:lpstr>Linking_35</vt:lpstr>
      <vt:lpstr>Linking_37</vt:lpstr>
      <vt:lpstr>Linking_38</vt:lpstr>
      <vt:lpstr>Linking_39</vt:lpstr>
      <vt:lpstr>Linking_41</vt:lpstr>
      <vt:lpstr>Linking_5</vt:lpstr>
      <vt:lpstr>Linking_7</vt:lpstr>
      <vt:lpstr>Linking_Range_10</vt:lpstr>
      <vt:lpstr>Linking_Range_11</vt:lpstr>
      <vt:lpstr>Linking_Range_12</vt:lpstr>
      <vt:lpstr>Linking_Range_15</vt:lpstr>
      <vt:lpstr>Linking_Range_2</vt:lpstr>
      <vt:lpstr>Linking_Range_6</vt:lpstr>
      <vt:lpstr>Linking_Range_7</vt:lpstr>
      <vt:lpstr>Linking_Range_9</vt:lpstr>
      <vt:lpstr>Sum!Print_Area</vt:lpstr>
      <vt:lpstr>Scenarios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Sally</dc:creator>
  <cp:lastModifiedBy>Bounpraseuth, Daniel N (Research)</cp:lastModifiedBy>
  <cp:lastPrinted>2025-10-28T10:32:17Z</cp:lastPrinted>
  <dcterms:created xsi:type="dcterms:W3CDTF">2013-08-07T10:13:01Z</dcterms:created>
  <dcterms:modified xsi:type="dcterms:W3CDTF">2025-10-29T21:35:56Z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inkingAutoNameNumberLinking_Range_">
    <vt:lpwstr>17</vt:lpwstr>
  </property>
  <property fmtid="{D5CDD505-2E9C-101B-9397-08002B2CF9AE}" pid="3" name="MSIP_Label_07f119e6-c6cd-44b0-a5ee-ac1aff68c56e_Enabled">
    <vt:lpwstr>true</vt:lpwstr>
  </property>
  <property fmtid="{D5CDD505-2E9C-101B-9397-08002B2CF9AE}" pid="4" name="MSIP_Label_07f119e6-c6cd-44b0-a5ee-ac1aff68c56e_SetDate">
    <vt:lpwstr>2022-07-07T22:35:05Z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82a62460-d58f-4525-8707-7d7f2b787631</vt:lpwstr>
  </property>
  <property fmtid="{D5CDD505-2E9C-101B-9397-08002B2CF9AE}" pid="9" name="MSIP_Label_07f119e6-c6cd-44b0-a5ee-ac1aff68c56e_ContentBits">
    <vt:lpwstr>0</vt:lpwstr>
  </property>
  <property fmtid="{D5CDD505-2E9C-101B-9397-08002B2CF9AE}" pid="10" name="PowerlinkCOMAddIn.COMAddIn.WebAddinBridge.Options">
    <vt:lpwstr>{"port":50152,"version":"1.24.159"}</vt:lpwstr>
  </property>
  <property fmtid="{D5CDD505-2E9C-101B-9397-08002B2CF9AE}" pid="11" name="ERModPubTicket">
    <vt:lpwstr>NA</vt:lpwstr>
  </property>
  <property fmtid="{D5CDD505-2E9C-101B-9397-08002B2CF9AE}" pid="12" name="ERModPubConfirmEmail">
    <vt:bool>false</vt:bool>
  </property>
  <property fmtid="{D5CDD505-2E9C-101B-9397-08002B2CF9AE}" pid="13" name="ERModPubUserEmail">
    <vt:lpwstr>bounpras@ms.com</vt:lpwstr>
  </property>
  <property fmtid="{D5CDD505-2E9C-101B-9397-08002B2CF9AE}" pid="14" name="ERModPubGCIMTagged">
    <vt:bool>true</vt:bool>
  </property>
  <property fmtid="{D5CDD505-2E9C-101B-9397-08002B2CF9AE}" pid="15" name="ERCompanyUploadState">
    <vt:lpwstr>P</vt:lpwstr>
  </property>
  <property fmtid="{D5CDD505-2E9C-101B-9397-08002B2CF9AE}" pid="16" name="ERModPubCurrentYear">
    <vt:i4>2026</vt:i4>
  </property>
  <property fmtid="{D5CDD505-2E9C-101B-9397-08002B2CF9AE}" pid="17" name="ModelId">
    <vt:lpwstr>9746959</vt:lpwstr>
  </property>
  <property fmtid="{D5CDD505-2E9C-101B-9397-08002B2CF9AE}" pid="18" name="ERModPubCompanyName">
    <vt:lpwstr>AUB Group Ltd</vt:lpwstr>
  </property>
</Properties>
</file>